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workbookProtection workbookAlgorithmName="SHA-512" workbookHashValue="KnETtOthSJ9qDyJF4tb5RaJENbtIv52oNF5+QB30AxZ4kEomV2ctT06aEvMPOJEYy6F+zBvHnzSn0iX1xgj/zg==" workbookSaltValue="BbtQ+70zWWwXihMJSanaWA==" workbookSpinCount="100000" lockStructure="1"/>
  <bookViews>
    <workbookView xWindow="13980" yWindow="255" windowWidth="5220" windowHeight="4305" tabRatio="541" activeTab="2"/>
  </bookViews>
  <sheets>
    <sheet name="Instruksjoner" sheetId="1" r:id="rId1"/>
    <sheet name="Ord og uttrykk" sheetId="2" r:id="rId2"/>
    <sheet name="Prosjektdetaljer " sheetId="3" r:id="rId3"/>
    <sheet name="Assessment-tabellen" sheetId="4" state="hidden" r:id="rId4"/>
    <sheet name="Pre-analyse" sheetId="7" r:id="rId5"/>
    <sheet name="Resultat" sheetId="14" r:id="rId6"/>
    <sheet name="Revisjonslogg" sheetId="16" r:id="rId7"/>
    <sheet name="Redigerbar 1" sheetId="17" r:id="rId8"/>
    <sheet name="Redigerbar 2" sheetId="18" r:id="rId9"/>
  </sheets>
  <externalReferences>
    <externalReference r:id="rId10"/>
  </externalReferences>
  <definedNames>
    <definedName name="_xlnm._FilterDatabase" localSheetId="4" hidden="1">'Pre-analyse'!$A$8:$BA$8</definedName>
    <definedName name="acutehospital">'Assessment-tabellen'!$AS$30</definedName>
    <definedName name="communitymentalhealth">'Assessment-tabellen'!$AT$30</definedName>
    <definedName name="COURTS">'Assessment-tabellen'!$AC$30</definedName>
    <definedName name="COURTSlifts">'[1]Integration table'!$BQ$30</definedName>
    <definedName name="COURTSplanting">'Assessment-tabellen'!$BQ$30</definedName>
    <definedName name="EDUcold">'[1]Integration table'!$DR$30</definedName>
    <definedName name="EDUconfagree">'[1]Integration table'!$DH$30</definedName>
    <definedName name="EDUdatacentre">'[1]Integration table'!$DM$30</definedName>
    <definedName name="EDUdelivery">'[1]Integration table'!$DS$30</definedName>
    <definedName name="EDUFE">'Assessment-tabellen'!$DE$30</definedName>
    <definedName name="EDUfoodprep">'[1]Integration table'!$DQ$30</definedName>
    <definedName name="EDUfume">'[1]Integration table'!$DN$30</definedName>
    <definedName name="EDUHE">'Assessment-tabellen'!$DF$30</definedName>
    <definedName name="EDUlabs1">'[1]Integration table'!$DK$30</definedName>
    <definedName name="EDUlabs2">'[1]Integration table'!$DL$30</definedName>
    <definedName name="EDUlifts">'[1]Integration table'!$DJ$30</definedName>
    <definedName name="EDUplanting">'[1]Integration table'!$DT$30</definedName>
    <definedName name="EDUschool">'Assessment-tabellen'!$DD$30</definedName>
    <definedName name="EDUstaffonly">'[1]Integration table'!$DI$30</definedName>
    <definedName name="EDUswimming">'[1]Integration table'!$DO$30</definedName>
    <definedName name="EDUWASTE">'[1]Integration table'!$DP$30</definedName>
    <definedName name="FE">'Assessment-tabellen'!$AK$30</definedName>
    <definedName name="GP">'Assessment-tabellen'!$AU$30</definedName>
    <definedName name="HC">'Assessment-tabellen'!$Y$30</definedName>
    <definedName name="HCcoldstorage">'Assessment-tabellen'!$BD$30</definedName>
    <definedName name="HCfoodprep">'Assessment-tabellen'!$BB$30</definedName>
    <definedName name="HClifts">'Assessment-tabellen'!$BA$30</definedName>
    <definedName name="HCplanting">'[1]Integration table'!$BB$30</definedName>
    <definedName name="HE">'Assessment-tabellen'!$AM$30</definedName>
    <definedName name="healthcentreclinic">'Assessment-tabellen'!$AV$30</definedName>
    <definedName name="INDcold">'[1]Integration table'!$EH$30</definedName>
    <definedName name="INDlargeoffice">'[1]Integration table'!$ED$30</definedName>
    <definedName name="INDlifts">'[1]Integration table'!$EI$30</definedName>
    <definedName name="INDmedlarge">'[1]Integration table'!$EB$30</definedName>
    <definedName name="INDnewrefurb">'Assessment-tabellen'!$DZ$30</definedName>
    <definedName name="INDoperational">'[1]Integration table'!$EE$30</definedName>
    <definedName name="INDsmall">'[1]Integration table'!$EA$30</definedName>
    <definedName name="INDsmalloffice">'[1]Integration table'!$EC$30</definedName>
    <definedName name="INDUSTRIAL">'Assessment-tabellen'!$AO$30</definedName>
    <definedName name="INDwarehouse">'[1]Integration table'!$EG$30</definedName>
    <definedName name="INDwasteman">'[1]Integration table'!$EF$30</definedName>
    <definedName name="inpatient">'Assessment-tabellen'!$AW$30</definedName>
    <definedName name="largehc">'Assessment-tabellen'!$AZ$30</definedName>
    <definedName name="OFF">'Assessment-tabellen'!$AA$30</definedName>
    <definedName name="offescalators">'[1]Integration table'!$BK$30</definedName>
    <definedName name="offlifts">'[1]Integration table'!$BJ$30</definedName>
    <definedName name="OFFnewrefurb">'Assessment-tabellen'!$BI$30</definedName>
    <definedName name="PRIcold">'[1]Integration table'!$BW$30</definedName>
    <definedName name="PRIfoodprep">'[1]Integration table'!$BV$30</definedName>
    <definedName name="PRIinternalgoods">'[1]Integration table'!$BZ$30</definedName>
    <definedName name="PRIlifts">'[1]Integration table'!$BY$30</definedName>
    <definedName name="PRIparking">'[1]Integration table'!$CB$30</definedName>
    <definedName name="PRIpool">'[1]Integration table'!$BX$30</definedName>
    <definedName name="PRISONS">'Assessment-tabellen'!$AE$30</definedName>
    <definedName name="PRIvehicle">'[1]Integration table'!$CA$30</definedName>
    <definedName name="RET">'Assessment-tabellen'!$AG$30</definedName>
    <definedName name="RETcold">'[1]Integration table'!$CP$30</definedName>
    <definedName name="RETcommercialfoodprep">'[1]Integration table'!$CO$30</definedName>
    <definedName name="RETescalators">'[1]Integration table'!$CR$30</definedName>
    <definedName name="RETfood">'[1]Integration table'!$CJ$30</definedName>
    <definedName name="RETfoodprep">'[1]Integration table'!$CK$30</definedName>
    <definedName name="RETgeneral">'[1]Integration table'!$CI$30</definedName>
    <definedName name="RETinternalgoods">'[1]Integration table'!$CS$30</definedName>
    <definedName name="RETlarge">'[1]Integration table'!$CN$30</definedName>
    <definedName name="RETlifts">'[1]Integration table'!$CQ$30</definedName>
    <definedName name="RETnewrefurb">'Assessment-tabellen'!$CH$30</definedName>
    <definedName name="RETofficelarge">'[1]Integration table'!$CU$30</definedName>
    <definedName name="RETofficesmall">'[1]Integration table'!$CT$30</definedName>
    <definedName name="RETplanting">'[1]Integration table'!$CX$30</definedName>
    <definedName name="RETservice">'[1]Integration table'!$CL$30</definedName>
    <definedName name="RETsmall">'[1]Integration table'!$CM$30</definedName>
    <definedName name="RETvehiclewash">'[1]Integration table'!$CV$30</definedName>
    <definedName name="RETwastemanagement">'[1]Integration table'!$CW$30</definedName>
    <definedName name="SCHOOLS">'Assessment-tabellen'!$AI$30</definedName>
    <definedName name="smallhc">'Assessment-tabellen'!$AY$30</definedName>
    <definedName name="teachhospital">'Assessment-tabellen'!$AR$30</definedName>
  </definedNames>
  <calcPr calcId="152511" concurrentCalc="0"/>
</workbook>
</file>

<file path=xl/calcChain.xml><?xml version="1.0" encoding="utf-8"?>
<calcChain xmlns="http://schemas.openxmlformats.org/spreadsheetml/2006/main">
  <c r="D53" i="16" l="1"/>
  <c r="J30" i="3"/>
  <c r="R30" i="3"/>
  <c r="CC7" i="7"/>
  <c r="CC54" i="7"/>
  <c r="CC49" i="7"/>
  <c r="C4" i="14"/>
  <c r="U38" i="14"/>
  <c r="U40" i="14"/>
  <c r="S38" i="14"/>
  <c r="S39" i="14"/>
  <c r="U39" i="14"/>
  <c r="S40" i="14"/>
  <c r="S41" i="14"/>
  <c r="U41" i="14"/>
  <c r="S37" i="14"/>
  <c r="U37" i="14"/>
  <c r="S36" i="14"/>
  <c r="U36" i="14"/>
  <c r="L19" i="3"/>
  <c r="C24" i="3"/>
  <c r="C23" i="3"/>
  <c r="T31" i="14"/>
  <c r="S31" i="14"/>
  <c r="EL91" i="7"/>
  <c r="EL95" i="7"/>
  <c r="EL77" i="7"/>
  <c r="EL55" i="7"/>
  <c r="U31" i="14"/>
  <c r="J68" i="14"/>
  <c r="D35" i="1"/>
  <c r="D34" i="1"/>
  <c r="J30" i="14"/>
  <c r="J49" i="14"/>
  <c r="J20" i="3"/>
  <c r="J9" i="3"/>
  <c r="J8" i="3"/>
  <c r="BX9" i="7"/>
  <c r="BX10" i="7"/>
  <c r="BX11" i="7"/>
  <c r="BX12" i="7"/>
  <c r="BX13" i="7"/>
  <c r="BX14" i="7"/>
  <c r="BX15" i="7"/>
  <c r="BX16" i="7"/>
  <c r="BX17" i="7"/>
  <c r="BX18" i="7"/>
  <c r="BX19" i="7"/>
  <c r="BX20" i="7"/>
  <c r="BX21" i="7"/>
  <c r="BX22" i="7"/>
  <c r="BX23" i="7"/>
  <c r="BX24" i="7"/>
  <c r="BX25" i="7"/>
  <c r="BX26" i="7"/>
  <c r="BX27" i="7"/>
  <c r="BX28" i="7"/>
  <c r="BX29" i="7"/>
  <c r="BX30" i="7"/>
  <c r="BX31" i="7"/>
  <c r="BX32" i="7"/>
  <c r="BX33" i="7"/>
  <c r="BX34" i="7"/>
  <c r="BX35" i="7"/>
  <c r="BX36" i="7"/>
  <c r="BX37" i="7"/>
  <c r="BX38" i="7"/>
  <c r="BX39" i="7"/>
  <c r="BX40" i="7"/>
  <c r="BX41" i="7"/>
  <c r="BX42" i="7"/>
  <c r="BX43" i="7"/>
  <c r="BX44" i="7"/>
  <c r="BX45" i="7"/>
  <c r="BX46" i="7"/>
  <c r="BX47" i="7"/>
  <c r="BX48" i="7"/>
  <c r="BX49" i="7"/>
  <c r="BX50" i="7"/>
  <c r="BX51" i="7"/>
  <c r="BX52" i="7"/>
  <c r="BX53" i="7"/>
  <c r="BX54" i="7"/>
  <c r="BX56" i="7"/>
  <c r="BX57" i="7"/>
  <c r="BX58" i="7"/>
  <c r="BX59" i="7"/>
  <c r="BX60" i="7"/>
  <c r="BX61" i="7"/>
  <c r="BX62" i="7"/>
  <c r="BX63" i="7"/>
  <c r="BX64" i="7"/>
  <c r="BX65" i="7"/>
  <c r="BX66" i="7"/>
  <c r="BX67" i="7"/>
  <c r="BX68" i="7"/>
  <c r="BX69" i="7"/>
  <c r="BX70" i="7"/>
  <c r="BX71" i="7"/>
  <c r="BX72" i="7"/>
  <c r="BX73" i="7"/>
  <c r="BX74" i="7"/>
  <c r="BX75" i="7"/>
  <c r="BX76" i="7"/>
  <c r="BX78" i="7"/>
  <c r="BX79" i="7"/>
  <c r="BX80" i="7"/>
  <c r="BX81" i="7"/>
  <c r="BX82" i="7"/>
  <c r="BX83" i="7"/>
  <c r="BX84" i="7"/>
  <c r="BX85" i="7"/>
  <c r="BX86" i="7"/>
  <c r="BX87" i="7"/>
  <c r="BX88" i="7"/>
  <c r="BX89" i="7"/>
  <c r="BX90" i="7"/>
  <c r="BX92" i="7"/>
  <c r="BX93" i="7"/>
  <c r="BX94" i="7"/>
  <c r="BX96" i="7"/>
  <c r="BX97" i="7"/>
  <c r="BX98" i="7"/>
  <c r="BW9" i="7"/>
  <c r="J10" i="3"/>
  <c r="DT55" i="7"/>
  <c r="DT77" i="7"/>
  <c r="DT91" i="7"/>
  <c r="DT95" i="7"/>
  <c r="CD3" i="7"/>
  <c r="CD5" i="7"/>
  <c r="BU9" i="7"/>
  <c r="Q10" i="3"/>
  <c r="CZ4" i="7"/>
  <c r="O10" i="3"/>
  <c r="CZ2" i="7"/>
  <c r="N10" i="3"/>
  <c r="P10" i="3"/>
  <c r="CZ3" i="7"/>
  <c r="CD9" i="7"/>
  <c r="CZ1" i="7"/>
  <c r="EE10" i="7"/>
  <c r="EE11" i="7"/>
  <c r="EE12" i="7"/>
  <c r="EE13" i="7"/>
  <c r="EE14" i="7"/>
  <c r="EE15" i="7"/>
  <c r="EE16" i="7"/>
  <c r="EE17" i="7"/>
  <c r="EE18" i="7"/>
  <c r="EE19" i="7"/>
  <c r="EE20" i="7"/>
  <c r="EE21" i="7"/>
  <c r="EE22" i="7"/>
  <c r="EE23" i="7"/>
  <c r="EE24" i="7"/>
  <c r="EE25" i="7"/>
  <c r="EE26" i="7"/>
  <c r="EE27" i="7"/>
  <c r="EE28" i="7"/>
  <c r="EE29" i="7"/>
  <c r="EE30" i="7"/>
  <c r="EE31" i="7"/>
  <c r="EE32" i="7"/>
  <c r="EE33" i="7"/>
  <c r="EE34" i="7"/>
  <c r="EE35" i="7"/>
  <c r="EE36" i="7"/>
  <c r="EE37" i="7"/>
  <c r="EE38" i="7"/>
  <c r="EE39" i="7"/>
  <c r="EE40" i="7"/>
  <c r="EE41" i="7"/>
  <c r="EE42" i="7"/>
  <c r="EE43" i="7"/>
  <c r="EE44" i="7"/>
  <c r="EE45" i="7"/>
  <c r="EE46" i="7"/>
  <c r="EE47" i="7"/>
  <c r="EE48" i="7"/>
  <c r="EE49" i="7"/>
  <c r="EE50" i="7"/>
  <c r="EE51" i="7"/>
  <c r="EE52" i="7"/>
  <c r="EE53" i="7"/>
  <c r="EE54" i="7"/>
  <c r="EE55" i="7"/>
  <c r="EE56" i="7"/>
  <c r="EE57" i="7"/>
  <c r="EE58" i="7"/>
  <c r="EE59" i="7"/>
  <c r="EE60" i="7"/>
  <c r="EE61" i="7"/>
  <c r="EE62" i="7"/>
  <c r="EE63" i="7"/>
  <c r="EE64" i="7"/>
  <c r="EE65" i="7"/>
  <c r="EE66" i="7"/>
  <c r="EE67" i="7"/>
  <c r="EE68" i="7"/>
  <c r="EE69" i="7"/>
  <c r="EE70" i="7"/>
  <c r="EE71" i="7"/>
  <c r="EE72" i="7"/>
  <c r="EE73" i="7"/>
  <c r="EE74" i="7"/>
  <c r="EE75" i="7"/>
  <c r="EE76" i="7"/>
  <c r="EE77" i="7"/>
  <c r="EE78" i="7"/>
  <c r="EE79" i="7"/>
  <c r="EE80" i="7"/>
  <c r="EE81" i="7"/>
  <c r="EE82" i="7"/>
  <c r="EE83" i="7"/>
  <c r="EE84" i="7"/>
  <c r="EE85" i="7"/>
  <c r="EE86" i="7"/>
  <c r="EE87" i="7"/>
  <c r="EE88" i="7"/>
  <c r="EE89" i="7"/>
  <c r="EE90" i="7"/>
  <c r="EE91" i="7"/>
  <c r="EE92" i="7"/>
  <c r="EE93" i="7"/>
  <c r="EE94" i="7"/>
  <c r="EE95" i="7"/>
  <c r="EE96" i="7"/>
  <c r="EE97" i="7"/>
  <c r="EE98" i="7"/>
  <c r="EE9" i="7"/>
  <c r="EG9" i="7"/>
  <c r="EG10" i="7"/>
  <c r="EH10" i="7"/>
  <c r="EI10" i="7"/>
  <c r="EJ10" i="7"/>
  <c r="EK10" i="7"/>
  <c r="EG11" i="7"/>
  <c r="EH11" i="7"/>
  <c r="EI11" i="7"/>
  <c r="EJ11" i="7"/>
  <c r="EK11" i="7"/>
  <c r="EG12" i="7"/>
  <c r="EH12" i="7"/>
  <c r="EI12" i="7"/>
  <c r="EJ12" i="7"/>
  <c r="EK12" i="7"/>
  <c r="EG13" i="7"/>
  <c r="EH13" i="7"/>
  <c r="EI13" i="7"/>
  <c r="EJ13" i="7"/>
  <c r="EK13" i="7"/>
  <c r="EG14" i="7"/>
  <c r="EH14" i="7"/>
  <c r="EI14" i="7"/>
  <c r="EJ14" i="7"/>
  <c r="EK14" i="7"/>
  <c r="EG15" i="7"/>
  <c r="EH15" i="7"/>
  <c r="EI15" i="7"/>
  <c r="EJ15" i="7"/>
  <c r="EK15" i="7"/>
  <c r="EG16" i="7"/>
  <c r="EH16" i="7"/>
  <c r="EI16" i="7"/>
  <c r="EJ16" i="7"/>
  <c r="EK16" i="7"/>
  <c r="EG17" i="7"/>
  <c r="EH17" i="7"/>
  <c r="EI17" i="7"/>
  <c r="EJ17" i="7"/>
  <c r="EK17" i="7"/>
  <c r="EG18" i="7"/>
  <c r="EH18" i="7"/>
  <c r="EI18" i="7"/>
  <c r="EJ18" i="7"/>
  <c r="EK18" i="7"/>
  <c r="EG19" i="7"/>
  <c r="EH19" i="7"/>
  <c r="EI19" i="7"/>
  <c r="EJ19" i="7"/>
  <c r="EK19" i="7"/>
  <c r="EG20" i="7"/>
  <c r="EH20" i="7"/>
  <c r="EI20" i="7"/>
  <c r="EJ20" i="7"/>
  <c r="EK20" i="7"/>
  <c r="EG21" i="7"/>
  <c r="EH21" i="7"/>
  <c r="EI21" i="7"/>
  <c r="EJ21" i="7"/>
  <c r="EK21" i="7"/>
  <c r="EG22" i="7"/>
  <c r="EH22" i="7"/>
  <c r="EI22" i="7"/>
  <c r="EJ22" i="7"/>
  <c r="EK22" i="7"/>
  <c r="EG23" i="7"/>
  <c r="EH23" i="7"/>
  <c r="EI23" i="7"/>
  <c r="EJ23" i="7"/>
  <c r="EK23" i="7"/>
  <c r="EG24" i="7"/>
  <c r="EH24" i="7"/>
  <c r="EI24" i="7"/>
  <c r="EJ24" i="7"/>
  <c r="EK24" i="7"/>
  <c r="EG25" i="7"/>
  <c r="EH25" i="7"/>
  <c r="EI25" i="7"/>
  <c r="EJ25" i="7"/>
  <c r="EK25" i="7"/>
  <c r="EG26" i="7"/>
  <c r="EH26" i="7"/>
  <c r="EI26" i="7"/>
  <c r="EJ26" i="7"/>
  <c r="EK26" i="7"/>
  <c r="EG27" i="7"/>
  <c r="EH27" i="7"/>
  <c r="EI27" i="7"/>
  <c r="EJ27" i="7"/>
  <c r="EK27" i="7"/>
  <c r="EG28" i="7"/>
  <c r="EH28" i="7"/>
  <c r="EI28" i="7"/>
  <c r="EJ28" i="7"/>
  <c r="EK28" i="7"/>
  <c r="EG29" i="7"/>
  <c r="EH29" i="7"/>
  <c r="EI29" i="7"/>
  <c r="EJ29" i="7"/>
  <c r="EK29" i="7"/>
  <c r="EG30" i="7"/>
  <c r="EH30" i="7"/>
  <c r="EI30" i="7"/>
  <c r="EJ30" i="7"/>
  <c r="EK30" i="7"/>
  <c r="EG31" i="7"/>
  <c r="EH31" i="7"/>
  <c r="EI31" i="7"/>
  <c r="EJ31" i="7"/>
  <c r="EK31" i="7"/>
  <c r="EG32" i="7"/>
  <c r="EH32" i="7"/>
  <c r="EI32" i="7"/>
  <c r="EJ32" i="7"/>
  <c r="EK32" i="7"/>
  <c r="EG33" i="7"/>
  <c r="EH33" i="7"/>
  <c r="EI33" i="7"/>
  <c r="EJ33" i="7"/>
  <c r="EK33" i="7"/>
  <c r="EG34" i="7"/>
  <c r="EH34" i="7"/>
  <c r="EI34" i="7"/>
  <c r="EJ34" i="7"/>
  <c r="EK34" i="7"/>
  <c r="EG35" i="7"/>
  <c r="EH35" i="7"/>
  <c r="EI35" i="7"/>
  <c r="EJ35" i="7"/>
  <c r="EK35" i="7"/>
  <c r="EG36" i="7"/>
  <c r="EH36" i="7"/>
  <c r="EI36" i="7"/>
  <c r="EJ36" i="7"/>
  <c r="EK36" i="7"/>
  <c r="EG37" i="7"/>
  <c r="EH37" i="7"/>
  <c r="EI37" i="7"/>
  <c r="EJ37" i="7"/>
  <c r="EK37" i="7"/>
  <c r="EG38" i="7"/>
  <c r="EH38" i="7"/>
  <c r="EI38" i="7"/>
  <c r="EJ38" i="7"/>
  <c r="EK38" i="7"/>
  <c r="EG39" i="7"/>
  <c r="EH39" i="7"/>
  <c r="EI39" i="7"/>
  <c r="EJ39" i="7"/>
  <c r="EK39" i="7"/>
  <c r="EG40" i="7"/>
  <c r="EH40" i="7"/>
  <c r="EI40" i="7"/>
  <c r="EJ40" i="7"/>
  <c r="EK40" i="7"/>
  <c r="EG41" i="7"/>
  <c r="EH41" i="7"/>
  <c r="EI41" i="7"/>
  <c r="EJ41" i="7"/>
  <c r="EK41" i="7"/>
  <c r="EG42" i="7"/>
  <c r="EH42" i="7"/>
  <c r="EI42" i="7"/>
  <c r="EJ42" i="7"/>
  <c r="EK42" i="7"/>
  <c r="EG43" i="7"/>
  <c r="EH43" i="7"/>
  <c r="EI43" i="7"/>
  <c r="EJ43" i="7"/>
  <c r="EK43" i="7"/>
  <c r="EG44" i="7"/>
  <c r="EH44" i="7"/>
  <c r="EI44" i="7"/>
  <c r="EJ44" i="7"/>
  <c r="EK44" i="7"/>
  <c r="EG45" i="7"/>
  <c r="EH45" i="7"/>
  <c r="EI45" i="7"/>
  <c r="EJ45" i="7"/>
  <c r="EK45" i="7"/>
  <c r="EG46" i="7"/>
  <c r="EH46" i="7"/>
  <c r="EI46" i="7"/>
  <c r="EJ46" i="7"/>
  <c r="EK46" i="7"/>
  <c r="EG47" i="7"/>
  <c r="EH47" i="7"/>
  <c r="EI47" i="7"/>
  <c r="EJ47" i="7"/>
  <c r="EK47" i="7"/>
  <c r="EG48" i="7"/>
  <c r="EH48" i="7"/>
  <c r="EI48" i="7"/>
  <c r="EJ48" i="7"/>
  <c r="EK48" i="7"/>
  <c r="EG49" i="7"/>
  <c r="EH49" i="7"/>
  <c r="EI49" i="7"/>
  <c r="EJ49" i="7"/>
  <c r="EK49" i="7"/>
  <c r="EG50" i="7"/>
  <c r="EH50" i="7"/>
  <c r="EI50" i="7"/>
  <c r="EJ50" i="7"/>
  <c r="EK50" i="7"/>
  <c r="EG52" i="7"/>
  <c r="EH52" i="7"/>
  <c r="EI52" i="7"/>
  <c r="EJ52" i="7"/>
  <c r="EK52" i="7"/>
  <c r="EG53" i="7"/>
  <c r="EH53" i="7"/>
  <c r="EI53" i="7"/>
  <c r="EJ53" i="7"/>
  <c r="EK53" i="7"/>
  <c r="EG54" i="7"/>
  <c r="EH54" i="7"/>
  <c r="EI54" i="7"/>
  <c r="EJ54" i="7"/>
  <c r="EK54" i="7"/>
  <c r="EG56" i="7"/>
  <c r="EH56" i="7"/>
  <c r="EI56" i="7"/>
  <c r="EJ56" i="7"/>
  <c r="EK56" i="7"/>
  <c r="EG57" i="7"/>
  <c r="EH57" i="7"/>
  <c r="EI57" i="7"/>
  <c r="EJ57" i="7"/>
  <c r="EK57" i="7"/>
  <c r="EG58" i="7"/>
  <c r="EH58" i="7"/>
  <c r="EI58" i="7"/>
  <c r="EJ58" i="7"/>
  <c r="EK58" i="7"/>
  <c r="EG59" i="7"/>
  <c r="EH59" i="7"/>
  <c r="EI59" i="7"/>
  <c r="EJ59" i="7"/>
  <c r="EK59" i="7"/>
  <c r="EG60" i="7"/>
  <c r="EH60" i="7"/>
  <c r="EI60" i="7"/>
  <c r="EJ60" i="7"/>
  <c r="EK60" i="7"/>
  <c r="EG61" i="7"/>
  <c r="EH61" i="7"/>
  <c r="EI61" i="7"/>
  <c r="EJ61" i="7"/>
  <c r="EK61" i="7"/>
  <c r="EG62" i="7"/>
  <c r="EH62" i="7"/>
  <c r="EI62" i="7"/>
  <c r="EJ62" i="7"/>
  <c r="EK62" i="7"/>
  <c r="EG63" i="7"/>
  <c r="EH63" i="7"/>
  <c r="EI63" i="7"/>
  <c r="EJ63" i="7"/>
  <c r="EK63" i="7"/>
  <c r="EG64" i="7"/>
  <c r="EH64" i="7"/>
  <c r="EI64" i="7"/>
  <c r="EJ64" i="7"/>
  <c r="EK64" i="7"/>
  <c r="EG65" i="7"/>
  <c r="EH65" i="7"/>
  <c r="EI65" i="7"/>
  <c r="EJ65" i="7"/>
  <c r="EK65" i="7"/>
  <c r="EG66" i="7"/>
  <c r="EH66" i="7"/>
  <c r="EI66" i="7"/>
  <c r="EJ66" i="7"/>
  <c r="EK66" i="7"/>
  <c r="EG67" i="7"/>
  <c r="EH67" i="7"/>
  <c r="EI67" i="7"/>
  <c r="EJ67" i="7"/>
  <c r="EK67" i="7"/>
  <c r="EG68" i="7"/>
  <c r="EH68" i="7"/>
  <c r="EI68" i="7"/>
  <c r="EJ68" i="7"/>
  <c r="EK68" i="7"/>
  <c r="EG69" i="7"/>
  <c r="EH69" i="7"/>
  <c r="EI69" i="7"/>
  <c r="EJ69" i="7"/>
  <c r="EK69" i="7"/>
  <c r="EG70" i="7"/>
  <c r="EH70" i="7"/>
  <c r="EI70" i="7"/>
  <c r="EJ70" i="7"/>
  <c r="EK70" i="7"/>
  <c r="EG71" i="7"/>
  <c r="EH71" i="7"/>
  <c r="EI71" i="7"/>
  <c r="EJ71" i="7"/>
  <c r="EK71" i="7"/>
  <c r="EG72" i="7"/>
  <c r="EH72" i="7"/>
  <c r="EI72" i="7"/>
  <c r="EJ72" i="7"/>
  <c r="EK72" i="7"/>
  <c r="EG73" i="7"/>
  <c r="EH73" i="7"/>
  <c r="EI73" i="7"/>
  <c r="EJ73" i="7"/>
  <c r="EK73" i="7"/>
  <c r="EG74" i="7"/>
  <c r="EH74" i="7"/>
  <c r="EI74" i="7"/>
  <c r="EJ74" i="7"/>
  <c r="EK74" i="7"/>
  <c r="EG75" i="7"/>
  <c r="EH75" i="7"/>
  <c r="EI75" i="7"/>
  <c r="EJ75" i="7"/>
  <c r="EK75" i="7"/>
  <c r="EG76" i="7"/>
  <c r="EH76" i="7"/>
  <c r="EI76" i="7"/>
  <c r="EJ76" i="7"/>
  <c r="EK76" i="7"/>
  <c r="EG78" i="7"/>
  <c r="EH78" i="7"/>
  <c r="EI78" i="7"/>
  <c r="EJ78" i="7"/>
  <c r="EK78" i="7"/>
  <c r="EG79" i="7"/>
  <c r="EH79" i="7"/>
  <c r="EI79" i="7"/>
  <c r="EJ79" i="7"/>
  <c r="EK79" i="7"/>
  <c r="EG80" i="7"/>
  <c r="EH80" i="7"/>
  <c r="EI80" i="7"/>
  <c r="EJ80" i="7"/>
  <c r="EK80" i="7"/>
  <c r="EG81" i="7"/>
  <c r="EH81" i="7"/>
  <c r="EI81" i="7"/>
  <c r="EJ81" i="7"/>
  <c r="EK81" i="7"/>
  <c r="EG82" i="7"/>
  <c r="EH82" i="7"/>
  <c r="EI82" i="7"/>
  <c r="EJ82" i="7"/>
  <c r="EK82" i="7"/>
  <c r="EG83" i="7"/>
  <c r="EH83" i="7"/>
  <c r="EI83" i="7"/>
  <c r="EJ83" i="7"/>
  <c r="EK83" i="7"/>
  <c r="EG84" i="7"/>
  <c r="EH84" i="7"/>
  <c r="EI84" i="7"/>
  <c r="EJ84" i="7"/>
  <c r="EK84" i="7"/>
  <c r="EG85" i="7"/>
  <c r="EH85" i="7"/>
  <c r="EI85" i="7"/>
  <c r="EJ85" i="7"/>
  <c r="EK85" i="7"/>
  <c r="EG86" i="7"/>
  <c r="EH86" i="7"/>
  <c r="EI86" i="7"/>
  <c r="EJ86" i="7"/>
  <c r="EK86" i="7"/>
  <c r="EG87" i="7"/>
  <c r="EH87" i="7"/>
  <c r="EI87" i="7"/>
  <c r="EJ87" i="7"/>
  <c r="EK87" i="7"/>
  <c r="EG88" i="7"/>
  <c r="EH88" i="7"/>
  <c r="EI88" i="7"/>
  <c r="EJ88" i="7"/>
  <c r="EK88" i="7"/>
  <c r="EG89" i="7"/>
  <c r="EH89" i="7"/>
  <c r="EI89" i="7"/>
  <c r="EJ89" i="7"/>
  <c r="EK89" i="7"/>
  <c r="EG90" i="7"/>
  <c r="EH90" i="7"/>
  <c r="EI90" i="7"/>
  <c r="EJ90" i="7"/>
  <c r="EK90" i="7"/>
  <c r="EG92" i="7"/>
  <c r="EH92" i="7"/>
  <c r="EI92" i="7"/>
  <c r="EJ92" i="7"/>
  <c r="EK92" i="7"/>
  <c r="EG93" i="7"/>
  <c r="EH93" i="7"/>
  <c r="EI93" i="7"/>
  <c r="EJ93" i="7"/>
  <c r="EK93" i="7"/>
  <c r="EG94" i="7"/>
  <c r="EH94" i="7"/>
  <c r="EI94" i="7"/>
  <c r="EJ94" i="7"/>
  <c r="EK94" i="7"/>
  <c r="EG96" i="7"/>
  <c r="EH96" i="7"/>
  <c r="EI96" i="7"/>
  <c r="EJ96" i="7"/>
  <c r="EK96" i="7"/>
  <c r="EG97" i="7"/>
  <c r="EH97" i="7"/>
  <c r="EI97" i="7"/>
  <c r="EJ97" i="7"/>
  <c r="EK97" i="7"/>
  <c r="EG98" i="7"/>
  <c r="EH98" i="7"/>
  <c r="EI98" i="7"/>
  <c r="EJ98" i="7"/>
  <c r="EK98" i="7"/>
  <c r="EK9" i="7"/>
  <c r="EJ9" i="7"/>
  <c r="EI9" i="7"/>
  <c r="EH9" i="7"/>
  <c r="DM10" i="7"/>
  <c r="DM11" i="7"/>
  <c r="DM12" i="7"/>
  <c r="DM13" i="7"/>
  <c r="DM14" i="7"/>
  <c r="DM15" i="7"/>
  <c r="DM16" i="7"/>
  <c r="DM17" i="7"/>
  <c r="DM18" i="7"/>
  <c r="DM19" i="7"/>
  <c r="DM20" i="7"/>
  <c r="DM21" i="7"/>
  <c r="DM22" i="7"/>
  <c r="DM23" i="7"/>
  <c r="DM24" i="7"/>
  <c r="DM25" i="7"/>
  <c r="DM26" i="7"/>
  <c r="DM27" i="7"/>
  <c r="DM28" i="7"/>
  <c r="DM29" i="7"/>
  <c r="DM30" i="7"/>
  <c r="DM31" i="7"/>
  <c r="DM32" i="7"/>
  <c r="DM33" i="7"/>
  <c r="DM34" i="7"/>
  <c r="DM35" i="7"/>
  <c r="DM36" i="7"/>
  <c r="DM37" i="7"/>
  <c r="DM38" i="7"/>
  <c r="DM39" i="7"/>
  <c r="DM40" i="7"/>
  <c r="DM41" i="7"/>
  <c r="DM42" i="7"/>
  <c r="DM43" i="7"/>
  <c r="DM44" i="7"/>
  <c r="DM45" i="7"/>
  <c r="DM46" i="7"/>
  <c r="DM47" i="7"/>
  <c r="DM48" i="7"/>
  <c r="DM49" i="7"/>
  <c r="DM50" i="7"/>
  <c r="DM51" i="7"/>
  <c r="DM52" i="7"/>
  <c r="DM53" i="7"/>
  <c r="DM54" i="7"/>
  <c r="DM56" i="7"/>
  <c r="DM57" i="7"/>
  <c r="DM58" i="7"/>
  <c r="DM59" i="7"/>
  <c r="DM60" i="7"/>
  <c r="DM61" i="7"/>
  <c r="DM62" i="7"/>
  <c r="DM63" i="7"/>
  <c r="DM64" i="7"/>
  <c r="DM65" i="7"/>
  <c r="DM66" i="7"/>
  <c r="DM67" i="7"/>
  <c r="DM68" i="7"/>
  <c r="DM69" i="7"/>
  <c r="DM70" i="7"/>
  <c r="DM71" i="7"/>
  <c r="DM72" i="7"/>
  <c r="DM73" i="7"/>
  <c r="DM74" i="7"/>
  <c r="DM75" i="7"/>
  <c r="DM76" i="7"/>
  <c r="DM78" i="7"/>
  <c r="DM79" i="7"/>
  <c r="DM80" i="7"/>
  <c r="DM81" i="7"/>
  <c r="DM82" i="7"/>
  <c r="DM83" i="7"/>
  <c r="DM84" i="7"/>
  <c r="DM85" i="7"/>
  <c r="DM86" i="7"/>
  <c r="DM87" i="7"/>
  <c r="DM88" i="7"/>
  <c r="DM89" i="7"/>
  <c r="DM90" i="7"/>
  <c r="DM92" i="7"/>
  <c r="DM93" i="7"/>
  <c r="DM94" i="7"/>
  <c r="DM96" i="7"/>
  <c r="DM97" i="7"/>
  <c r="DM98" i="7"/>
  <c r="DM99" i="7"/>
  <c r="DM9" i="7"/>
  <c r="DM8" i="7"/>
  <c r="CI3" i="7"/>
  <c r="CI4" i="7"/>
  <c r="CI5" i="7"/>
  <c r="CI2" i="7"/>
  <c r="BU10" i="7"/>
  <c r="BV10" i="7"/>
  <c r="BW10" i="7"/>
  <c r="BU11" i="7"/>
  <c r="BV11" i="7"/>
  <c r="BW11" i="7"/>
  <c r="BU12" i="7"/>
  <c r="BV12" i="7"/>
  <c r="BW12" i="7"/>
  <c r="BU13" i="7"/>
  <c r="BV13" i="7"/>
  <c r="BW13" i="7"/>
  <c r="BU14" i="7"/>
  <c r="BV14" i="7"/>
  <c r="BW14" i="7"/>
  <c r="BU15" i="7"/>
  <c r="BV15" i="7"/>
  <c r="BW15" i="7"/>
  <c r="BU16" i="7"/>
  <c r="BV16" i="7"/>
  <c r="BW16" i="7"/>
  <c r="BU17" i="7"/>
  <c r="BV17" i="7"/>
  <c r="BW17" i="7"/>
  <c r="BU18" i="7"/>
  <c r="BV18" i="7"/>
  <c r="BW18" i="7"/>
  <c r="BU19" i="7"/>
  <c r="BV19" i="7"/>
  <c r="BW19" i="7"/>
  <c r="BU20" i="7"/>
  <c r="BV20" i="7"/>
  <c r="BW20" i="7"/>
  <c r="BU21" i="7"/>
  <c r="BV21" i="7"/>
  <c r="BW21" i="7"/>
  <c r="BU22" i="7"/>
  <c r="BV22" i="7"/>
  <c r="BW22" i="7"/>
  <c r="BU23" i="7"/>
  <c r="BV23" i="7"/>
  <c r="BW23" i="7"/>
  <c r="BU24" i="7"/>
  <c r="BV24" i="7"/>
  <c r="BW24" i="7"/>
  <c r="BU25" i="7"/>
  <c r="BV25" i="7"/>
  <c r="BW25" i="7"/>
  <c r="BU26" i="7"/>
  <c r="BV26" i="7"/>
  <c r="BW26" i="7"/>
  <c r="BU27" i="7"/>
  <c r="BV27" i="7"/>
  <c r="BW27" i="7"/>
  <c r="BU28" i="7"/>
  <c r="BV28" i="7"/>
  <c r="BW28" i="7"/>
  <c r="BU29" i="7"/>
  <c r="BV29" i="7"/>
  <c r="BW29" i="7"/>
  <c r="BU30" i="7"/>
  <c r="BV30" i="7"/>
  <c r="BW30" i="7"/>
  <c r="BU31" i="7"/>
  <c r="BV31" i="7"/>
  <c r="BW31" i="7"/>
  <c r="BU32" i="7"/>
  <c r="BV32" i="7"/>
  <c r="BW32" i="7"/>
  <c r="BU33" i="7"/>
  <c r="BV33" i="7"/>
  <c r="BW33" i="7"/>
  <c r="BU34" i="7"/>
  <c r="BV34" i="7"/>
  <c r="BW34" i="7"/>
  <c r="BU35" i="7"/>
  <c r="BV35" i="7"/>
  <c r="BW35" i="7"/>
  <c r="BU36" i="7"/>
  <c r="BV36" i="7"/>
  <c r="BW36" i="7"/>
  <c r="BU37" i="7"/>
  <c r="BV37" i="7"/>
  <c r="BW37" i="7"/>
  <c r="BU38" i="7"/>
  <c r="BV38" i="7"/>
  <c r="BW38" i="7"/>
  <c r="BU39" i="7"/>
  <c r="BV39" i="7"/>
  <c r="BW39" i="7"/>
  <c r="BU40" i="7"/>
  <c r="BV40" i="7"/>
  <c r="BW40" i="7"/>
  <c r="BU41" i="7"/>
  <c r="BV41" i="7"/>
  <c r="BW41" i="7"/>
  <c r="BU42" i="7"/>
  <c r="BV42" i="7"/>
  <c r="BW42" i="7"/>
  <c r="BU43" i="7"/>
  <c r="BV43" i="7"/>
  <c r="BW43" i="7"/>
  <c r="BU44" i="7"/>
  <c r="BV44" i="7"/>
  <c r="BW44" i="7"/>
  <c r="BU45" i="7"/>
  <c r="BV45" i="7"/>
  <c r="BW45" i="7"/>
  <c r="BU46" i="7"/>
  <c r="BV46" i="7"/>
  <c r="BW46" i="7"/>
  <c r="BU47" i="7"/>
  <c r="BV47" i="7"/>
  <c r="BW47" i="7"/>
  <c r="BU48" i="7"/>
  <c r="BV48" i="7"/>
  <c r="BW48" i="7"/>
  <c r="BU49" i="7"/>
  <c r="BV49" i="7"/>
  <c r="BW49" i="7"/>
  <c r="BU50" i="7"/>
  <c r="BV50" i="7"/>
  <c r="BW50" i="7"/>
  <c r="BU51" i="7"/>
  <c r="BV51" i="7"/>
  <c r="BW51" i="7"/>
  <c r="BU52" i="7"/>
  <c r="BV52" i="7"/>
  <c r="BW52" i="7"/>
  <c r="BU53" i="7"/>
  <c r="BV53" i="7"/>
  <c r="BW53" i="7"/>
  <c r="BU54" i="7"/>
  <c r="BV54" i="7"/>
  <c r="BW54" i="7"/>
  <c r="BU56" i="7"/>
  <c r="BV56" i="7"/>
  <c r="BW56" i="7"/>
  <c r="BU57" i="7"/>
  <c r="BV57" i="7"/>
  <c r="BW57" i="7"/>
  <c r="BU58" i="7"/>
  <c r="BV58" i="7"/>
  <c r="BW58" i="7"/>
  <c r="BU59" i="7"/>
  <c r="BV59" i="7"/>
  <c r="BW59" i="7"/>
  <c r="BU60" i="7"/>
  <c r="BV60" i="7"/>
  <c r="BW60" i="7"/>
  <c r="BU61" i="7"/>
  <c r="BV61" i="7"/>
  <c r="BW61" i="7"/>
  <c r="BU62" i="7"/>
  <c r="BV62" i="7"/>
  <c r="BW62" i="7"/>
  <c r="BU63" i="7"/>
  <c r="BV63" i="7"/>
  <c r="BW63" i="7"/>
  <c r="BU64" i="7"/>
  <c r="BV64" i="7"/>
  <c r="BW64" i="7"/>
  <c r="BU65" i="7"/>
  <c r="BV65" i="7"/>
  <c r="BW65" i="7"/>
  <c r="BU66" i="7"/>
  <c r="BV66" i="7"/>
  <c r="BW66" i="7"/>
  <c r="BU67" i="7"/>
  <c r="BV67" i="7"/>
  <c r="BW67" i="7"/>
  <c r="BU68" i="7"/>
  <c r="BV68" i="7"/>
  <c r="BW68" i="7"/>
  <c r="BU69" i="7"/>
  <c r="BV69" i="7"/>
  <c r="BW69" i="7"/>
  <c r="BU70" i="7"/>
  <c r="BV70" i="7"/>
  <c r="BW70" i="7"/>
  <c r="BU71" i="7"/>
  <c r="BV71" i="7"/>
  <c r="BW71" i="7"/>
  <c r="BU72" i="7"/>
  <c r="BV72" i="7"/>
  <c r="BW72" i="7"/>
  <c r="BU73" i="7"/>
  <c r="BV73" i="7"/>
  <c r="BW73" i="7"/>
  <c r="BU74" i="7"/>
  <c r="BV74" i="7"/>
  <c r="BW74" i="7"/>
  <c r="BU75" i="7"/>
  <c r="BV75" i="7"/>
  <c r="BW75" i="7"/>
  <c r="BU76" i="7"/>
  <c r="BV76" i="7"/>
  <c r="BW76" i="7"/>
  <c r="BU78" i="7"/>
  <c r="BV78" i="7"/>
  <c r="BW78" i="7"/>
  <c r="BU79" i="7"/>
  <c r="BV79" i="7"/>
  <c r="BW79" i="7"/>
  <c r="BU80" i="7"/>
  <c r="BV80" i="7"/>
  <c r="BW80" i="7"/>
  <c r="BU81" i="7"/>
  <c r="BV81" i="7"/>
  <c r="BW81" i="7"/>
  <c r="BU82" i="7"/>
  <c r="BV82" i="7"/>
  <c r="BW82" i="7"/>
  <c r="BU83" i="7"/>
  <c r="BV83" i="7"/>
  <c r="BW83" i="7"/>
  <c r="BU84" i="7"/>
  <c r="BV84" i="7"/>
  <c r="BW84" i="7"/>
  <c r="BU85" i="7"/>
  <c r="BV85" i="7"/>
  <c r="BW85" i="7"/>
  <c r="BU86" i="7"/>
  <c r="BV86" i="7"/>
  <c r="BW86" i="7"/>
  <c r="BU87" i="7"/>
  <c r="BV87" i="7"/>
  <c r="BW87" i="7"/>
  <c r="BU88" i="7"/>
  <c r="BV88" i="7"/>
  <c r="BW88" i="7"/>
  <c r="BU89" i="7"/>
  <c r="BV89" i="7"/>
  <c r="BW89" i="7"/>
  <c r="BU90" i="7"/>
  <c r="BV90" i="7"/>
  <c r="BW90" i="7"/>
  <c r="BU92" i="7"/>
  <c r="BV92" i="7"/>
  <c r="BW92" i="7"/>
  <c r="BU93" i="7"/>
  <c r="BV93" i="7"/>
  <c r="BW93" i="7"/>
  <c r="BU94" i="7"/>
  <c r="BV94" i="7"/>
  <c r="BW94" i="7"/>
  <c r="BU96" i="7"/>
  <c r="BV96" i="7"/>
  <c r="BW96" i="7"/>
  <c r="BU97" i="7"/>
  <c r="BV97" i="7"/>
  <c r="BW97" i="7"/>
  <c r="BU98" i="7"/>
  <c r="BV98" i="7"/>
  <c r="BW98" i="7"/>
  <c r="BV9" i="7"/>
  <c r="BT9" i="7"/>
  <c r="CD4" i="7"/>
  <c r="CD6" i="7"/>
  <c r="BT8" i="7"/>
  <c r="BS8" i="7"/>
  <c r="BR8" i="7"/>
  <c r="BQ8" i="7"/>
  <c r="BQ10" i="7"/>
  <c r="BR10" i="7"/>
  <c r="BS10" i="7"/>
  <c r="BT10" i="7"/>
  <c r="BQ11" i="7"/>
  <c r="BR11" i="7"/>
  <c r="BS11" i="7"/>
  <c r="BT11" i="7"/>
  <c r="BQ12" i="7"/>
  <c r="BR12" i="7"/>
  <c r="BS12" i="7"/>
  <c r="BT12" i="7"/>
  <c r="BQ13" i="7"/>
  <c r="BR13" i="7"/>
  <c r="BS13" i="7"/>
  <c r="BT13" i="7"/>
  <c r="BQ14" i="7"/>
  <c r="BR14" i="7"/>
  <c r="BS14" i="7"/>
  <c r="BT14" i="7"/>
  <c r="BQ15" i="7"/>
  <c r="BR15" i="7"/>
  <c r="BS15" i="7"/>
  <c r="BT15" i="7"/>
  <c r="BQ16" i="7"/>
  <c r="BR16" i="7"/>
  <c r="BS16" i="7"/>
  <c r="BT16" i="7"/>
  <c r="BQ17" i="7"/>
  <c r="BR17" i="7"/>
  <c r="BS17" i="7"/>
  <c r="BT17" i="7"/>
  <c r="BQ18" i="7"/>
  <c r="BR18" i="7"/>
  <c r="BS18" i="7"/>
  <c r="BT18" i="7"/>
  <c r="BQ19" i="7"/>
  <c r="BR19" i="7"/>
  <c r="BS19" i="7"/>
  <c r="BT19" i="7"/>
  <c r="BQ20" i="7"/>
  <c r="BR20" i="7"/>
  <c r="BS20" i="7"/>
  <c r="BT20" i="7"/>
  <c r="BQ21" i="7"/>
  <c r="BR21" i="7"/>
  <c r="BS21" i="7"/>
  <c r="BT21" i="7"/>
  <c r="BQ22" i="7"/>
  <c r="BR22" i="7"/>
  <c r="BS22" i="7"/>
  <c r="BT22" i="7"/>
  <c r="BQ23" i="7"/>
  <c r="BR23" i="7"/>
  <c r="BS23" i="7"/>
  <c r="BT23" i="7"/>
  <c r="BQ24" i="7"/>
  <c r="BR24" i="7"/>
  <c r="BS24" i="7"/>
  <c r="BT24" i="7"/>
  <c r="BQ25" i="7"/>
  <c r="BR25" i="7"/>
  <c r="BS25" i="7"/>
  <c r="BT25" i="7"/>
  <c r="BQ26" i="7"/>
  <c r="BR26" i="7"/>
  <c r="BS26" i="7"/>
  <c r="BT26" i="7"/>
  <c r="BQ27" i="7"/>
  <c r="BR27" i="7"/>
  <c r="BS27" i="7"/>
  <c r="BT27" i="7"/>
  <c r="BQ28" i="7"/>
  <c r="BR28" i="7"/>
  <c r="BS28" i="7"/>
  <c r="BT28" i="7"/>
  <c r="BQ29" i="7"/>
  <c r="BR29" i="7"/>
  <c r="BS29" i="7"/>
  <c r="BT29" i="7"/>
  <c r="BQ30" i="7"/>
  <c r="BR30" i="7"/>
  <c r="BS30" i="7"/>
  <c r="BT30" i="7"/>
  <c r="BQ31" i="7"/>
  <c r="BR31" i="7"/>
  <c r="BS31" i="7"/>
  <c r="BT31" i="7"/>
  <c r="BQ32" i="7"/>
  <c r="BR32" i="7"/>
  <c r="BS32" i="7"/>
  <c r="BT32" i="7"/>
  <c r="BQ33" i="7"/>
  <c r="BR33" i="7"/>
  <c r="BS33" i="7"/>
  <c r="BT33" i="7"/>
  <c r="BQ34" i="7"/>
  <c r="BR34" i="7"/>
  <c r="BS34" i="7"/>
  <c r="BT34" i="7"/>
  <c r="BQ35" i="7"/>
  <c r="BR35" i="7"/>
  <c r="BS35" i="7"/>
  <c r="BT35" i="7"/>
  <c r="BQ36" i="7"/>
  <c r="BR36" i="7"/>
  <c r="BS36" i="7"/>
  <c r="BT36" i="7"/>
  <c r="BQ37" i="7"/>
  <c r="BR37" i="7"/>
  <c r="BS37" i="7"/>
  <c r="BT37" i="7"/>
  <c r="BQ38" i="7"/>
  <c r="BR38" i="7"/>
  <c r="BS38" i="7"/>
  <c r="BT38" i="7"/>
  <c r="BQ39" i="7"/>
  <c r="BR39" i="7"/>
  <c r="BS39" i="7"/>
  <c r="BT39" i="7"/>
  <c r="BQ40" i="7"/>
  <c r="BR40" i="7"/>
  <c r="BS40" i="7"/>
  <c r="BT40" i="7"/>
  <c r="BQ41" i="7"/>
  <c r="BR41" i="7"/>
  <c r="BS41" i="7"/>
  <c r="BT41" i="7"/>
  <c r="BQ42" i="7"/>
  <c r="BR42" i="7"/>
  <c r="BS42" i="7"/>
  <c r="BT42" i="7"/>
  <c r="BQ43" i="7"/>
  <c r="BR43" i="7"/>
  <c r="BS43" i="7"/>
  <c r="BT43" i="7"/>
  <c r="BQ44" i="7"/>
  <c r="BR44" i="7"/>
  <c r="BS44" i="7"/>
  <c r="BT44" i="7"/>
  <c r="BQ45" i="7"/>
  <c r="BR45" i="7"/>
  <c r="BS45" i="7"/>
  <c r="BT45" i="7"/>
  <c r="BQ46" i="7"/>
  <c r="BR46" i="7"/>
  <c r="BS46" i="7"/>
  <c r="BT46" i="7"/>
  <c r="BQ47" i="7"/>
  <c r="BR47" i="7"/>
  <c r="BS47" i="7"/>
  <c r="BT47" i="7"/>
  <c r="BQ48" i="7"/>
  <c r="BR48" i="7"/>
  <c r="BS48" i="7"/>
  <c r="BT48" i="7"/>
  <c r="BQ49" i="7"/>
  <c r="BR49" i="7"/>
  <c r="BS49" i="7"/>
  <c r="BT49" i="7"/>
  <c r="BQ50" i="7"/>
  <c r="BR50" i="7"/>
  <c r="BS50" i="7"/>
  <c r="BT50" i="7"/>
  <c r="BQ51" i="7"/>
  <c r="BR51" i="7"/>
  <c r="BS51" i="7"/>
  <c r="BT51" i="7"/>
  <c r="BQ52" i="7"/>
  <c r="BR52" i="7"/>
  <c r="BS52" i="7"/>
  <c r="BT52" i="7"/>
  <c r="BQ53" i="7"/>
  <c r="BR53" i="7"/>
  <c r="BS53" i="7"/>
  <c r="BT53" i="7"/>
  <c r="BQ54" i="7"/>
  <c r="BR54" i="7"/>
  <c r="BS54" i="7"/>
  <c r="BT54" i="7"/>
  <c r="BQ56" i="7"/>
  <c r="BR56" i="7"/>
  <c r="BS56" i="7"/>
  <c r="BT56" i="7"/>
  <c r="BQ57" i="7"/>
  <c r="BR57" i="7"/>
  <c r="BS57" i="7"/>
  <c r="BT57" i="7"/>
  <c r="BQ58" i="7"/>
  <c r="BR58" i="7"/>
  <c r="BS58" i="7"/>
  <c r="BT58" i="7"/>
  <c r="BQ59" i="7"/>
  <c r="BR59" i="7"/>
  <c r="BS59" i="7"/>
  <c r="BT59" i="7"/>
  <c r="BQ60" i="7"/>
  <c r="BR60" i="7"/>
  <c r="BS60" i="7"/>
  <c r="BT60" i="7"/>
  <c r="BQ61" i="7"/>
  <c r="BR61" i="7"/>
  <c r="BS61" i="7"/>
  <c r="BT61" i="7"/>
  <c r="BQ62" i="7"/>
  <c r="BR62" i="7"/>
  <c r="BS62" i="7"/>
  <c r="BT62" i="7"/>
  <c r="BQ63" i="7"/>
  <c r="BR63" i="7"/>
  <c r="BS63" i="7"/>
  <c r="BT63" i="7"/>
  <c r="BQ64" i="7"/>
  <c r="BR64" i="7"/>
  <c r="BS64" i="7"/>
  <c r="BT64" i="7"/>
  <c r="BQ65" i="7"/>
  <c r="BR65" i="7"/>
  <c r="BS65" i="7"/>
  <c r="BT65" i="7"/>
  <c r="BQ66" i="7"/>
  <c r="BR66" i="7"/>
  <c r="BS66" i="7"/>
  <c r="BT66" i="7"/>
  <c r="BQ67" i="7"/>
  <c r="BR67" i="7"/>
  <c r="BS67" i="7"/>
  <c r="BT67" i="7"/>
  <c r="BQ68" i="7"/>
  <c r="BR68" i="7"/>
  <c r="BS68" i="7"/>
  <c r="BT68" i="7"/>
  <c r="BQ69" i="7"/>
  <c r="BR69" i="7"/>
  <c r="BS69" i="7"/>
  <c r="BT69" i="7"/>
  <c r="BQ70" i="7"/>
  <c r="BR70" i="7"/>
  <c r="BS70" i="7"/>
  <c r="BT70" i="7"/>
  <c r="BQ71" i="7"/>
  <c r="BR71" i="7"/>
  <c r="BS71" i="7"/>
  <c r="BT71" i="7"/>
  <c r="BQ72" i="7"/>
  <c r="BR72" i="7"/>
  <c r="BS72" i="7"/>
  <c r="BT72" i="7"/>
  <c r="BQ73" i="7"/>
  <c r="BR73" i="7"/>
  <c r="BS73" i="7"/>
  <c r="BT73" i="7"/>
  <c r="BQ74" i="7"/>
  <c r="BR74" i="7"/>
  <c r="BS74" i="7"/>
  <c r="BT74" i="7"/>
  <c r="BQ75" i="7"/>
  <c r="BR75" i="7"/>
  <c r="BS75" i="7"/>
  <c r="BT75" i="7"/>
  <c r="BQ76" i="7"/>
  <c r="BR76" i="7"/>
  <c r="BS76" i="7"/>
  <c r="BT76" i="7"/>
  <c r="BQ78" i="7"/>
  <c r="BR78" i="7"/>
  <c r="BS78" i="7"/>
  <c r="BT78" i="7"/>
  <c r="BQ79" i="7"/>
  <c r="BR79" i="7"/>
  <c r="BS79" i="7"/>
  <c r="BT79" i="7"/>
  <c r="BQ80" i="7"/>
  <c r="BR80" i="7"/>
  <c r="BS80" i="7"/>
  <c r="BT80" i="7"/>
  <c r="BQ81" i="7"/>
  <c r="BR81" i="7"/>
  <c r="BS81" i="7"/>
  <c r="BT81" i="7"/>
  <c r="BQ82" i="7"/>
  <c r="BR82" i="7"/>
  <c r="BS82" i="7"/>
  <c r="BT82" i="7"/>
  <c r="BQ83" i="7"/>
  <c r="BR83" i="7"/>
  <c r="BS83" i="7"/>
  <c r="BT83" i="7"/>
  <c r="BQ84" i="7"/>
  <c r="BR84" i="7"/>
  <c r="BS84" i="7"/>
  <c r="BT84" i="7"/>
  <c r="BQ85" i="7"/>
  <c r="BR85" i="7"/>
  <c r="BS85" i="7"/>
  <c r="BT85" i="7"/>
  <c r="BQ86" i="7"/>
  <c r="BR86" i="7"/>
  <c r="BS86" i="7"/>
  <c r="BT86" i="7"/>
  <c r="BQ87" i="7"/>
  <c r="BR87" i="7"/>
  <c r="BS87" i="7"/>
  <c r="BT87" i="7"/>
  <c r="BQ88" i="7"/>
  <c r="BR88" i="7"/>
  <c r="BS88" i="7"/>
  <c r="BT88" i="7"/>
  <c r="BQ89" i="7"/>
  <c r="BR89" i="7"/>
  <c r="BS89" i="7"/>
  <c r="BT89" i="7"/>
  <c r="BQ90" i="7"/>
  <c r="BR90" i="7"/>
  <c r="BS90" i="7"/>
  <c r="BT90" i="7"/>
  <c r="BQ92" i="7"/>
  <c r="BR92" i="7"/>
  <c r="BS92" i="7"/>
  <c r="BT92" i="7"/>
  <c r="BQ93" i="7"/>
  <c r="BR93" i="7"/>
  <c r="BS93" i="7"/>
  <c r="BT93" i="7"/>
  <c r="BQ94" i="7"/>
  <c r="BR94" i="7"/>
  <c r="BS94" i="7"/>
  <c r="BT94" i="7"/>
  <c r="BQ96" i="7"/>
  <c r="BR96" i="7"/>
  <c r="BS96" i="7"/>
  <c r="BT96" i="7"/>
  <c r="BQ97" i="7"/>
  <c r="BR97" i="7"/>
  <c r="BS97" i="7"/>
  <c r="BT97" i="7"/>
  <c r="BQ98" i="7"/>
  <c r="BR98" i="7"/>
  <c r="BS98" i="7"/>
  <c r="BT98" i="7"/>
  <c r="BQ9" i="7"/>
  <c r="BR9" i="7"/>
  <c r="BS9" i="7"/>
  <c r="R7" i="3"/>
  <c r="R8" i="3"/>
  <c r="R9" i="3"/>
  <c r="R10" i="3"/>
  <c r="R11" i="3"/>
  <c r="AC5" i="7"/>
  <c r="R13" i="3"/>
  <c r="R14" i="3"/>
  <c r="R15" i="3"/>
  <c r="R16" i="3"/>
  <c r="CH7" i="7"/>
  <c r="R17" i="3"/>
  <c r="R6" i="3"/>
  <c r="P17" i="3"/>
  <c r="Q17" i="3"/>
  <c r="Q16" i="3"/>
  <c r="P16" i="3"/>
  <c r="X6" i="3"/>
  <c r="E85" i="14"/>
  <c r="I93" i="14"/>
  <c r="H97" i="14"/>
  <c r="I85" i="14"/>
  <c r="F86" i="14"/>
  <c r="G86" i="14"/>
  <c r="H86" i="14"/>
  <c r="I86" i="14"/>
  <c r="E86" i="14"/>
  <c r="E87" i="14"/>
  <c r="F87" i="14"/>
  <c r="G87" i="14"/>
  <c r="H87" i="14"/>
  <c r="I87" i="14"/>
  <c r="E88" i="14"/>
  <c r="F88" i="14"/>
  <c r="G88" i="14"/>
  <c r="H88" i="14"/>
  <c r="I88" i="14"/>
  <c r="E89" i="14"/>
  <c r="F89" i="14"/>
  <c r="G89" i="14"/>
  <c r="H89" i="14"/>
  <c r="I89" i="14"/>
  <c r="E90" i="14"/>
  <c r="F90" i="14"/>
  <c r="G90" i="14"/>
  <c r="H90" i="14"/>
  <c r="I90" i="14"/>
  <c r="E91" i="14"/>
  <c r="F91" i="14"/>
  <c r="G91" i="14"/>
  <c r="H91" i="14"/>
  <c r="I91" i="14"/>
  <c r="E92" i="14"/>
  <c r="F92" i="14"/>
  <c r="G92" i="14"/>
  <c r="H92" i="14"/>
  <c r="I92" i="14"/>
  <c r="E93" i="14"/>
  <c r="F93" i="14"/>
  <c r="G93" i="14"/>
  <c r="H93" i="14"/>
  <c r="E94" i="14"/>
  <c r="F94" i="14"/>
  <c r="G94" i="14"/>
  <c r="H94" i="14"/>
  <c r="I94" i="14"/>
  <c r="E95" i="14"/>
  <c r="F95" i="14"/>
  <c r="G95" i="14"/>
  <c r="H95" i="14"/>
  <c r="I95" i="14"/>
  <c r="E96" i="14"/>
  <c r="F96" i="14"/>
  <c r="G96" i="14"/>
  <c r="H96" i="14"/>
  <c r="I96" i="14"/>
  <c r="E97" i="14"/>
  <c r="F97" i="14"/>
  <c r="G97" i="14"/>
  <c r="I97" i="14"/>
  <c r="F85" i="14"/>
  <c r="G85" i="14"/>
  <c r="H85" i="14"/>
  <c r="DD7" i="7"/>
  <c r="DE7" i="7"/>
  <c r="CY5" i="7"/>
  <c r="DE6" i="7"/>
  <c r="DB7" i="7"/>
  <c r="DA7" i="7"/>
  <c r="DH7" i="7"/>
  <c r="DH98" i="7"/>
  <c r="T3" i="14"/>
  <c r="CU6" i="7"/>
  <c r="CZ7" i="7"/>
  <c r="CD97" i="7"/>
  <c r="CD94" i="7"/>
  <c r="CD92" i="7"/>
  <c r="CD89" i="7"/>
  <c r="CD87" i="7"/>
  <c r="CD85" i="7"/>
  <c r="CD83" i="7"/>
  <c r="CD81" i="7"/>
  <c r="CD72" i="7"/>
  <c r="CD70" i="7"/>
  <c r="CD68" i="7"/>
  <c r="CD66" i="7"/>
  <c r="CD62" i="7"/>
  <c r="CD56" i="7"/>
  <c r="CD53" i="7"/>
  <c r="CD51" i="7"/>
  <c r="CD49" i="7"/>
  <c r="CD47" i="7"/>
  <c r="CD45" i="7"/>
  <c r="CD43" i="7"/>
  <c r="CD41" i="7"/>
  <c r="CD39" i="7"/>
  <c r="CD35" i="7"/>
  <c r="CD29" i="7"/>
  <c r="CD23" i="7"/>
  <c r="CD21" i="7"/>
  <c r="CD98" i="7"/>
  <c r="CD96" i="7"/>
  <c r="CD93" i="7"/>
  <c r="CD90" i="7"/>
  <c r="CD88" i="7"/>
  <c r="CD86" i="7"/>
  <c r="CD84" i="7"/>
  <c r="CD82" i="7"/>
  <c r="CD80" i="7"/>
  <c r="CD78" i="7"/>
  <c r="CD75" i="7"/>
  <c r="CD71" i="7"/>
  <c r="CD69" i="7"/>
  <c r="CD67" i="7"/>
  <c r="CD65" i="7"/>
  <c r="CD63" i="7"/>
  <c r="CD61" i="7"/>
  <c r="CD54" i="7"/>
  <c r="CD52" i="7"/>
  <c r="CD50" i="7"/>
  <c r="CD48" i="7"/>
  <c r="CD46" i="7"/>
  <c r="CD42" i="7"/>
  <c r="CD40" i="7"/>
  <c r="CD38" i="7"/>
  <c r="CD36" i="7"/>
  <c r="CD34" i="7"/>
  <c r="CD30" i="7"/>
  <c r="CD28" i="7"/>
  <c r="CD22" i="7"/>
  <c r="CD20" i="7"/>
  <c r="CD19" i="7"/>
  <c r="CD17" i="7"/>
  <c r="CD15" i="7"/>
  <c r="CD11" i="7"/>
  <c r="CD18" i="7"/>
  <c r="CD16" i="7"/>
  <c r="CD12" i="7"/>
  <c r="CD10" i="7"/>
  <c r="BY8" i="7"/>
  <c r="CL6" i="7"/>
  <c r="CX6" i="7"/>
  <c r="BR101" i="7"/>
  <c r="BQ101" i="7"/>
  <c r="BS101" i="7"/>
  <c r="BT101" i="7"/>
  <c r="AF10" i="3"/>
  <c r="AF9" i="3"/>
  <c r="DE83" i="7"/>
  <c r="DH60" i="7"/>
  <c r="DH30" i="7"/>
  <c r="DH76" i="7"/>
  <c r="DH57" i="7"/>
  <c r="DH17" i="7"/>
  <c r="DH94" i="7"/>
  <c r="DH9" i="7"/>
  <c r="DH33" i="7"/>
  <c r="DH14" i="7"/>
  <c r="DH75" i="7"/>
  <c r="DH25" i="7"/>
  <c r="DH49" i="7"/>
  <c r="DH68" i="7"/>
  <c r="DH85" i="7"/>
  <c r="DH91" i="7"/>
  <c r="DH22" i="7"/>
  <c r="DH44" i="7"/>
  <c r="DH67" i="7"/>
  <c r="DH90" i="7"/>
  <c r="DH13" i="7"/>
  <c r="DH21" i="7"/>
  <c r="DH29" i="7"/>
  <c r="DH37" i="7"/>
  <c r="DH56" i="7"/>
  <c r="DH64" i="7"/>
  <c r="DH72" i="7"/>
  <c r="DH81" i="7"/>
  <c r="DH89" i="7"/>
  <c r="DH95" i="7"/>
  <c r="DH10" i="7"/>
  <c r="DH18" i="7"/>
  <c r="DH26" i="7"/>
  <c r="DH34" i="7"/>
  <c r="DH50" i="7"/>
  <c r="DH63" i="7"/>
  <c r="DH71" i="7"/>
  <c r="DH84" i="7"/>
  <c r="DH96" i="7"/>
  <c r="DH11" i="7"/>
  <c r="DH15" i="7"/>
  <c r="DH19" i="7"/>
  <c r="DH23" i="7"/>
  <c r="DH27" i="7"/>
  <c r="DH31" i="7"/>
  <c r="DH35" i="7"/>
  <c r="DH45" i="7"/>
  <c r="DH51" i="7"/>
  <c r="DH58" i="7"/>
  <c r="DH62" i="7"/>
  <c r="DH66" i="7"/>
  <c r="DH70" i="7"/>
  <c r="DH74" i="7"/>
  <c r="DH79" i="7"/>
  <c r="DH83" i="7"/>
  <c r="DH92" i="7"/>
  <c r="DH97" i="7"/>
  <c r="DH77" i="7"/>
  <c r="DH55" i="7"/>
  <c r="DH12" i="7"/>
  <c r="DH16" i="7"/>
  <c r="DH20" i="7"/>
  <c r="DH24" i="7"/>
  <c r="DH28" i="7"/>
  <c r="DH32" i="7"/>
  <c r="DH36" i="7"/>
  <c r="DH48" i="7"/>
  <c r="DH54" i="7"/>
  <c r="DH59" i="7"/>
  <c r="DH65" i="7"/>
  <c r="DH69" i="7"/>
  <c r="DH73" i="7"/>
  <c r="DH80" i="7"/>
  <c r="DH88" i="7"/>
  <c r="DH93" i="7"/>
  <c r="L8" i="14"/>
  <c r="L10" i="14"/>
  <c r="L12" i="14"/>
  <c r="L14" i="14"/>
  <c r="L16" i="14"/>
  <c r="L9" i="14"/>
  <c r="L11" i="14"/>
  <c r="L13" i="14"/>
  <c r="L15" i="14"/>
  <c r="L7" i="14"/>
  <c r="CZ55" i="7"/>
  <c r="CZ91" i="7"/>
  <c r="CZ77" i="7"/>
  <c r="CZ95" i="7"/>
  <c r="CZ98" i="7"/>
  <c r="CZ93" i="7"/>
  <c r="CZ88" i="7"/>
  <c r="CZ82" i="7"/>
  <c r="CZ78" i="7"/>
  <c r="CZ73" i="7"/>
  <c r="CZ67" i="7"/>
  <c r="CZ63" i="7"/>
  <c r="CZ59" i="7"/>
  <c r="CZ54" i="7"/>
  <c r="CZ50" i="7"/>
  <c r="CZ46" i="7"/>
  <c r="CZ42" i="7"/>
  <c r="CZ38" i="7"/>
  <c r="CZ34" i="7"/>
  <c r="CZ30" i="7"/>
  <c r="CZ26" i="7"/>
  <c r="CZ22" i="7"/>
  <c r="CZ18" i="7"/>
  <c r="CZ94" i="7"/>
  <c r="CZ89" i="7"/>
  <c r="CZ83" i="7"/>
  <c r="CZ79" i="7"/>
  <c r="CZ74" i="7"/>
  <c r="CZ68" i="7"/>
  <c r="CZ64" i="7"/>
  <c r="CZ60" i="7"/>
  <c r="CZ56" i="7"/>
  <c r="CZ51" i="7"/>
  <c r="CZ47" i="7"/>
  <c r="CZ43" i="7"/>
  <c r="CZ39" i="7"/>
  <c r="CZ35" i="7"/>
  <c r="CZ31" i="7"/>
  <c r="CZ27" i="7"/>
  <c r="CZ23" i="7"/>
  <c r="CZ17" i="7"/>
  <c r="CZ13" i="7"/>
  <c r="CZ9" i="7"/>
  <c r="CZ96" i="7"/>
  <c r="CZ90" i="7"/>
  <c r="CZ86" i="7"/>
  <c r="CZ80" i="7"/>
  <c r="CZ75" i="7"/>
  <c r="CZ69" i="7"/>
  <c r="CZ65" i="7"/>
  <c r="CZ61" i="7"/>
  <c r="CZ57" i="7"/>
  <c r="CZ52" i="7"/>
  <c r="CZ48" i="7"/>
  <c r="CZ44" i="7"/>
  <c r="CZ40" i="7"/>
  <c r="CZ36" i="7"/>
  <c r="CZ32" i="7"/>
  <c r="CZ28" i="7"/>
  <c r="CZ24" i="7"/>
  <c r="CZ20" i="7"/>
  <c r="CZ16" i="7"/>
  <c r="CZ97" i="7"/>
  <c r="CZ92" i="7"/>
  <c r="CZ87" i="7"/>
  <c r="CZ81" i="7"/>
  <c r="CZ76" i="7"/>
  <c r="CZ72" i="7"/>
  <c r="CZ66" i="7"/>
  <c r="CZ62" i="7"/>
  <c r="CZ58" i="7"/>
  <c r="CZ53" i="7"/>
  <c r="CZ49" i="7"/>
  <c r="CZ45" i="7"/>
  <c r="CZ41" i="7"/>
  <c r="CZ37" i="7"/>
  <c r="CZ33" i="7"/>
  <c r="CZ29" i="7"/>
  <c r="CZ25" i="7"/>
  <c r="CZ21" i="7"/>
  <c r="CZ15" i="7"/>
  <c r="BY96" i="7"/>
  <c r="DN96" i="7"/>
  <c r="BY94" i="7"/>
  <c r="DN94" i="7"/>
  <c r="BY86" i="7"/>
  <c r="BY88" i="7"/>
  <c r="DN88" i="7"/>
  <c r="BY82" i="7"/>
  <c r="BY78" i="7"/>
  <c r="BY74" i="7"/>
  <c r="DN74" i="7"/>
  <c r="BY70" i="7"/>
  <c r="CZ70" i="7"/>
  <c r="BY66" i="7"/>
  <c r="DN66" i="7"/>
  <c r="BY62" i="7"/>
  <c r="DN62" i="7"/>
  <c r="BY58" i="7"/>
  <c r="BY54" i="7"/>
  <c r="DN54" i="7"/>
  <c r="BY50" i="7"/>
  <c r="DN50" i="7"/>
  <c r="BY46" i="7"/>
  <c r="BY42" i="7"/>
  <c r="BY38" i="7"/>
  <c r="BY34" i="7"/>
  <c r="DN34" i="7"/>
  <c r="BY30" i="7"/>
  <c r="DN30" i="7"/>
  <c r="BY26" i="7"/>
  <c r="DN26" i="7"/>
  <c r="BY22" i="7"/>
  <c r="DN22" i="7"/>
  <c r="BY18" i="7"/>
  <c r="DN18" i="7"/>
  <c r="BY14" i="7"/>
  <c r="CZ14" i="7"/>
  <c r="BY10" i="7"/>
  <c r="BY89" i="7"/>
  <c r="DN89" i="7"/>
  <c r="BY85" i="7"/>
  <c r="CZ85" i="7"/>
  <c r="BY81" i="7"/>
  <c r="DN81" i="7"/>
  <c r="BY75" i="7"/>
  <c r="DN75" i="7"/>
  <c r="BY71" i="7"/>
  <c r="CZ71" i="7"/>
  <c r="BY67" i="7"/>
  <c r="DN67" i="7"/>
  <c r="BY63" i="7"/>
  <c r="DN63" i="7"/>
  <c r="BY59" i="7"/>
  <c r="DN59" i="7"/>
  <c r="BY53" i="7"/>
  <c r="BY49" i="7"/>
  <c r="DN49" i="7"/>
  <c r="BY45" i="7"/>
  <c r="DN45" i="7"/>
  <c r="BY41" i="7"/>
  <c r="BY37" i="7"/>
  <c r="DN37" i="7"/>
  <c r="BY33" i="7"/>
  <c r="DN33" i="7"/>
  <c r="BY29" i="7"/>
  <c r="DN29" i="7"/>
  <c r="BY25" i="7"/>
  <c r="DN25" i="7"/>
  <c r="BY21" i="7"/>
  <c r="DN21" i="7"/>
  <c r="BY17" i="7"/>
  <c r="DN17" i="7"/>
  <c r="BY13" i="7"/>
  <c r="DN13" i="7"/>
  <c r="BY9" i="7"/>
  <c r="BY92" i="7"/>
  <c r="DN92" i="7"/>
  <c r="BY90" i="7"/>
  <c r="DN90" i="7"/>
  <c r="BY98" i="7"/>
  <c r="DN98" i="7"/>
  <c r="BY84" i="7"/>
  <c r="CZ84" i="7"/>
  <c r="BY80" i="7"/>
  <c r="DN80" i="7"/>
  <c r="BY76" i="7"/>
  <c r="DN76" i="7"/>
  <c r="BY72" i="7"/>
  <c r="DN72" i="7"/>
  <c r="BY68" i="7"/>
  <c r="DN68" i="7"/>
  <c r="BY64" i="7"/>
  <c r="DN64" i="7"/>
  <c r="BY60" i="7"/>
  <c r="DN60" i="7"/>
  <c r="BY56" i="7"/>
  <c r="DN56" i="7"/>
  <c r="BY52" i="7"/>
  <c r="BY48" i="7"/>
  <c r="DN48" i="7"/>
  <c r="BY44" i="7"/>
  <c r="DN44" i="7"/>
  <c r="BY40" i="7"/>
  <c r="BY36" i="7"/>
  <c r="DN36" i="7"/>
  <c r="BY32" i="7"/>
  <c r="DN32" i="7"/>
  <c r="BY28" i="7"/>
  <c r="DN28" i="7"/>
  <c r="BY24" i="7"/>
  <c r="DN24" i="7"/>
  <c r="BY20" i="7"/>
  <c r="BY16" i="7"/>
  <c r="DD16" i="7"/>
  <c r="BY12" i="7"/>
  <c r="CZ12" i="7"/>
  <c r="BY97" i="7"/>
  <c r="DN97" i="7"/>
  <c r="BY93" i="7"/>
  <c r="DN93" i="7"/>
  <c r="BY87" i="7"/>
  <c r="DN87" i="7"/>
  <c r="BY83" i="7"/>
  <c r="DN83" i="7"/>
  <c r="BY79" i="7"/>
  <c r="DN79" i="7"/>
  <c r="BY73" i="7"/>
  <c r="DN73" i="7"/>
  <c r="BY69" i="7"/>
  <c r="DN69" i="7"/>
  <c r="BY65" i="7"/>
  <c r="DN65" i="7"/>
  <c r="BY61" i="7"/>
  <c r="BY57" i="7"/>
  <c r="DN57" i="7"/>
  <c r="BY51" i="7"/>
  <c r="DN51" i="7"/>
  <c r="BY47" i="7"/>
  <c r="BY43" i="7"/>
  <c r="DB43" i="7"/>
  <c r="BY39" i="7"/>
  <c r="BY35" i="7"/>
  <c r="DN35" i="7"/>
  <c r="BY31" i="7"/>
  <c r="DN31" i="7"/>
  <c r="BY27" i="7"/>
  <c r="DN27" i="7"/>
  <c r="BY23" i="7"/>
  <c r="DN23" i="7"/>
  <c r="BY19" i="7"/>
  <c r="CZ19" i="7"/>
  <c r="BY15" i="7"/>
  <c r="DN15" i="7"/>
  <c r="BY11" i="7"/>
  <c r="CK6" i="7"/>
  <c r="DN7" i="7"/>
  <c r="CH60" i="7"/>
  <c r="CZ11" i="7"/>
  <c r="DH87" i="7"/>
  <c r="DN16" i="7"/>
  <c r="DO16" i="7"/>
  <c r="DP16" i="7"/>
  <c r="EL16" i="7"/>
  <c r="DN78" i="7"/>
  <c r="DQ80" i="7"/>
  <c r="DH78" i="7"/>
  <c r="DN39" i="7"/>
  <c r="DH39" i="7"/>
  <c r="DN47" i="7"/>
  <c r="DH47" i="7"/>
  <c r="DN52" i="7"/>
  <c r="DH52" i="7"/>
  <c r="DN41" i="7"/>
  <c r="DH41" i="7"/>
  <c r="DN42" i="7"/>
  <c r="DH42" i="7"/>
  <c r="DN82" i="7"/>
  <c r="DH82" i="7"/>
  <c r="DN86" i="7"/>
  <c r="DH86" i="7"/>
  <c r="DN43" i="7"/>
  <c r="DH43" i="7"/>
  <c r="DN61" i="7"/>
  <c r="DH61" i="7"/>
  <c r="DN40" i="7"/>
  <c r="DH40" i="7"/>
  <c r="DN53" i="7"/>
  <c r="DH53" i="7"/>
  <c r="DN38" i="7"/>
  <c r="DH38" i="7"/>
  <c r="DN46" i="7"/>
  <c r="DH46" i="7"/>
  <c r="CZ10" i="7"/>
  <c r="DN12" i="7"/>
  <c r="DN20" i="7"/>
  <c r="DN11" i="7"/>
  <c r="DN19" i="7"/>
  <c r="DN71" i="7"/>
  <c r="DN14" i="7"/>
  <c r="DN70" i="7"/>
  <c r="DN84" i="7"/>
  <c r="DN85" i="7"/>
  <c r="DN10" i="7"/>
  <c r="DN9" i="7"/>
  <c r="DO17" i="7"/>
  <c r="DP17" i="7"/>
  <c r="EL17" i="7"/>
  <c r="DO18" i="7"/>
  <c r="DP18" i="7"/>
  <c r="EL18" i="7"/>
  <c r="DO15" i="7"/>
  <c r="DP15" i="7"/>
  <c r="DN58" i="7"/>
  <c r="DQ37" i="7"/>
  <c r="DQ98" i="7"/>
  <c r="DQ50" i="7"/>
  <c r="EL15" i="7"/>
  <c r="U15" i="7"/>
  <c r="AL15" i="7"/>
  <c r="BG15" i="7"/>
  <c r="BH15" i="7"/>
  <c r="AL18" i="7"/>
  <c r="BG18" i="7"/>
  <c r="BH18" i="7"/>
  <c r="U18" i="7"/>
  <c r="AL17" i="7"/>
  <c r="U17" i="7"/>
  <c r="AL16" i="7"/>
  <c r="U16" i="7"/>
  <c r="DQ72" i="7"/>
  <c r="DQ43" i="7"/>
  <c r="DQ56" i="7"/>
  <c r="DO23" i="7"/>
  <c r="DP23" i="7"/>
  <c r="EL23" i="7"/>
  <c r="DQ22" i="7"/>
  <c r="DQ86" i="7"/>
  <c r="DO9" i="7"/>
  <c r="DP9" i="7"/>
  <c r="DN99" i="7"/>
  <c r="DT18" i="7"/>
  <c r="DT15" i="7"/>
  <c r="DT17" i="7"/>
  <c r="DT16" i="7"/>
  <c r="DQ64" i="7"/>
  <c r="BK51" i="7"/>
  <c r="E27" i="14"/>
  <c r="Z27" i="14"/>
  <c r="AR8" i="3"/>
  <c r="AR9" i="3"/>
  <c r="AR10" i="3"/>
  <c r="AR11" i="3"/>
  <c r="AR12" i="3"/>
  <c r="AR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N8" i="3"/>
  <c r="AN9" i="3"/>
  <c r="AN10" i="3"/>
  <c r="AN11" i="3"/>
  <c r="AN12" i="3"/>
  <c r="AN13" i="3"/>
  <c r="AN14" i="3"/>
  <c r="AN15"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F8" i="3"/>
  <c r="AF11" i="3"/>
  <c r="AF12" i="3"/>
  <c r="AF13" i="3"/>
  <c r="AF14" i="3"/>
  <c r="AF15" i="3"/>
  <c r="AF16" i="3"/>
  <c r="AF17" i="3"/>
  <c r="AF18" i="3"/>
  <c r="AF19" i="3"/>
  <c r="AF20" i="3"/>
  <c r="AF21" i="3"/>
  <c r="AF22" i="3"/>
  <c r="AF24" i="3"/>
  <c r="AF25" i="3"/>
  <c r="AF26" i="3"/>
  <c r="AF27" i="3"/>
  <c r="AF28" i="3"/>
  <c r="AF29" i="3"/>
  <c r="AF30" i="3"/>
  <c r="AF31" i="3"/>
  <c r="AF32" i="3"/>
  <c r="AF33" i="3"/>
  <c r="AF34" i="3"/>
  <c r="AF35" i="3"/>
  <c r="AF36" i="3"/>
  <c r="AF37" i="3"/>
  <c r="AF38" i="3"/>
  <c r="AF39" i="3"/>
  <c r="AF40" i="3"/>
  <c r="AF7" i="3"/>
  <c r="AR7" i="3"/>
  <c r="AN7" i="3"/>
  <c r="AJ8" i="3"/>
  <c r="AJ9" i="3"/>
  <c r="AJ10" i="3"/>
  <c r="AJ11" i="3"/>
  <c r="AJ12" i="3"/>
  <c r="AJ13" i="3"/>
  <c r="AJ14" i="3"/>
  <c r="AJ15" i="3"/>
  <c r="AJ16" i="3"/>
  <c r="AJ17" i="3"/>
  <c r="AJ19" i="3"/>
  <c r="AJ20" i="3"/>
  <c r="AJ21" i="3"/>
  <c r="AJ22" i="3"/>
  <c r="AJ23" i="3"/>
  <c r="AJ24" i="3"/>
  <c r="AJ25" i="3"/>
  <c r="AJ26" i="3"/>
  <c r="AJ27" i="3"/>
  <c r="AJ28" i="3"/>
  <c r="AJ29" i="3"/>
  <c r="AJ30" i="3"/>
  <c r="AJ31" i="3"/>
  <c r="AJ32" i="3"/>
  <c r="AJ33" i="3"/>
  <c r="AJ34" i="3"/>
  <c r="AJ35" i="3"/>
  <c r="AJ36" i="3"/>
  <c r="AJ37" i="3"/>
  <c r="AJ38" i="3"/>
  <c r="AJ39" i="3"/>
  <c r="AJ40" i="3"/>
  <c r="AJ7" i="3"/>
  <c r="AE4" i="3"/>
  <c r="AH4" i="3"/>
  <c r="AI4" i="3"/>
  <c r="AK4" i="3"/>
  <c r="AL4" i="3"/>
  <c r="AM4" i="3"/>
  <c r="AO4" i="3"/>
  <c r="AP4" i="3"/>
  <c r="AQ4" i="3"/>
  <c r="AS4" i="3"/>
  <c r="AD4" i="3"/>
  <c r="J12" i="3"/>
  <c r="R12" i="3"/>
  <c r="AC26" i="3"/>
  <c r="AC27" i="3"/>
  <c r="AC28" i="3"/>
  <c r="AC25" i="3"/>
  <c r="J27" i="3"/>
  <c r="J22" i="3"/>
  <c r="J18" i="3"/>
  <c r="R18" i="3"/>
  <c r="CX7" i="7"/>
  <c r="CX71" i="7"/>
  <c r="J38" i="3"/>
  <c r="R38" i="3"/>
  <c r="J25" i="3"/>
  <c r="J28" i="3"/>
  <c r="DT23" i="7"/>
  <c r="AL24" i="7"/>
  <c r="BG23" i="7"/>
  <c r="BI23" i="7"/>
  <c r="U24" i="7"/>
  <c r="AL9" i="7"/>
  <c r="BG9" i="7"/>
  <c r="BH9" i="7"/>
  <c r="I34" i="14"/>
  <c r="AD34" i="14"/>
  <c r="EL9" i="7"/>
  <c r="U9" i="7"/>
  <c r="BJ15" i="7"/>
  <c r="I73" i="14"/>
  <c r="AD73" i="14"/>
  <c r="DT9" i="7"/>
  <c r="DQ99" i="7"/>
  <c r="K42" i="3"/>
  <c r="BI18" i="7"/>
  <c r="I56" i="14"/>
  <c r="AD56" i="14"/>
  <c r="BJ18" i="7"/>
  <c r="I75" i="14"/>
  <c r="AD75" i="14"/>
  <c r="BI15" i="7"/>
  <c r="H54" i="14"/>
  <c r="AC54" i="14"/>
  <c r="CD7" i="7"/>
  <c r="CD59" i="7"/>
  <c r="J32" i="3"/>
  <c r="J36" i="3"/>
  <c r="R36" i="3"/>
  <c r="J31" i="3"/>
  <c r="J33" i="3"/>
  <c r="J35" i="3"/>
  <c r="J37" i="3"/>
  <c r="R37" i="3"/>
  <c r="J19" i="3"/>
  <c r="J26" i="3"/>
  <c r="J24" i="3"/>
  <c r="J21" i="3"/>
  <c r="J23" i="3"/>
  <c r="I35" i="14"/>
  <c r="AD35" i="14"/>
  <c r="H35" i="14"/>
  <c r="AC35" i="14"/>
  <c r="I37" i="14"/>
  <c r="AD37" i="14"/>
  <c r="H37" i="14"/>
  <c r="AC37" i="14"/>
  <c r="G27" i="14"/>
  <c r="AB27" i="14"/>
  <c r="I27" i="14"/>
  <c r="AD27" i="14"/>
  <c r="F46" i="14"/>
  <c r="AA46" i="14"/>
  <c r="H46" i="14"/>
  <c r="AC46" i="14"/>
  <c r="E65" i="14"/>
  <c r="Z65" i="14"/>
  <c r="G65" i="14"/>
  <c r="AB65" i="14"/>
  <c r="I65" i="14"/>
  <c r="AD65" i="14"/>
  <c r="F27" i="14"/>
  <c r="AA27" i="14"/>
  <c r="H27" i="14"/>
  <c r="AC27" i="14"/>
  <c r="E46" i="14"/>
  <c r="Z46" i="14"/>
  <c r="G46" i="14"/>
  <c r="AB46" i="14"/>
  <c r="I46" i="14"/>
  <c r="AD46" i="14"/>
  <c r="F65" i="14"/>
  <c r="AA65" i="14"/>
  <c r="H65" i="14"/>
  <c r="AC65" i="14"/>
  <c r="BJ23" i="7"/>
  <c r="BH23" i="7"/>
  <c r="H34" i="14"/>
  <c r="AC34" i="14"/>
  <c r="BJ9" i="7"/>
  <c r="I72" i="14"/>
  <c r="AD72" i="14"/>
  <c r="BI9" i="7"/>
  <c r="H53" i="14"/>
  <c r="AC53" i="14"/>
  <c r="H73" i="14"/>
  <c r="AC73" i="14"/>
  <c r="H75" i="14"/>
  <c r="AC75" i="14"/>
  <c r="H56" i="14"/>
  <c r="AC56" i="14"/>
  <c r="I54" i="14"/>
  <c r="AD54" i="14"/>
  <c r="CD44" i="7"/>
  <c r="CD25" i="7"/>
  <c r="CD58" i="7"/>
  <c r="CD73" i="7"/>
  <c r="CD27" i="7"/>
  <c r="CD32" i="7"/>
  <c r="CD33" i="7"/>
  <c r="CD76" i="7"/>
  <c r="CD79" i="7"/>
  <c r="CD37" i="7"/>
  <c r="CD24" i="7"/>
  <c r="CD64" i="7"/>
  <c r="CD14" i="7"/>
  <c r="CD13" i="7"/>
  <c r="CD57" i="7"/>
  <c r="CD60" i="7"/>
  <c r="CD31" i="7"/>
  <c r="CD26" i="7"/>
  <c r="CD74" i="7"/>
  <c r="CN6" i="7"/>
  <c r="R19" i="3"/>
  <c r="Q19" i="3"/>
  <c r="P19" i="3"/>
  <c r="Q25" i="3"/>
  <c r="R25" i="3"/>
  <c r="CQ7" i="7"/>
  <c r="P25" i="3"/>
  <c r="Q21" i="3"/>
  <c r="R21" i="3"/>
  <c r="CL7" i="7"/>
  <c r="CL60" i="7"/>
  <c r="P21" i="3"/>
  <c r="R26" i="3"/>
  <c r="CR7" i="7"/>
  <c r="CR78" i="7"/>
  <c r="Q26" i="3"/>
  <c r="P26" i="3"/>
  <c r="CV7" i="7"/>
  <c r="CV11" i="7"/>
  <c r="Q30" i="3"/>
  <c r="P30" i="3"/>
  <c r="Q33" i="3"/>
  <c r="R33" i="3"/>
  <c r="CY6" i="7"/>
  <c r="P33" i="3"/>
  <c r="Q22" i="3"/>
  <c r="R22" i="3"/>
  <c r="CN7" i="7"/>
  <c r="P22" i="3"/>
  <c r="R32" i="3"/>
  <c r="CM7" i="7"/>
  <c r="CM19" i="7"/>
  <c r="DO19" i="7"/>
  <c r="DP19" i="7"/>
  <c r="Q32" i="3"/>
  <c r="P32" i="3"/>
  <c r="Q23" i="3"/>
  <c r="R23" i="3"/>
  <c r="CO7" i="7"/>
  <c r="P23" i="3"/>
  <c r="Q27" i="3"/>
  <c r="R27" i="3"/>
  <c r="CS7" i="7"/>
  <c r="CS85" i="7"/>
  <c r="P27" i="3"/>
  <c r="R24" i="3"/>
  <c r="CP7" i="7"/>
  <c r="CP21" i="7"/>
  <c r="Q24" i="3"/>
  <c r="P24" i="3"/>
  <c r="R28" i="3"/>
  <c r="Q28" i="3"/>
  <c r="P28" i="3"/>
  <c r="DA4" i="7"/>
  <c r="Q35" i="3"/>
  <c r="R35" i="3"/>
  <c r="P35" i="3"/>
  <c r="Q31" i="3"/>
  <c r="R31" i="3"/>
  <c r="CW7" i="7"/>
  <c r="CW79" i="7"/>
  <c r="P31" i="3"/>
  <c r="I53" i="14"/>
  <c r="AD53" i="14"/>
  <c r="EL19" i="7"/>
  <c r="U20" i="7"/>
  <c r="AL20" i="7"/>
  <c r="BG19" i="7"/>
  <c r="DT19" i="7"/>
  <c r="H72" i="14"/>
  <c r="AC72" i="14"/>
  <c r="AD23" i="3"/>
  <c r="CO20" i="7"/>
  <c r="DO20" i="7"/>
  <c r="DP20" i="7"/>
  <c r="EL20" i="7"/>
  <c r="AJ18" i="3"/>
  <c r="J29" i="3"/>
  <c r="Q29" i="3"/>
  <c r="DA6" i="7"/>
  <c r="DA50" i="7"/>
  <c r="DO26" i="7"/>
  <c r="DP26" i="7"/>
  <c r="EL26" i="7"/>
  <c r="DO21" i="7"/>
  <c r="DP21" i="7"/>
  <c r="EL21" i="7"/>
  <c r="DO13" i="7"/>
  <c r="DP13" i="7"/>
  <c r="EL13" i="7"/>
  <c r="DO11" i="7"/>
  <c r="DP11" i="7"/>
  <c r="EL11" i="7"/>
  <c r="DO14" i="7"/>
  <c r="DP14" i="7"/>
  <c r="EL14" i="7"/>
  <c r="CN84" i="7"/>
  <c r="BG16" i="7"/>
  <c r="CK5" i="7"/>
  <c r="AF23" i="3"/>
  <c r="J34" i="3"/>
  <c r="CQ22" i="7"/>
  <c r="CO59" i="7"/>
  <c r="CM72" i="7"/>
  <c r="BJ19" i="7"/>
  <c r="BH19" i="7"/>
  <c r="BI19" i="7"/>
  <c r="AL22" i="7"/>
  <c r="BG21" i="7"/>
  <c r="BJ21" i="7"/>
  <c r="U22" i="7"/>
  <c r="AL21" i="7"/>
  <c r="BG20" i="7"/>
  <c r="U21" i="7"/>
  <c r="AL28" i="7"/>
  <c r="BG26" i="7"/>
  <c r="BH26" i="7"/>
  <c r="U28" i="7"/>
  <c r="AL11" i="7"/>
  <c r="U11" i="7"/>
  <c r="AL14" i="7"/>
  <c r="BG14" i="7"/>
  <c r="BH14" i="7"/>
  <c r="U14" i="7"/>
  <c r="AL13" i="7"/>
  <c r="U13" i="7"/>
  <c r="DO30" i="7"/>
  <c r="DP30" i="7"/>
  <c r="Q20" i="3"/>
  <c r="P20" i="3"/>
  <c r="R20" i="3"/>
  <c r="CK7" i="7"/>
  <c r="CK60" i="7"/>
  <c r="R29" i="3"/>
  <c r="CU7" i="7"/>
  <c r="CU12" i="7"/>
  <c r="P29" i="3"/>
  <c r="DT26" i="7"/>
  <c r="DT14" i="7"/>
  <c r="DT13" i="7"/>
  <c r="DT11" i="7"/>
  <c r="DT21" i="7"/>
  <c r="DO22" i="7"/>
  <c r="DP22" i="7"/>
  <c r="EL22" i="7"/>
  <c r="BI16" i="7"/>
  <c r="BH16" i="7"/>
  <c r="BJ16" i="7"/>
  <c r="DT20" i="7"/>
  <c r="CJ29" i="7"/>
  <c r="CJ36" i="7"/>
  <c r="CJ35" i="7"/>
  <c r="CJ34" i="7"/>
  <c r="CJ27" i="7"/>
  <c r="CJ31" i="7"/>
  <c r="CJ28" i="7"/>
  <c r="DC90" i="7"/>
  <c r="CJ25" i="7"/>
  <c r="CJ24" i="7"/>
  <c r="P34" i="3"/>
  <c r="R34" i="3"/>
  <c r="CY7" i="7"/>
  <c r="Q34" i="3"/>
  <c r="L271" i="4"/>
  <c r="J271" i="4"/>
  <c r="G271" i="4"/>
  <c r="F271" i="4"/>
  <c r="E271" i="4"/>
  <c r="L270" i="4"/>
  <c r="J270" i="4"/>
  <c r="F270" i="4"/>
  <c r="E270" i="4"/>
  <c r="L269" i="4"/>
  <c r="J269" i="4"/>
  <c r="F269" i="4"/>
  <c r="E269" i="4"/>
  <c r="L268" i="4"/>
  <c r="J268" i="4"/>
  <c r="F268" i="4"/>
  <c r="E268" i="4"/>
  <c r="L267" i="4"/>
  <c r="J267" i="4"/>
  <c r="F267" i="4"/>
  <c r="E267" i="4"/>
  <c r="L266" i="4"/>
  <c r="J266" i="4"/>
  <c r="F266" i="4"/>
  <c r="E266" i="4"/>
  <c r="L265" i="4"/>
  <c r="J265" i="4"/>
  <c r="F265" i="4"/>
  <c r="E265" i="4"/>
  <c r="L264" i="4"/>
  <c r="J264" i="4"/>
  <c r="F264" i="4"/>
  <c r="E264" i="4"/>
  <c r="L263" i="4"/>
  <c r="J263" i="4"/>
  <c r="F263" i="4"/>
  <c r="E263" i="4"/>
  <c r="L262" i="4"/>
  <c r="J262" i="4"/>
  <c r="F262" i="4"/>
  <c r="E262" i="4"/>
  <c r="F257" i="4"/>
  <c r="F256" i="4"/>
  <c r="F255" i="4"/>
  <c r="F254" i="4"/>
  <c r="O253" i="4"/>
  <c r="P253" i="4"/>
  <c r="F253" i="4"/>
  <c r="F252" i="4"/>
  <c r="F251" i="4"/>
  <c r="S250" i="4"/>
  <c r="T250" i="4"/>
  <c r="F250" i="4"/>
  <c r="F249" i="4"/>
  <c r="F248" i="4"/>
  <c r="DZ228" i="4"/>
  <c r="EK228" i="4"/>
  <c r="EL228" i="4"/>
  <c r="DV228" i="4"/>
  <c r="DW228" i="4"/>
  <c r="CH228" i="4"/>
  <c r="CZ228" i="4"/>
  <c r="DA228" i="4"/>
  <c r="CD228" i="4"/>
  <c r="CE228" i="4"/>
  <c r="BS228" i="4"/>
  <c r="BT228" i="4"/>
  <c r="BI228" i="4"/>
  <c r="BM228" i="4"/>
  <c r="BN228" i="4"/>
  <c r="BE228" i="4"/>
  <c r="BF228" i="4"/>
  <c r="DZ227" i="4"/>
  <c r="EK227" i="4"/>
  <c r="EL227" i="4"/>
  <c r="DV227" i="4"/>
  <c r="DW227" i="4"/>
  <c r="CH227" i="4"/>
  <c r="CZ227" i="4"/>
  <c r="DA227" i="4"/>
  <c r="CD227" i="4"/>
  <c r="CE227" i="4"/>
  <c r="BS227" i="4"/>
  <c r="BT227" i="4"/>
  <c r="BI227" i="4"/>
  <c r="BM227" i="4"/>
  <c r="BN227" i="4"/>
  <c r="BE227" i="4"/>
  <c r="BF227" i="4"/>
  <c r="DZ226" i="4"/>
  <c r="EK226" i="4"/>
  <c r="EL226" i="4"/>
  <c r="DV226" i="4"/>
  <c r="DW226" i="4"/>
  <c r="CH226" i="4"/>
  <c r="CZ226" i="4"/>
  <c r="DA226" i="4"/>
  <c r="CE226" i="4"/>
  <c r="CD226" i="4"/>
  <c r="BT226" i="4"/>
  <c r="BS226" i="4"/>
  <c r="BI226" i="4"/>
  <c r="BM226" i="4"/>
  <c r="BN226" i="4"/>
  <c r="AA226" i="4"/>
  <c r="BE226" i="4"/>
  <c r="BF226" i="4"/>
  <c r="AO226" i="4"/>
  <c r="AM226" i="4"/>
  <c r="AK226" i="4"/>
  <c r="AI226" i="4"/>
  <c r="AG226" i="4"/>
  <c r="AE226" i="4"/>
  <c r="AC226" i="4"/>
  <c r="Y226" i="4"/>
  <c r="EK225" i="4"/>
  <c r="EL225" i="4"/>
  <c r="DV225" i="4"/>
  <c r="DW225" i="4"/>
  <c r="CZ225" i="4"/>
  <c r="DA225" i="4"/>
  <c r="CD225" i="4"/>
  <c r="CE225" i="4"/>
  <c r="BS225" i="4"/>
  <c r="BT225" i="4"/>
  <c r="BM225" i="4"/>
  <c r="BN225" i="4"/>
  <c r="BE225" i="4"/>
  <c r="BF225" i="4"/>
  <c r="EK224" i="4"/>
  <c r="EL224" i="4"/>
  <c r="DV224" i="4"/>
  <c r="DW224" i="4"/>
  <c r="CZ224" i="4"/>
  <c r="DA224" i="4"/>
  <c r="CD224" i="4"/>
  <c r="CE224" i="4"/>
  <c r="BS224" i="4"/>
  <c r="BT224" i="4"/>
  <c r="BM224" i="4"/>
  <c r="BN224" i="4"/>
  <c r="BE224" i="4"/>
  <c r="BF224" i="4"/>
  <c r="EK223" i="4"/>
  <c r="EL223" i="4"/>
  <c r="DV223" i="4"/>
  <c r="DW223" i="4"/>
  <c r="CZ223" i="4"/>
  <c r="DA223" i="4"/>
  <c r="CD223" i="4"/>
  <c r="CE223" i="4"/>
  <c r="BS223" i="4"/>
  <c r="BT223" i="4"/>
  <c r="BM223" i="4"/>
  <c r="BN223" i="4"/>
  <c r="AA223" i="4"/>
  <c r="BE223" i="4"/>
  <c r="BF223" i="4"/>
  <c r="AO223" i="4"/>
  <c r="AM223" i="4"/>
  <c r="AK223" i="4"/>
  <c r="AI223" i="4"/>
  <c r="AG223" i="4"/>
  <c r="AE223" i="4"/>
  <c r="AC223" i="4"/>
  <c r="Y223" i="4"/>
  <c r="EK222" i="4"/>
  <c r="EL222" i="4"/>
  <c r="DV222" i="4"/>
  <c r="DW222" i="4"/>
  <c r="CZ222" i="4"/>
  <c r="DA222" i="4"/>
  <c r="CD222" i="4"/>
  <c r="CE222" i="4"/>
  <c r="BS222" i="4"/>
  <c r="BT222" i="4"/>
  <c r="BM222" i="4"/>
  <c r="BN222" i="4"/>
  <c r="BE222" i="4"/>
  <c r="BF222" i="4"/>
  <c r="EK221" i="4"/>
  <c r="EL221" i="4"/>
  <c r="DV221" i="4"/>
  <c r="DW221" i="4"/>
  <c r="CZ221" i="4"/>
  <c r="DA221" i="4"/>
  <c r="CD221" i="4"/>
  <c r="CE221" i="4"/>
  <c r="BS221" i="4"/>
  <c r="BT221" i="4"/>
  <c r="BM221" i="4"/>
  <c r="BN221" i="4"/>
  <c r="BE221" i="4"/>
  <c r="BF221" i="4"/>
  <c r="EK220" i="4"/>
  <c r="EL220" i="4"/>
  <c r="DV220" i="4"/>
  <c r="DW220" i="4"/>
  <c r="CZ220" i="4"/>
  <c r="DA220" i="4"/>
  <c r="CD220" i="4"/>
  <c r="CE220" i="4"/>
  <c r="BS220" i="4"/>
  <c r="BT220" i="4"/>
  <c r="BM220" i="4"/>
  <c r="BN220" i="4"/>
  <c r="AA220" i="4"/>
  <c r="BE220" i="4"/>
  <c r="BF220" i="4"/>
  <c r="AO220" i="4"/>
  <c r="AM220" i="4"/>
  <c r="AK220" i="4"/>
  <c r="AI220" i="4"/>
  <c r="AG220" i="4"/>
  <c r="AE220" i="4"/>
  <c r="AC220" i="4"/>
  <c r="Y220" i="4"/>
  <c r="EL219" i="4"/>
  <c r="EK219" i="4"/>
  <c r="DW219" i="4"/>
  <c r="DV219" i="4"/>
  <c r="DA219" i="4"/>
  <c r="CZ219" i="4"/>
  <c r="CE219" i="4"/>
  <c r="CD219" i="4"/>
  <c r="BT219" i="4"/>
  <c r="BS219" i="4"/>
  <c r="BN219" i="4"/>
  <c r="BM219" i="4"/>
  <c r="BF219" i="4"/>
  <c r="BE219" i="4"/>
  <c r="EL218" i="4"/>
  <c r="EK218" i="4"/>
  <c r="DW218" i="4"/>
  <c r="DV218" i="4"/>
  <c r="DA218" i="4"/>
  <c r="CZ218" i="4"/>
  <c r="CE218" i="4"/>
  <c r="CD218" i="4"/>
  <c r="BT218" i="4"/>
  <c r="BS218" i="4"/>
  <c r="BN218" i="4"/>
  <c r="BM218" i="4"/>
  <c r="BF218" i="4"/>
  <c r="BE218" i="4"/>
  <c r="EL217" i="4"/>
  <c r="EK217" i="4"/>
  <c r="DW217" i="4"/>
  <c r="DV217" i="4"/>
  <c r="DA217" i="4"/>
  <c r="CZ217" i="4"/>
  <c r="CE217" i="4"/>
  <c r="CD217" i="4"/>
  <c r="BT217" i="4"/>
  <c r="BS217" i="4"/>
  <c r="BN217" i="4"/>
  <c r="AA217" i="4"/>
  <c r="BM217" i="4"/>
  <c r="BF217" i="4"/>
  <c r="BE217" i="4"/>
  <c r="AO217" i="4"/>
  <c r="AM217" i="4"/>
  <c r="AK217" i="4"/>
  <c r="AI217" i="4"/>
  <c r="AG217" i="4"/>
  <c r="AE217" i="4"/>
  <c r="AC217" i="4"/>
  <c r="Y217" i="4"/>
  <c r="EL213" i="4"/>
  <c r="EK213" i="4"/>
  <c r="DW213" i="4"/>
  <c r="DV213" i="4"/>
  <c r="CZ213" i="4"/>
  <c r="DA213" i="4"/>
  <c r="CD213" i="4"/>
  <c r="CE213" i="4"/>
  <c r="BS213" i="4"/>
  <c r="BT213" i="4"/>
  <c r="BM213" i="4"/>
  <c r="BN213" i="4"/>
  <c r="BF213" i="4"/>
  <c r="BE213" i="4"/>
  <c r="EL212" i="4"/>
  <c r="EK212" i="4"/>
  <c r="DW212" i="4"/>
  <c r="DV212" i="4"/>
  <c r="CZ212" i="4"/>
  <c r="DA212" i="4"/>
  <c r="CD212" i="4"/>
  <c r="CE212" i="4"/>
  <c r="BS212" i="4"/>
  <c r="BT212" i="4"/>
  <c r="BM212" i="4"/>
  <c r="BN212" i="4"/>
  <c r="BF212" i="4"/>
  <c r="BE212" i="4"/>
  <c r="EL211" i="4"/>
  <c r="EK211" i="4"/>
  <c r="DW211" i="4"/>
  <c r="DV211" i="4"/>
  <c r="CZ211" i="4"/>
  <c r="DA211" i="4"/>
  <c r="CD211" i="4"/>
  <c r="CE211" i="4"/>
  <c r="BS211" i="4"/>
  <c r="BT211" i="4"/>
  <c r="BM211" i="4"/>
  <c r="BN211" i="4"/>
  <c r="AA211" i="4"/>
  <c r="BF211" i="4"/>
  <c r="BE211" i="4"/>
  <c r="AO211" i="4"/>
  <c r="AM211" i="4"/>
  <c r="AK211" i="4"/>
  <c r="AI211" i="4"/>
  <c r="AG211" i="4"/>
  <c r="AE211" i="4"/>
  <c r="AC211" i="4"/>
  <c r="Y211" i="4"/>
  <c r="EK210" i="4"/>
  <c r="EL210" i="4"/>
  <c r="DV210" i="4"/>
  <c r="DW210" i="4"/>
  <c r="CZ210" i="4"/>
  <c r="DA210" i="4"/>
  <c r="CD210" i="4"/>
  <c r="CE210" i="4"/>
  <c r="BS210" i="4"/>
  <c r="BT210" i="4"/>
  <c r="BM210" i="4"/>
  <c r="BN210" i="4"/>
  <c r="BA210" i="4"/>
  <c r="BE210" i="4"/>
  <c r="BF210" i="4"/>
  <c r="EK209" i="4"/>
  <c r="EL209" i="4"/>
  <c r="DV209" i="4"/>
  <c r="DW209" i="4"/>
  <c r="CZ209" i="4"/>
  <c r="DA209" i="4"/>
  <c r="CD209" i="4"/>
  <c r="CE209" i="4"/>
  <c r="BS209" i="4"/>
  <c r="BT209" i="4"/>
  <c r="BM209" i="4"/>
  <c r="BN209" i="4"/>
  <c r="BA209" i="4"/>
  <c r="BE209" i="4"/>
  <c r="BF209" i="4"/>
  <c r="EK208" i="4"/>
  <c r="EL208" i="4"/>
  <c r="DV208" i="4"/>
  <c r="DW208" i="4"/>
  <c r="CZ208" i="4"/>
  <c r="DA208" i="4"/>
  <c r="CD208" i="4"/>
  <c r="CE208" i="4"/>
  <c r="BS208" i="4"/>
  <c r="BT208" i="4"/>
  <c r="BM208" i="4"/>
  <c r="BN208" i="4"/>
  <c r="AA208" i="4"/>
  <c r="BA208" i="4"/>
  <c r="BE208" i="4"/>
  <c r="BF208" i="4"/>
  <c r="AO208" i="4"/>
  <c r="AM208" i="4"/>
  <c r="AK208" i="4"/>
  <c r="AI208" i="4"/>
  <c r="AG208" i="4"/>
  <c r="AE208" i="4"/>
  <c r="AC208" i="4"/>
  <c r="Y208" i="4"/>
  <c r="EK204" i="4"/>
  <c r="EL204" i="4"/>
  <c r="DV204" i="4"/>
  <c r="DW204" i="4"/>
  <c r="CZ204" i="4"/>
  <c r="DA204" i="4"/>
  <c r="CD204" i="4"/>
  <c r="CE204" i="4"/>
  <c r="BS204" i="4"/>
  <c r="BT204" i="4"/>
  <c r="BM204" i="4"/>
  <c r="BN204" i="4"/>
  <c r="BE204" i="4"/>
  <c r="BF204" i="4"/>
  <c r="EK203" i="4"/>
  <c r="EL203" i="4"/>
  <c r="DV203" i="4"/>
  <c r="DW203" i="4"/>
  <c r="CZ203" i="4"/>
  <c r="DA203" i="4"/>
  <c r="CD203" i="4"/>
  <c r="CE203" i="4"/>
  <c r="BS203" i="4"/>
  <c r="BT203" i="4"/>
  <c r="BM203" i="4"/>
  <c r="BN203" i="4"/>
  <c r="BE203" i="4"/>
  <c r="BF203" i="4"/>
  <c r="EK202" i="4"/>
  <c r="EL202" i="4"/>
  <c r="DV202" i="4"/>
  <c r="DW202" i="4"/>
  <c r="CZ202" i="4"/>
  <c r="DA202" i="4"/>
  <c r="CD202" i="4"/>
  <c r="CE202" i="4"/>
  <c r="BS202" i="4"/>
  <c r="BT202" i="4"/>
  <c r="BM202" i="4"/>
  <c r="BN202" i="4"/>
  <c r="AA202" i="4"/>
  <c r="BE202" i="4"/>
  <c r="BF202" i="4"/>
  <c r="AO202" i="4"/>
  <c r="AM202" i="4"/>
  <c r="AK202" i="4"/>
  <c r="AI202" i="4"/>
  <c r="AG202" i="4"/>
  <c r="AE202" i="4"/>
  <c r="AC202" i="4"/>
  <c r="Y202" i="4"/>
  <c r="EK201" i="4"/>
  <c r="EL201" i="4"/>
  <c r="DV201" i="4"/>
  <c r="DW201" i="4"/>
  <c r="CZ201" i="4"/>
  <c r="DA201" i="4"/>
  <c r="CD201" i="4"/>
  <c r="CE201" i="4"/>
  <c r="BS201" i="4"/>
  <c r="BT201" i="4"/>
  <c r="BM201" i="4"/>
  <c r="BN201" i="4"/>
  <c r="BE201" i="4"/>
  <c r="BF201" i="4"/>
  <c r="EK200" i="4"/>
  <c r="EL200" i="4"/>
  <c r="DV200" i="4"/>
  <c r="DW200" i="4"/>
  <c r="CZ200" i="4"/>
  <c r="DA200" i="4"/>
  <c r="CD200" i="4"/>
  <c r="CE200" i="4"/>
  <c r="BS200" i="4"/>
  <c r="BT200" i="4"/>
  <c r="BM200" i="4"/>
  <c r="BN200" i="4"/>
  <c r="BE200" i="4"/>
  <c r="BF200" i="4"/>
  <c r="EK199" i="4"/>
  <c r="EL199" i="4"/>
  <c r="DV199" i="4"/>
  <c r="DW199" i="4"/>
  <c r="CZ199" i="4"/>
  <c r="DA199" i="4"/>
  <c r="CD199" i="4"/>
  <c r="CE199" i="4"/>
  <c r="BS199" i="4"/>
  <c r="BT199" i="4"/>
  <c r="BM199" i="4"/>
  <c r="BN199" i="4"/>
  <c r="AA199" i="4"/>
  <c r="BE199" i="4"/>
  <c r="BF199" i="4"/>
  <c r="AO199" i="4"/>
  <c r="AM199" i="4"/>
  <c r="AK199" i="4"/>
  <c r="AI199" i="4"/>
  <c r="AG199" i="4"/>
  <c r="AE199" i="4"/>
  <c r="AC199" i="4"/>
  <c r="Y199" i="4"/>
  <c r="EK198" i="4"/>
  <c r="EL198" i="4"/>
  <c r="DV198" i="4"/>
  <c r="DW198" i="4"/>
  <c r="CZ198" i="4"/>
  <c r="DA198" i="4"/>
  <c r="CD198" i="4"/>
  <c r="CE198" i="4"/>
  <c r="BS198" i="4"/>
  <c r="BT198" i="4"/>
  <c r="BM198" i="4"/>
  <c r="BN198" i="4"/>
  <c r="BE198" i="4"/>
  <c r="BF198" i="4"/>
  <c r="EK197" i="4"/>
  <c r="EL197" i="4"/>
  <c r="DV197" i="4"/>
  <c r="DW197" i="4"/>
  <c r="CZ197" i="4"/>
  <c r="DA197" i="4"/>
  <c r="CD197" i="4"/>
  <c r="CE197" i="4"/>
  <c r="BS197" i="4"/>
  <c r="BT197" i="4"/>
  <c r="BM197" i="4"/>
  <c r="BN197" i="4"/>
  <c r="BE197" i="4"/>
  <c r="BF197" i="4"/>
  <c r="EK196" i="4"/>
  <c r="EL196" i="4"/>
  <c r="DV196" i="4"/>
  <c r="DW196" i="4"/>
  <c r="CZ196" i="4"/>
  <c r="DA196" i="4"/>
  <c r="CD196" i="4"/>
  <c r="CE196" i="4"/>
  <c r="BS196" i="4"/>
  <c r="BT196" i="4"/>
  <c r="BM196" i="4"/>
  <c r="BN196" i="4"/>
  <c r="AA196" i="4"/>
  <c r="BE196" i="4"/>
  <c r="BF196" i="4"/>
  <c r="AO196" i="4"/>
  <c r="AM196" i="4"/>
  <c r="AK196" i="4"/>
  <c r="AI196" i="4"/>
  <c r="AG196" i="4"/>
  <c r="AE196" i="4"/>
  <c r="AC196" i="4"/>
  <c r="Y196" i="4"/>
  <c r="EK195" i="4"/>
  <c r="EL195" i="4"/>
  <c r="DV195" i="4"/>
  <c r="DW195" i="4"/>
  <c r="CZ195" i="4"/>
  <c r="DA195" i="4"/>
  <c r="CD195" i="4"/>
  <c r="CE195" i="4"/>
  <c r="BS195" i="4"/>
  <c r="BT195" i="4"/>
  <c r="BM195" i="4"/>
  <c r="BN195" i="4"/>
  <c r="BE195" i="4"/>
  <c r="BF195" i="4"/>
  <c r="EK194" i="4"/>
  <c r="EL194" i="4"/>
  <c r="DV194" i="4"/>
  <c r="DW194" i="4"/>
  <c r="CZ194" i="4"/>
  <c r="DA194" i="4"/>
  <c r="CD194" i="4"/>
  <c r="CE194" i="4"/>
  <c r="BS194" i="4"/>
  <c r="BT194" i="4"/>
  <c r="BM194" i="4"/>
  <c r="BN194" i="4"/>
  <c r="BE194" i="4"/>
  <c r="BF194" i="4"/>
  <c r="EK193" i="4"/>
  <c r="EL193" i="4"/>
  <c r="DV193" i="4"/>
  <c r="DW193" i="4"/>
  <c r="CZ193" i="4"/>
  <c r="DA193" i="4"/>
  <c r="CD193" i="4"/>
  <c r="CE193" i="4"/>
  <c r="BS193" i="4"/>
  <c r="BT193" i="4"/>
  <c r="BM193" i="4"/>
  <c r="BN193" i="4"/>
  <c r="AA193" i="4"/>
  <c r="BE193" i="4"/>
  <c r="BF193" i="4"/>
  <c r="AO193" i="4"/>
  <c r="AM193" i="4"/>
  <c r="AK193" i="4"/>
  <c r="AI193" i="4"/>
  <c r="AG193" i="4"/>
  <c r="AE193" i="4"/>
  <c r="AC193" i="4"/>
  <c r="Y193" i="4"/>
  <c r="DZ192" i="4"/>
  <c r="EK192" i="4"/>
  <c r="EL192" i="4"/>
  <c r="DV192" i="4"/>
  <c r="DW192" i="4"/>
  <c r="CH192" i="4"/>
  <c r="CZ192" i="4"/>
  <c r="DA192" i="4"/>
  <c r="CD192" i="4"/>
  <c r="CE192" i="4"/>
  <c r="BS192" i="4"/>
  <c r="BT192" i="4"/>
  <c r="BI192" i="4"/>
  <c r="BM192" i="4"/>
  <c r="BN192" i="4"/>
  <c r="BE192" i="4"/>
  <c r="BF192" i="4"/>
  <c r="DZ191" i="4"/>
  <c r="EK191" i="4"/>
  <c r="EL191" i="4"/>
  <c r="DV191" i="4"/>
  <c r="DW191" i="4"/>
  <c r="CH191" i="4"/>
  <c r="CZ191" i="4"/>
  <c r="DA191" i="4"/>
  <c r="CD191" i="4"/>
  <c r="CE191" i="4"/>
  <c r="BS191" i="4"/>
  <c r="BT191" i="4"/>
  <c r="BI191" i="4"/>
  <c r="BM191" i="4"/>
  <c r="BN191" i="4"/>
  <c r="BE191" i="4"/>
  <c r="BF191" i="4"/>
  <c r="DZ190" i="4"/>
  <c r="EK190" i="4"/>
  <c r="EL190" i="4"/>
  <c r="DV190" i="4"/>
  <c r="DW190" i="4"/>
  <c r="CH190" i="4"/>
  <c r="CZ190" i="4"/>
  <c r="DA190" i="4"/>
  <c r="CD190" i="4"/>
  <c r="CE190" i="4"/>
  <c r="BS190" i="4"/>
  <c r="BT190" i="4"/>
  <c r="BI190" i="4"/>
  <c r="BM190" i="4"/>
  <c r="BN190" i="4"/>
  <c r="AA190" i="4"/>
  <c r="BE190" i="4"/>
  <c r="BF190" i="4"/>
  <c r="AO190" i="4"/>
  <c r="AM190" i="4"/>
  <c r="AK190" i="4"/>
  <c r="AI190" i="4"/>
  <c r="AG190" i="4"/>
  <c r="AE190" i="4"/>
  <c r="AC190" i="4"/>
  <c r="Y190" i="4"/>
  <c r="EK189" i="4"/>
  <c r="EL189" i="4"/>
  <c r="DV189" i="4"/>
  <c r="DW189" i="4"/>
  <c r="CZ189" i="4"/>
  <c r="DA189" i="4"/>
  <c r="CD189" i="4"/>
  <c r="CE189" i="4"/>
  <c r="BS189" i="4"/>
  <c r="BT189" i="4"/>
  <c r="BM189" i="4"/>
  <c r="BN189" i="4"/>
  <c r="BE189" i="4"/>
  <c r="BF189" i="4"/>
  <c r="EK188" i="4"/>
  <c r="EL188" i="4"/>
  <c r="DV188" i="4"/>
  <c r="DW188" i="4"/>
  <c r="CZ188" i="4"/>
  <c r="DA188" i="4"/>
  <c r="CD188" i="4"/>
  <c r="CE188" i="4"/>
  <c r="BS188" i="4"/>
  <c r="BT188" i="4"/>
  <c r="BM188" i="4"/>
  <c r="BN188" i="4"/>
  <c r="BE188" i="4"/>
  <c r="BF188" i="4"/>
  <c r="EK187" i="4"/>
  <c r="EL187" i="4"/>
  <c r="DV187" i="4"/>
  <c r="DW187" i="4"/>
  <c r="CZ187" i="4"/>
  <c r="DA187" i="4"/>
  <c r="CD187" i="4"/>
  <c r="CE187" i="4"/>
  <c r="BS187" i="4"/>
  <c r="BT187" i="4"/>
  <c r="BM187" i="4"/>
  <c r="BN187" i="4"/>
  <c r="AA187" i="4"/>
  <c r="BE187" i="4"/>
  <c r="BF187" i="4"/>
  <c r="AO187" i="4"/>
  <c r="AM187" i="4"/>
  <c r="AK187" i="4"/>
  <c r="AI187" i="4"/>
  <c r="AG187" i="4"/>
  <c r="AE187" i="4"/>
  <c r="AC187" i="4"/>
  <c r="Y187" i="4"/>
  <c r="EK186" i="4"/>
  <c r="EL186" i="4"/>
  <c r="DV186" i="4"/>
  <c r="DW186" i="4"/>
  <c r="CZ186" i="4"/>
  <c r="DA186" i="4"/>
  <c r="CD186" i="4"/>
  <c r="CE186" i="4"/>
  <c r="BS186" i="4"/>
  <c r="BT186" i="4"/>
  <c r="BM186" i="4"/>
  <c r="BN186" i="4"/>
  <c r="BE186" i="4"/>
  <c r="BF186" i="4"/>
  <c r="EK185" i="4"/>
  <c r="EL185" i="4"/>
  <c r="DV185" i="4"/>
  <c r="DW185" i="4"/>
  <c r="CZ185" i="4"/>
  <c r="DA185" i="4"/>
  <c r="CD185" i="4"/>
  <c r="CE185" i="4"/>
  <c r="BS185" i="4"/>
  <c r="BT185" i="4"/>
  <c r="BM185" i="4"/>
  <c r="BN185" i="4"/>
  <c r="BE185" i="4"/>
  <c r="BF185" i="4"/>
  <c r="EK184" i="4"/>
  <c r="EL184" i="4"/>
  <c r="DV184" i="4"/>
  <c r="DW184" i="4"/>
  <c r="CZ184" i="4"/>
  <c r="DA184" i="4"/>
  <c r="CD184" i="4"/>
  <c r="CE184" i="4"/>
  <c r="BS184" i="4"/>
  <c r="BT184" i="4"/>
  <c r="BM184" i="4"/>
  <c r="BN184" i="4"/>
  <c r="AA184" i="4"/>
  <c r="BE184" i="4"/>
  <c r="BF184" i="4"/>
  <c r="AO184" i="4"/>
  <c r="AM184" i="4"/>
  <c r="AK184" i="4"/>
  <c r="AI184" i="4"/>
  <c r="AG184" i="4"/>
  <c r="AE184" i="4"/>
  <c r="AC184" i="4"/>
  <c r="Y184" i="4"/>
  <c r="EK183" i="4"/>
  <c r="EL183" i="4"/>
  <c r="DV183" i="4"/>
  <c r="DW183" i="4"/>
  <c r="CZ183" i="4"/>
  <c r="DA183" i="4"/>
  <c r="CD183" i="4"/>
  <c r="CE183" i="4"/>
  <c r="BS183" i="4"/>
  <c r="BT183" i="4"/>
  <c r="BM183" i="4"/>
  <c r="BN183" i="4"/>
  <c r="BE183" i="4"/>
  <c r="BF183" i="4"/>
  <c r="EK182" i="4"/>
  <c r="EL182" i="4"/>
  <c r="DV182" i="4"/>
  <c r="DW182" i="4"/>
  <c r="CZ182" i="4"/>
  <c r="DA182" i="4"/>
  <c r="CD182" i="4"/>
  <c r="CE182" i="4"/>
  <c r="BS182" i="4"/>
  <c r="BT182" i="4"/>
  <c r="BM182" i="4"/>
  <c r="BN182" i="4"/>
  <c r="BE182" i="4"/>
  <c r="BF182" i="4"/>
  <c r="EK181" i="4"/>
  <c r="EL181" i="4"/>
  <c r="DV181" i="4"/>
  <c r="DW181" i="4"/>
  <c r="CZ181" i="4"/>
  <c r="DA181" i="4"/>
  <c r="CD181" i="4"/>
  <c r="CE181" i="4"/>
  <c r="BS181" i="4"/>
  <c r="BT181" i="4"/>
  <c r="BM181" i="4"/>
  <c r="BN181" i="4"/>
  <c r="AA181" i="4"/>
  <c r="BE181" i="4"/>
  <c r="BF181" i="4"/>
  <c r="AO181" i="4"/>
  <c r="AM181" i="4"/>
  <c r="AK181" i="4"/>
  <c r="AI181" i="4"/>
  <c r="AG181" i="4"/>
  <c r="AE181" i="4"/>
  <c r="AC181" i="4"/>
  <c r="Y181" i="4"/>
  <c r="EK180" i="4"/>
  <c r="EL180" i="4"/>
  <c r="DV180" i="4"/>
  <c r="DW180" i="4"/>
  <c r="CZ180" i="4"/>
  <c r="DA180" i="4"/>
  <c r="CD180" i="4"/>
  <c r="CE180" i="4"/>
  <c r="BS180" i="4"/>
  <c r="BT180" i="4"/>
  <c r="BM180" i="4"/>
  <c r="BN180" i="4"/>
  <c r="BE180" i="4"/>
  <c r="BF180" i="4"/>
  <c r="EK179" i="4"/>
  <c r="EL179" i="4"/>
  <c r="DV179" i="4"/>
  <c r="DW179" i="4"/>
  <c r="CZ179" i="4"/>
  <c r="DA179" i="4"/>
  <c r="CD179" i="4"/>
  <c r="CE179" i="4"/>
  <c r="BS179" i="4"/>
  <c r="BT179" i="4"/>
  <c r="BM179" i="4"/>
  <c r="BN179" i="4"/>
  <c r="BE179" i="4"/>
  <c r="BF179" i="4"/>
  <c r="EK178" i="4"/>
  <c r="EL178" i="4"/>
  <c r="DV178" i="4"/>
  <c r="DW178" i="4"/>
  <c r="CZ178" i="4"/>
  <c r="DA178" i="4"/>
  <c r="CD178" i="4"/>
  <c r="CE178" i="4"/>
  <c r="BS178" i="4"/>
  <c r="BT178" i="4"/>
  <c r="BM178" i="4"/>
  <c r="BN178" i="4"/>
  <c r="AA178" i="4"/>
  <c r="BE178" i="4"/>
  <c r="BF178" i="4"/>
  <c r="AO178" i="4"/>
  <c r="AM178" i="4"/>
  <c r="AK178" i="4"/>
  <c r="AI178" i="4"/>
  <c r="AG178" i="4"/>
  <c r="AE178" i="4"/>
  <c r="AC178" i="4"/>
  <c r="Y178" i="4"/>
  <c r="EK177" i="4"/>
  <c r="EL177" i="4"/>
  <c r="DV177" i="4"/>
  <c r="DW177" i="4"/>
  <c r="CZ177" i="4"/>
  <c r="DA177" i="4"/>
  <c r="CD177" i="4"/>
  <c r="CE177" i="4"/>
  <c r="BS177" i="4"/>
  <c r="BT177" i="4"/>
  <c r="BM177" i="4"/>
  <c r="BN177" i="4"/>
  <c r="BE177" i="4"/>
  <c r="BF177" i="4"/>
  <c r="EK176" i="4"/>
  <c r="EL176" i="4"/>
  <c r="DV176" i="4"/>
  <c r="DW176" i="4"/>
  <c r="CZ176" i="4"/>
  <c r="DA176" i="4"/>
  <c r="CD176" i="4"/>
  <c r="CE176" i="4"/>
  <c r="BS176" i="4"/>
  <c r="BT176" i="4"/>
  <c r="BM176" i="4"/>
  <c r="BN176" i="4"/>
  <c r="BE176" i="4"/>
  <c r="BF176" i="4"/>
  <c r="EK175" i="4"/>
  <c r="EL175" i="4"/>
  <c r="DV175" i="4"/>
  <c r="DW175" i="4"/>
  <c r="CZ175" i="4"/>
  <c r="DA175" i="4"/>
  <c r="CD175" i="4"/>
  <c r="CE175" i="4"/>
  <c r="BS175" i="4"/>
  <c r="BT175" i="4"/>
  <c r="BM175" i="4"/>
  <c r="BN175" i="4"/>
  <c r="AA175" i="4"/>
  <c r="BE175" i="4"/>
  <c r="BF175" i="4"/>
  <c r="AO175" i="4"/>
  <c r="AM175" i="4"/>
  <c r="AK175" i="4"/>
  <c r="AI175" i="4"/>
  <c r="AG175" i="4"/>
  <c r="AE175" i="4"/>
  <c r="AC175" i="4"/>
  <c r="Y175" i="4"/>
  <c r="EK174" i="4"/>
  <c r="EL174" i="4"/>
  <c r="DV174" i="4"/>
  <c r="DW174" i="4"/>
  <c r="CZ174" i="4"/>
  <c r="DA174" i="4"/>
  <c r="CE174" i="4"/>
  <c r="CD174" i="4"/>
  <c r="BT174" i="4"/>
  <c r="BS174" i="4"/>
  <c r="BN174" i="4"/>
  <c r="BM174" i="4"/>
  <c r="BF174" i="4"/>
  <c r="BE174" i="4"/>
  <c r="EK173" i="4"/>
  <c r="EL173" i="4"/>
  <c r="DV173" i="4"/>
  <c r="DW173" i="4"/>
  <c r="CZ173" i="4"/>
  <c r="DA173" i="4"/>
  <c r="CD173" i="4"/>
  <c r="CE173" i="4"/>
  <c r="BS173" i="4"/>
  <c r="BT173" i="4"/>
  <c r="BM173" i="4"/>
  <c r="BN173" i="4"/>
  <c r="BE173" i="4"/>
  <c r="BF173" i="4"/>
  <c r="EK172" i="4"/>
  <c r="EL172" i="4"/>
  <c r="DV172" i="4"/>
  <c r="DW172" i="4"/>
  <c r="CZ172" i="4"/>
  <c r="DA172" i="4"/>
  <c r="CE172" i="4"/>
  <c r="CD172" i="4"/>
  <c r="BT172" i="4"/>
  <c r="BS172" i="4"/>
  <c r="BN172" i="4"/>
  <c r="AA172" i="4"/>
  <c r="BM172" i="4"/>
  <c r="BF172" i="4"/>
  <c r="BE172" i="4"/>
  <c r="AO172" i="4"/>
  <c r="AM172" i="4"/>
  <c r="AK172" i="4"/>
  <c r="AI172" i="4"/>
  <c r="AG172" i="4"/>
  <c r="AE172" i="4"/>
  <c r="AC172" i="4"/>
  <c r="Y172" i="4"/>
  <c r="EL171" i="4"/>
  <c r="EK171" i="4"/>
  <c r="DW171" i="4"/>
  <c r="DV171" i="4"/>
  <c r="DA171" i="4"/>
  <c r="CZ171" i="4"/>
  <c r="CE171" i="4"/>
  <c r="CD171" i="4"/>
  <c r="BT171" i="4"/>
  <c r="BS171" i="4"/>
  <c r="BN171" i="4"/>
  <c r="BM171" i="4"/>
  <c r="BF171" i="4"/>
  <c r="BE171" i="4"/>
  <c r="EL170" i="4"/>
  <c r="EK170" i="4"/>
  <c r="DW170" i="4"/>
  <c r="DV170" i="4"/>
  <c r="DA170" i="4"/>
  <c r="CZ170" i="4"/>
  <c r="CE170" i="4"/>
  <c r="CD170" i="4"/>
  <c r="BT170" i="4"/>
  <c r="BS170" i="4"/>
  <c r="BN170" i="4"/>
  <c r="BM170" i="4"/>
  <c r="BF170" i="4"/>
  <c r="BE170" i="4"/>
  <c r="EL169" i="4"/>
  <c r="EK169" i="4"/>
  <c r="DW169" i="4"/>
  <c r="DV169" i="4"/>
  <c r="DA169" i="4"/>
  <c r="CZ169" i="4"/>
  <c r="CE169" i="4"/>
  <c r="CD169" i="4"/>
  <c r="BT169" i="4"/>
  <c r="BS169" i="4"/>
  <c r="BN169" i="4"/>
  <c r="AA169" i="4"/>
  <c r="BM169" i="4"/>
  <c r="BF169" i="4"/>
  <c r="BE169" i="4"/>
  <c r="AO169" i="4"/>
  <c r="AM169" i="4"/>
  <c r="AK169" i="4"/>
  <c r="AI169" i="4"/>
  <c r="AG169" i="4"/>
  <c r="AE169" i="4"/>
  <c r="AC169" i="4"/>
  <c r="Y169" i="4"/>
  <c r="DZ168" i="4"/>
  <c r="EK168" i="4"/>
  <c r="EL168" i="4"/>
  <c r="DV168" i="4"/>
  <c r="DW168" i="4"/>
  <c r="CH168" i="4"/>
  <c r="CZ168" i="4"/>
  <c r="DA168" i="4"/>
  <c r="CD168" i="4"/>
  <c r="CE168" i="4"/>
  <c r="BS168" i="4"/>
  <c r="BT168" i="4"/>
  <c r="BI168" i="4"/>
  <c r="BM168" i="4"/>
  <c r="BN168" i="4"/>
  <c r="BE168" i="4"/>
  <c r="BF168" i="4"/>
  <c r="DZ167" i="4"/>
  <c r="EK167" i="4"/>
  <c r="EL167" i="4"/>
  <c r="DW167" i="4"/>
  <c r="DV167" i="4"/>
  <c r="CH167" i="4"/>
  <c r="CZ167" i="4"/>
  <c r="DA167" i="4"/>
  <c r="CD167" i="4"/>
  <c r="CE167" i="4"/>
  <c r="BS167" i="4"/>
  <c r="BT167" i="4"/>
  <c r="BI167" i="4"/>
  <c r="BM167" i="4"/>
  <c r="BN167" i="4"/>
  <c r="BF167" i="4"/>
  <c r="BE167" i="4"/>
  <c r="DZ166" i="4"/>
  <c r="EK166" i="4"/>
  <c r="EL166" i="4"/>
  <c r="DV166" i="4"/>
  <c r="DW166" i="4"/>
  <c r="CH166" i="4"/>
  <c r="CZ166" i="4"/>
  <c r="DA166" i="4"/>
  <c r="CD166" i="4"/>
  <c r="CE166" i="4"/>
  <c r="BS166" i="4"/>
  <c r="BT166" i="4"/>
  <c r="BI166" i="4"/>
  <c r="BM166" i="4"/>
  <c r="BN166" i="4"/>
  <c r="AA166" i="4"/>
  <c r="BE166" i="4"/>
  <c r="BF166" i="4"/>
  <c r="AO166" i="4"/>
  <c r="AM166" i="4"/>
  <c r="AK166" i="4"/>
  <c r="AI166" i="4"/>
  <c r="AG166" i="4"/>
  <c r="AE166" i="4"/>
  <c r="AC166" i="4"/>
  <c r="Y166" i="4"/>
  <c r="EK165" i="4"/>
  <c r="EL165" i="4"/>
  <c r="DV165" i="4"/>
  <c r="DW165" i="4"/>
  <c r="CZ165" i="4"/>
  <c r="DA165" i="4"/>
  <c r="CD165" i="4"/>
  <c r="CE165" i="4"/>
  <c r="BS165" i="4"/>
  <c r="BT165" i="4"/>
  <c r="BM165" i="4"/>
  <c r="BN165" i="4"/>
  <c r="BE165" i="4"/>
  <c r="BF165" i="4"/>
  <c r="EK164" i="4"/>
  <c r="EL164" i="4"/>
  <c r="DV164" i="4"/>
  <c r="DW164" i="4"/>
  <c r="CZ164" i="4"/>
  <c r="DA164" i="4"/>
  <c r="CD164" i="4"/>
  <c r="CE164" i="4"/>
  <c r="BS164" i="4"/>
  <c r="BT164" i="4"/>
  <c r="BM164" i="4"/>
  <c r="BN164" i="4"/>
  <c r="BE164" i="4"/>
  <c r="BF164" i="4"/>
  <c r="EK163" i="4"/>
  <c r="EL163" i="4"/>
  <c r="DV163" i="4"/>
  <c r="DW163" i="4"/>
  <c r="CZ163" i="4"/>
  <c r="DA163" i="4"/>
  <c r="CD163" i="4"/>
  <c r="CE163" i="4"/>
  <c r="BS163" i="4"/>
  <c r="BT163" i="4"/>
  <c r="BM163" i="4"/>
  <c r="BN163" i="4"/>
  <c r="AA163" i="4"/>
  <c r="BE163" i="4"/>
  <c r="BF163" i="4"/>
  <c r="AO163" i="4"/>
  <c r="AM163" i="4"/>
  <c r="AK163" i="4"/>
  <c r="AI163" i="4"/>
  <c r="AG163" i="4"/>
  <c r="AE163" i="4"/>
  <c r="AC163" i="4"/>
  <c r="Y163" i="4"/>
  <c r="EK162" i="4"/>
  <c r="EL162" i="4"/>
  <c r="DV162" i="4"/>
  <c r="DW162" i="4"/>
  <c r="CZ162" i="4"/>
  <c r="DA162" i="4"/>
  <c r="CD162" i="4"/>
  <c r="CE162" i="4"/>
  <c r="BS162" i="4"/>
  <c r="BT162" i="4"/>
  <c r="BM162" i="4"/>
  <c r="BN162" i="4"/>
  <c r="BE162" i="4"/>
  <c r="BF162" i="4"/>
  <c r="EK161" i="4"/>
  <c r="EL161" i="4"/>
  <c r="DV161" i="4"/>
  <c r="DW161" i="4"/>
  <c r="CZ161" i="4"/>
  <c r="DA161" i="4"/>
  <c r="CD161" i="4"/>
  <c r="CE161" i="4"/>
  <c r="BS161" i="4"/>
  <c r="BT161" i="4"/>
  <c r="BM161" i="4"/>
  <c r="BN161" i="4"/>
  <c r="BE161" i="4"/>
  <c r="BF161" i="4"/>
  <c r="EK160" i="4"/>
  <c r="EL160" i="4"/>
  <c r="DV160" i="4"/>
  <c r="DW160" i="4"/>
  <c r="CZ160" i="4"/>
  <c r="DA160" i="4"/>
  <c r="CD160" i="4"/>
  <c r="CE160" i="4"/>
  <c r="BS160" i="4"/>
  <c r="BT160" i="4"/>
  <c r="BM160" i="4"/>
  <c r="BN160" i="4"/>
  <c r="AA160" i="4"/>
  <c r="BE160" i="4"/>
  <c r="BF160" i="4"/>
  <c r="AO160" i="4"/>
  <c r="AM160" i="4"/>
  <c r="AK160" i="4"/>
  <c r="AI160" i="4"/>
  <c r="AG160" i="4"/>
  <c r="AE160" i="4"/>
  <c r="AC160" i="4"/>
  <c r="Y160" i="4"/>
  <c r="EK156" i="4"/>
  <c r="EL156" i="4"/>
  <c r="DV156" i="4"/>
  <c r="DW156" i="4"/>
  <c r="CZ156" i="4"/>
  <c r="DA156" i="4"/>
  <c r="CD156" i="4"/>
  <c r="CE156" i="4"/>
  <c r="BS156" i="4"/>
  <c r="BT156" i="4"/>
  <c r="BM156" i="4"/>
  <c r="BN156" i="4"/>
  <c r="BE156" i="4"/>
  <c r="BF156" i="4"/>
  <c r="EK155" i="4"/>
  <c r="EL155" i="4"/>
  <c r="DV155" i="4"/>
  <c r="DW155" i="4"/>
  <c r="CZ155" i="4"/>
  <c r="DA155" i="4"/>
  <c r="CD155" i="4"/>
  <c r="CE155" i="4"/>
  <c r="BS155" i="4"/>
  <c r="BT155" i="4"/>
  <c r="BM155" i="4"/>
  <c r="BN155" i="4"/>
  <c r="BE155" i="4"/>
  <c r="BF155" i="4"/>
  <c r="EK154" i="4"/>
  <c r="EL154" i="4"/>
  <c r="DV154" i="4"/>
  <c r="DW154" i="4"/>
  <c r="CZ154" i="4"/>
  <c r="DA154" i="4"/>
  <c r="CD154" i="4"/>
  <c r="CE154" i="4"/>
  <c r="BS154" i="4"/>
  <c r="BT154" i="4"/>
  <c r="BM154" i="4"/>
  <c r="BN154" i="4"/>
  <c r="AA154" i="4"/>
  <c r="BE154" i="4"/>
  <c r="BF154" i="4"/>
  <c r="AO154" i="4"/>
  <c r="AM154" i="4"/>
  <c r="AK154" i="4"/>
  <c r="AI154" i="4"/>
  <c r="AG154" i="4"/>
  <c r="AE154" i="4"/>
  <c r="AC154" i="4"/>
  <c r="Y154" i="4"/>
  <c r="EK153" i="4"/>
  <c r="EL153" i="4"/>
  <c r="DV153" i="4"/>
  <c r="DW153" i="4"/>
  <c r="CZ153" i="4"/>
  <c r="DA153" i="4"/>
  <c r="CD153" i="4"/>
  <c r="CE153" i="4"/>
  <c r="BS153" i="4"/>
  <c r="BT153" i="4"/>
  <c r="BM153" i="4"/>
  <c r="BN153" i="4"/>
  <c r="BE153" i="4"/>
  <c r="BF153" i="4"/>
  <c r="EK152" i="4"/>
  <c r="EL152" i="4"/>
  <c r="DV152" i="4"/>
  <c r="DW152" i="4"/>
  <c r="CZ152" i="4"/>
  <c r="DA152" i="4"/>
  <c r="CD152" i="4"/>
  <c r="CE152" i="4"/>
  <c r="BS152" i="4"/>
  <c r="BT152" i="4"/>
  <c r="BM152" i="4"/>
  <c r="BN152" i="4"/>
  <c r="BE152" i="4"/>
  <c r="BF152" i="4"/>
  <c r="EK151" i="4"/>
  <c r="EL151" i="4"/>
  <c r="DV151" i="4"/>
  <c r="DW151" i="4"/>
  <c r="CZ151" i="4"/>
  <c r="DA151" i="4"/>
  <c r="CD151" i="4"/>
  <c r="CE151" i="4"/>
  <c r="BS151" i="4"/>
  <c r="BT151" i="4"/>
  <c r="BM151" i="4"/>
  <c r="BN151" i="4"/>
  <c r="AA151" i="4"/>
  <c r="BE151" i="4"/>
  <c r="BF151" i="4"/>
  <c r="AO151" i="4"/>
  <c r="AM151" i="4"/>
  <c r="AK151" i="4"/>
  <c r="AI151" i="4"/>
  <c r="AG151" i="4"/>
  <c r="AE151" i="4"/>
  <c r="AC151" i="4"/>
  <c r="Y151" i="4"/>
  <c r="EK150" i="4"/>
  <c r="EL150" i="4"/>
  <c r="DV150" i="4"/>
  <c r="DW150" i="4"/>
  <c r="CZ150" i="4"/>
  <c r="DA150" i="4"/>
  <c r="CD150" i="4"/>
  <c r="CE150" i="4"/>
  <c r="BS150" i="4"/>
  <c r="BT150" i="4"/>
  <c r="BM150" i="4"/>
  <c r="BN150" i="4"/>
  <c r="BE150" i="4"/>
  <c r="BF150" i="4"/>
  <c r="EK149" i="4"/>
  <c r="EL149" i="4"/>
  <c r="DV149" i="4"/>
  <c r="DW149" i="4"/>
  <c r="CZ149" i="4"/>
  <c r="DA149" i="4"/>
  <c r="CD149" i="4"/>
  <c r="CE149" i="4"/>
  <c r="BS149" i="4"/>
  <c r="BT149" i="4"/>
  <c r="BM149" i="4"/>
  <c r="BN149" i="4"/>
  <c r="BE149" i="4"/>
  <c r="BF149" i="4"/>
  <c r="EK148" i="4"/>
  <c r="EL148" i="4"/>
  <c r="DV148" i="4"/>
  <c r="DW148" i="4"/>
  <c r="CZ148" i="4"/>
  <c r="DA148" i="4"/>
  <c r="CD148" i="4"/>
  <c r="CE148" i="4"/>
  <c r="BS148" i="4"/>
  <c r="BT148" i="4"/>
  <c r="BM148" i="4"/>
  <c r="BN148" i="4"/>
  <c r="AA148" i="4"/>
  <c r="BE148" i="4"/>
  <c r="BF148" i="4"/>
  <c r="AO148" i="4"/>
  <c r="AM148" i="4"/>
  <c r="AK148" i="4"/>
  <c r="AI148" i="4"/>
  <c r="AG148" i="4"/>
  <c r="AE148" i="4"/>
  <c r="AC148" i="4"/>
  <c r="Y148" i="4"/>
  <c r="EK147" i="4"/>
  <c r="EL147" i="4"/>
  <c r="DV147" i="4"/>
  <c r="DW147" i="4"/>
  <c r="CZ147" i="4"/>
  <c r="DA147" i="4"/>
  <c r="CD147" i="4"/>
  <c r="CE147" i="4"/>
  <c r="BS147" i="4"/>
  <c r="BT147" i="4"/>
  <c r="BM147" i="4"/>
  <c r="BN147" i="4"/>
  <c r="BE147" i="4"/>
  <c r="BF147" i="4"/>
  <c r="EK146" i="4"/>
  <c r="EL146" i="4"/>
  <c r="DV146" i="4"/>
  <c r="DW146" i="4"/>
  <c r="CZ146" i="4"/>
  <c r="DA146" i="4"/>
  <c r="CD146" i="4"/>
  <c r="CE146" i="4"/>
  <c r="BS146" i="4"/>
  <c r="BT146" i="4"/>
  <c r="BM146" i="4"/>
  <c r="BN146" i="4"/>
  <c r="BE146" i="4"/>
  <c r="BF146" i="4"/>
  <c r="EK145" i="4"/>
  <c r="EL145" i="4"/>
  <c r="DV145" i="4"/>
  <c r="DW145" i="4"/>
  <c r="CZ145" i="4"/>
  <c r="DA145" i="4"/>
  <c r="CD145" i="4"/>
  <c r="CE145" i="4"/>
  <c r="BS145" i="4"/>
  <c r="BT145" i="4"/>
  <c r="BM145" i="4"/>
  <c r="BN145" i="4"/>
  <c r="AA145" i="4"/>
  <c r="BE145" i="4"/>
  <c r="BF145" i="4"/>
  <c r="AO145" i="4"/>
  <c r="AM145" i="4"/>
  <c r="AK145" i="4"/>
  <c r="AI145" i="4"/>
  <c r="AG145" i="4"/>
  <c r="AE145" i="4"/>
  <c r="AC145" i="4"/>
  <c r="Y145" i="4"/>
  <c r="EK144" i="4"/>
  <c r="EL144" i="4"/>
  <c r="DV144" i="4"/>
  <c r="DW144" i="4"/>
  <c r="CZ144" i="4"/>
  <c r="DA144" i="4"/>
  <c r="CD144" i="4"/>
  <c r="CE144" i="4"/>
  <c r="BS144" i="4"/>
  <c r="BT144" i="4"/>
  <c r="BM144" i="4"/>
  <c r="BN144" i="4"/>
  <c r="BE144" i="4"/>
  <c r="BF144" i="4"/>
  <c r="EK143" i="4"/>
  <c r="EL143" i="4"/>
  <c r="DV143" i="4"/>
  <c r="DW143" i="4"/>
  <c r="CZ143" i="4"/>
  <c r="DA143" i="4"/>
  <c r="CD143" i="4"/>
  <c r="CE143" i="4"/>
  <c r="BS143" i="4"/>
  <c r="BT143" i="4"/>
  <c r="BM143" i="4"/>
  <c r="BN143" i="4"/>
  <c r="BE143" i="4"/>
  <c r="BF143" i="4"/>
  <c r="EK142" i="4"/>
  <c r="EL142" i="4"/>
  <c r="DV142" i="4"/>
  <c r="DW142" i="4"/>
  <c r="CZ142" i="4"/>
  <c r="DA142" i="4"/>
  <c r="CD142" i="4"/>
  <c r="CE142" i="4"/>
  <c r="BS142" i="4"/>
  <c r="BT142" i="4"/>
  <c r="BM142" i="4"/>
  <c r="BN142" i="4"/>
  <c r="AA142" i="4"/>
  <c r="BE142" i="4"/>
  <c r="BF142" i="4"/>
  <c r="AO142" i="4"/>
  <c r="AM142" i="4"/>
  <c r="AK142" i="4"/>
  <c r="AI142" i="4"/>
  <c r="AG142" i="4"/>
  <c r="AE142" i="4"/>
  <c r="AC142" i="4"/>
  <c r="Y142" i="4"/>
  <c r="EK138" i="4"/>
  <c r="EL138" i="4"/>
  <c r="DV138" i="4"/>
  <c r="DW138" i="4"/>
  <c r="CZ138" i="4"/>
  <c r="DA138" i="4"/>
  <c r="CD138" i="4"/>
  <c r="CE138" i="4"/>
  <c r="BS138" i="4"/>
  <c r="BT138" i="4"/>
  <c r="BM138" i="4"/>
  <c r="BN138" i="4"/>
  <c r="BE138" i="4"/>
  <c r="BF138" i="4"/>
  <c r="EK137" i="4"/>
  <c r="EL137" i="4"/>
  <c r="DV137" i="4"/>
  <c r="DW137" i="4"/>
  <c r="CZ137" i="4"/>
  <c r="DA137" i="4"/>
  <c r="CD137" i="4"/>
  <c r="CE137" i="4"/>
  <c r="BS137" i="4"/>
  <c r="BT137" i="4"/>
  <c r="BM137" i="4"/>
  <c r="BN137" i="4"/>
  <c r="BE137" i="4"/>
  <c r="BF137" i="4"/>
  <c r="EK136" i="4"/>
  <c r="EL136" i="4"/>
  <c r="DV136" i="4"/>
  <c r="DW136" i="4"/>
  <c r="CZ136" i="4"/>
  <c r="DA136" i="4"/>
  <c r="CD136" i="4"/>
  <c r="CE136" i="4"/>
  <c r="BS136" i="4"/>
  <c r="BT136" i="4"/>
  <c r="BM136" i="4"/>
  <c r="BN136" i="4"/>
  <c r="AA136" i="4"/>
  <c r="BE136" i="4"/>
  <c r="BF136" i="4"/>
  <c r="AO136" i="4"/>
  <c r="AM136" i="4"/>
  <c r="AK136" i="4"/>
  <c r="AI136" i="4"/>
  <c r="AG136" i="4"/>
  <c r="AE136" i="4"/>
  <c r="AC136" i="4"/>
  <c r="Y136" i="4"/>
  <c r="EK135" i="4"/>
  <c r="EL135" i="4"/>
  <c r="DV135" i="4"/>
  <c r="DW135" i="4"/>
  <c r="CZ135" i="4"/>
  <c r="DA135" i="4"/>
  <c r="CD135" i="4"/>
  <c r="CE135" i="4"/>
  <c r="BS135" i="4"/>
  <c r="BT135" i="4"/>
  <c r="BM135" i="4"/>
  <c r="BN135" i="4"/>
  <c r="BE135" i="4"/>
  <c r="BF135" i="4"/>
  <c r="EK134" i="4"/>
  <c r="EL134" i="4"/>
  <c r="DV134" i="4"/>
  <c r="DW134" i="4"/>
  <c r="CZ134" i="4"/>
  <c r="DA134" i="4"/>
  <c r="CD134" i="4"/>
  <c r="CE134" i="4"/>
  <c r="BS134" i="4"/>
  <c r="BT134" i="4"/>
  <c r="BM134" i="4"/>
  <c r="BN134" i="4"/>
  <c r="BE134" i="4"/>
  <c r="BF134" i="4"/>
  <c r="EK133" i="4"/>
  <c r="EL133" i="4"/>
  <c r="DV133" i="4"/>
  <c r="DW133" i="4"/>
  <c r="CZ133" i="4"/>
  <c r="DA133" i="4"/>
  <c r="CD133" i="4"/>
  <c r="CE133" i="4"/>
  <c r="BS133" i="4"/>
  <c r="BT133" i="4"/>
  <c r="BM133" i="4"/>
  <c r="BN133" i="4"/>
  <c r="AA133" i="4"/>
  <c r="BE133" i="4"/>
  <c r="BF133" i="4"/>
  <c r="AO133" i="4"/>
  <c r="AM133" i="4"/>
  <c r="AK133" i="4"/>
  <c r="AI133" i="4"/>
  <c r="AG133" i="4"/>
  <c r="AE133" i="4"/>
  <c r="AC133" i="4"/>
  <c r="Y133" i="4"/>
  <c r="EK132" i="4"/>
  <c r="EL132" i="4"/>
  <c r="DV132" i="4"/>
  <c r="DW132" i="4"/>
  <c r="CZ132" i="4"/>
  <c r="DA132" i="4"/>
  <c r="CD132" i="4"/>
  <c r="CE132" i="4"/>
  <c r="BS132" i="4"/>
  <c r="BT132" i="4"/>
  <c r="BM132" i="4"/>
  <c r="BN132" i="4"/>
  <c r="BE132" i="4"/>
  <c r="BF132" i="4"/>
  <c r="EK131" i="4"/>
  <c r="EL131" i="4"/>
  <c r="DV131" i="4"/>
  <c r="DW131" i="4"/>
  <c r="CZ131" i="4"/>
  <c r="DA131" i="4"/>
  <c r="CD131" i="4"/>
  <c r="CE131" i="4"/>
  <c r="BS131" i="4"/>
  <c r="BT131" i="4"/>
  <c r="BM131" i="4"/>
  <c r="BN131" i="4"/>
  <c r="BE131" i="4"/>
  <c r="BF131" i="4"/>
  <c r="EK130" i="4"/>
  <c r="EL130" i="4"/>
  <c r="DV130" i="4"/>
  <c r="DW130" i="4"/>
  <c r="CZ130" i="4"/>
  <c r="DA130" i="4"/>
  <c r="CD130" i="4"/>
  <c r="CE130" i="4"/>
  <c r="BS130" i="4"/>
  <c r="BT130" i="4"/>
  <c r="BM130" i="4"/>
  <c r="BN130" i="4"/>
  <c r="AA130" i="4"/>
  <c r="BE130" i="4"/>
  <c r="BF130" i="4"/>
  <c r="AO130" i="4"/>
  <c r="AM130" i="4"/>
  <c r="AK130" i="4"/>
  <c r="AI130" i="4"/>
  <c r="AG130" i="4"/>
  <c r="AE130" i="4"/>
  <c r="AC130" i="4"/>
  <c r="Y130" i="4"/>
  <c r="EK129" i="4"/>
  <c r="EL129" i="4"/>
  <c r="DV129" i="4"/>
  <c r="DW129" i="4"/>
  <c r="CZ129" i="4"/>
  <c r="DA129" i="4"/>
  <c r="CD129" i="4"/>
  <c r="CE129" i="4"/>
  <c r="BS129" i="4"/>
  <c r="BT129" i="4"/>
  <c r="BM129" i="4"/>
  <c r="BN129" i="4"/>
  <c r="BE129" i="4"/>
  <c r="BF129" i="4"/>
  <c r="EK128" i="4"/>
  <c r="EL128" i="4"/>
  <c r="DV128" i="4"/>
  <c r="DW128" i="4"/>
  <c r="CZ128" i="4"/>
  <c r="DA128" i="4"/>
  <c r="CD128" i="4"/>
  <c r="CE128" i="4"/>
  <c r="BS128" i="4"/>
  <c r="BT128" i="4"/>
  <c r="BM128" i="4"/>
  <c r="BN128" i="4"/>
  <c r="BE128" i="4"/>
  <c r="BF128" i="4"/>
  <c r="EK127" i="4"/>
  <c r="EL127" i="4"/>
  <c r="DV127" i="4"/>
  <c r="DW127" i="4"/>
  <c r="CZ127" i="4"/>
  <c r="DA127" i="4"/>
  <c r="CD127" i="4"/>
  <c r="CE127" i="4"/>
  <c r="BS127" i="4"/>
  <c r="BT127" i="4"/>
  <c r="BM127" i="4"/>
  <c r="BN127" i="4"/>
  <c r="AA127" i="4"/>
  <c r="BE127" i="4"/>
  <c r="BF127" i="4"/>
  <c r="AO127" i="4"/>
  <c r="AM127" i="4"/>
  <c r="AK127" i="4"/>
  <c r="AI127" i="4"/>
  <c r="AG127" i="4"/>
  <c r="AE127" i="4"/>
  <c r="AC127" i="4"/>
  <c r="Y127" i="4"/>
  <c r="EK123" i="4"/>
  <c r="EL123" i="4"/>
  <c r="DV123" i="4"/>
  <c r="DW123" i="4"/>
  <c r="CZ123" i="4"/>
  <c r="DA123" i="4"/>
  <c r="CD123" i="4"/>
  <c r="CE123" i="4"/>
  <c r="BS123" i="4"/>
  <c r="BT123" i="4"/>
  <c r="BM123" i="4"/>
  <c r="BN123" i="4"/>
  <c r="BE123" i="4"/>
  <c r="BF123" i="4"/>
  <c r="EK122" i="4"/>
  <c r="EL122" i="4"/>
  <c r="DV122" i="4"/>
  <c r="DW122" i="4"/>
  <c r="CZ122" i="4"/>
  <c r="DA122" i="4"/>
  <c r="CD122" i="4"/>
  <c r="CE122" i="4"/>
  <c r="BS122" i="4"/>
  <c r="BT122" i="4"/>
  <c r="BM122" i="4"/>
  <c r="BN122" i="4"/>
  <c r="BE122" i="4"/>
  <c r="BF122" i="4"/>
  <c r="EK121" i="4"/>
  <c r="EL121" i="4"/>
  <c r="DV121" i="4"/>
  <c r="DW121" i="4"/>
  <c r="CZ121" i="4"/>
  <c r="DA121" i="4"/>
  <c r="CD121" i="4"/>
  <c r="CE121" i="4"/>
  <c r="BS121" i="4"/>
  <c r="BT121" i="4"/>
  <c r="BM121" i="4"/>
  <c r="BN121" i="4"/>
  <c r="AA121" i="4"/>
  <c r="BE121" i="4"/>
  <c r="BF121" i="4"/>
  <c r="AO121" i="4"/>
  <c r="AM121" i="4"/>
  <c r="AK121" i="4"/>
  <c r="AI121" i="4"/>
  <c r="AG121" i="4"/>
  <c r="AE121" i="4"/>
  <c r="AC121" i="4"/>
  <c r="Y121" i="4"/>
  <c r="EK120" i="4"/>
  <c r="EL120" i="4"/>
  <c r="DF120" i="4"/>
  <c r="CZ120" i="4"/>
  <c r="DA120" i="4"/>
  <c r="CD120" i="4"/>
  <c r="CE120" i="4"/>
  <c r="BS120" i="4"/>
  <c r="BT120" i="4"/>
  <c r="BM120" i="4"/>
  <c r="BN120" i="4"/>
  <c r="BB120" i="4"/>
  <c r="BE120" i="4"/>
  <c r="BF120" i="4"/>
  <c r="EK119" i="4"/>
  <c r="EL119" i="4"/>
  <c r="DF119" i="4"/>
  <c r="CZ119" i="4"/>
  <c r="DA119" i="4"/>
  <c r="CD119" i="4"/>
  <c r="CE119" i="4"/>
  <c r="BS119" i="4"/>
  <c r="BT119" i="4"/>
  <c r="BM119" i="4"/>
  <c r="BN119" i="4"/>
  <c r="BB119" i="4"/>
  <c r="BE119" i="4"/>
  <c r="BF119" i="4"/>
  <c r="EK118" i="4"/>
  <c r="EL118" i="4"/>
  <c r="DF118" i="4"/>
  <c r="CZ118" i="4"/>
  <c r="DA118" i="4"/>
  <c r="CD118" i="4"/>
  <c r="CE118" i="4"/>
  <c r="BS118" i="4"/>
  <c r="BT118" i="4"/>
  <c r="BM118" i="4"/>
  <c r="BN118" i="4"/>
  <c r="AA118" i="4"/>
  <c r="BB118" i="4"/>
  <c r="BE118" i="4"/>
  <c r="BF118" i="4"/>
  <c r="AO118" i="4"/>
  <c r="AM118" i="4"/>
  <c r="AK118" i="4"/>
  <c r="AI118" i="4"/>
  <c r="AG118" i="4"/>
  <c r="AE118" i="4"/>
  <c r="AC118" i="4"/>
  <c r="Y118" i="4"/>
  <c r="EK114" i="4"/>
  <c r="EL114" i="4"/>
  <c r="DV114" i="4"/>
  <c r="DW114" i="4"/>
  <c r="CZ114" i="4"/>
  <c r="DA114" i="4"/>
  <c r="CD114" i="4"/>
  <c r="CE114" i="4"/>
  <c r="BS114" i="4"/>
  <c r="BT114" i="4"/>
  <c r="BM114" i="4"/>
  <c r="BN114" i="4"/>
  <c r="BE114" i="4"/>
  <c r="BF114" i="4"/>
  <c r="EK113" i="4"/>
  <c r="EL113" i="4"/>
  <c r="DV113" i="4"/>
  <c r="DW113" i="4"/>
  <c r="CZ113" i="4"/>
  <c r="DA113" i="4"/>
  <c r="CD113" i="4"/>
  <c r="CE113" i="4"/>
  <c r="BS113" i="4"/>
  <c r="BT113" i="4"/>
  <c r="BM113" i="4"/>
  <c r="BN113" i="4"/>
  <c r="BE113" i="4"/>
  <c r="BF113" i="4"/>
  <c r="EK112" i="4"/>
  <c r="EL112" i="4"/>
  <c r="DV112" i="4"/>
  <c r="DW112" i="4"/>
  <c r="CZ112" i="4"/>
  <c r="DA112" i="4"/>
  <c r="CD112" i="4"/>
  <c r="CE112" i="4"/>
  <c r="BS112" i="4"/>
  <c r="BT112" i="4"/>
  <c r="BM112" i="4"/>
  <c r="BN112" i="4"/>
  <c r="AA112" i="4"/>
  <c r="BE112" i="4"/>
  <c r="BF112" i="4"/>
  <c r="AO112" i="4"/>
  <c r="AM112" i="4"/>
  <c r="AK112" i="4"/>
  <c r="AI112" i="4"/>
  <c r="AG112" i="4"/>
  <c r="AE112" i="4"/>
  <c r="AC112" i="4"/>
  <c r="Y112" i="4"/>
  <c r="DZ111" i="4"/>
  <c r="EK111" i="4"/>
  <c r="EL111" i="4"/>
  <c r="DV111" i="4"/>
  <c r="DW111" i="4"/>
  <c r="CH111" i="4"/>
  <c r="CZ111" i="4"/>
  <c r="DA111" i="4"/>
  <c r="CD111" i="4"/>
  <c r="CE111" i="4"/>
  <c r="BS111" i="4"/>
  <c r="BT111" i="4"/>
  <c r="BI111" i="4"/>
  <c r="BM111" i="4"/>
  <c r="BN111" i="4"/>
  <c r="BE111" i="4"/>
  <c r="BF111" i="4"/>
  <c r="DZ110" i="4"/>
  <c r="EK110" i="4"/>
  <c r="EL110" i="4"/>
  <c r="DV110" i="4"/>
  <c r="DW110" i="4"/>
  <c r="CH110" i="4"/>
  <c r="CZ110" i="4"/>
  <c r="DA110" i="4"/>
  <c r="CD110" i="4"/>
  <c r="CE110" i="4"/>
  <c r="BS110" i="4"/>
  <c r="BT110" i="4"/>
  <c r="BI110" i="4"/>
  <c r="BM110" i="4"/>
  <c r="BN110" i="4"/>
  <c r="BE110" i="4"/>
  <c r="BF110" i="4"/>
  <c r="DZ109" i="4"/>
  <c r="EK109" i="4"/>
  <c r="EL109" i="4"/>
  <c r="DV109" i="4"/>
  <c r="DW109" i="4"/>
  <c r="CH109" i="4"/>
  <c r="CZ109" i="4"/>
  <c r="DA109" i="4"/>
  <c r="CD109" i="4"/>
  <c r="CE109" i="4"/>
  <c r="BS109" i="4"/>
  <c r="BT109" i="4"/>
  <c r="BI109" i="4"/>
  <c r="BM109" i="4"/>
  <c r="BN109" i="4"/>
  <c r="AA109" i="4"/>
  <c r="BE109" i="4"/>
  <c r="BF109" i="4"/>
  <c r="AO109" i="4"/>
  <c r="AM109" i="4"/>
  <c r="AK109" i="4"/>
  <c r="AI109" i="4"/>
  <c r="AG109" i="4"/>
  <c r="AE109" i="4"/>
  <c r="AC109" i="4"/>
  <c r="Y109" i="4"/>
  <c r="EK108" i="4"/>
  <c r="EL108" i="4"/>
  <c r="DV108" i="4"/>
  <c r="DW108" i="4"/>
  <c r="CZ108" i="4"/>
  <c r="DA108" i="4"/>
  <c r="CD108" i="4"/>
  <c r="CE108" i="4"/>
  <c r="BS108" i="4"/>
  <c r="BT108" i="4"/>
  <c r="BM108" i="4"/>
  <c r="BN108" i="4"/>
  <c r="BE108" i="4"/>
  <c r="BF108" i="4"/>
  <c r="EK107" i="4"/>
  <c r="EL107" i="4"/>
  <c r="DV107" i="4"/>
  <c r="DW107" i="4"/>
  <c r="CZ107" i="4"/>
  <c r="DA107" i="4"/>
  <c r="CD107" i="4"/>
  <c r="CE107" i="4"/>
  <c r="BS107" i="4"/>
  <c r="BT107" i="4"/>
  <c r="BM107" i="4"/>
  <c r="BN107" i="4"/>
  <c r="BE107" i="4"/>
  <c r="BF107" i="4"/>
  <c r="EK106" i="4"/>
  <c r="EL106" i="4"/>
  <c r="DV106" i="4"/>
  <c r="DW106" i="4"/>
  <c r="CZ106" i="4"/>
  <c r="DA106" i="4"/>
  <c r="CD106" i="4"/>
  <c r="CE106" i="4"/>
  <c r="BS106" i="4"/>
  <c r="BT106" i="4"/>
  <c r="BM106" i="4"/>
  <c r="BN106" i="4"/>
  <c r="AA106" i="4"/>
  <c r="BE106" i="4"/>
  <c r="BF106" i="4"/>
  <c r="AO106" i="4"/>
  <c r="AM106" i="4"/>
  <c r="AK106" i="4"/>
  <c r="AI106" i="4"/>
  <c r="AG106" i="4"/>
  <c r="AE106" i="4"/>
  <c r="AC106" i="4"/>
  <c r="Y106" i="4"/>
  <c r="EK105" i="4"/>
  <c r="EL105" i="4"/>
  <c r="DV105" i="4"/>
  <c r="DW105" i="4"/>
  <c r="CZ105" i="4"/>
  <c r="DA105" i="4"/>
  <c r="CD105" i="4"/>
  <c r="CE105" i="4"/>
  <c r="BS105" i="4"/>
  <c r="BT105" i="4"/>
  <c r="BM105" i="4"/>
  <c r="BN105" i="4"/>
  <c r="BE105" i="4"/>
  <c r="BF105" i="4"/>
  <c r="EK104" i="4"/>
  <c r="EL104" i="4"/>
  <c r="DV104" i="4"/>
  <c r="DW104" i="4"/>
  <c r="CZ104" i="4"/>
  <c r="DA104" i="4"/>
  <c r="CD104" i="4"/>
  <c r="CE104" i="4"/>
  <c r="BS104" i="4"/>
  <c r="BT104" i="4"/>
  <c r="BM104" i="4"/>
  <c r="BN104" i="4"/>
  <c r="BE104" i="4"/>
  <c r="BF104" i="4"/>
  <c r="EK103" i="4"/>
  <c r="EL103" i="4"/>
  <c r="DV103" i="4"/>
  <c r="DW103" i="4"/>
  <c r="CZ103" i="4"/>
  <c r="DA103" i="4"/>
  <c r="CD103" i="4"/>
  <c r="CE103" i="4"/>
  <c r="BS103" i="4"/>
  <c r="BT103" i="4"/>
  <c r="BM103" i="4"/>
  <c r="BN103" i="4"/>
  <c r="AA103" i="4"/>
  <c r="BE103" i="4"/>
  <c r="BF103" i="4"/>
  <c r="AO103" i="4"/>
  <c r="AM103" i="4"/>
  <c r="AK103" i="4"/>
  <c r="AI103" i="4"/>
  <c r="AG103" i="4"/>
  <c r="AE103" i="4"/>
  <c r="AC103" i="4"/>
  <c r="Y103" i="4"/>
  <c r="EK102" i="4"/>
  <c r="EL102" i="4"/>
  <c r="DV102" i="4"/>
  <c r="DW102" i="4"/>
  <c r="CZ102" i="4"/>
  <c r="DA102" i="4"/>
  <c r="CD102" i="4"/>
  <c r="CE102" i="4"/>
  <c r="BS102" i="4"/>
  <c r="BT102" i="4"/>
  <c r="BM102" i="4"/>
  <c r="BN102" i="4"/>
  <c r="BE102" i="4"/>
  <c r="BF102" i="4"/>
  <c r="EK101" i="4"/>
  <c r="EL101" i="4"/>
  <c r="DV101" i="4"/>
  <c r="DW101" i="4"/>
  <c r="CZ101" i="4"/>
  <c r="DA101" i="4"/>
  <c r="CD101" i="4"/>
  <c r="CE101" i="4"/>
  <c r="BS101" i="4"/>
  <c r="BT101" i="4"/>
  <c r="BM101" i="4"/>
  <c r="BN101" i="4"/>
  <c r="BE101" i="4"/>
  <c r="BF101" i="4"/>
  <c r="EK100" i="4"/>
  <c r="EL100" i="4"/>
  <c r="DV100" i="4"/>
  <c r="DW100" i="4"/>
  <c r="CZ100" i="4"/>
  <c r="DA100" i="4"/>
  <c r="CD100" i="4"/>
  <c r="CE100" i="4"/>
  <c r="BS100" i="4"/>
  <c r="BT100" i="4"/>
  <c r="BM100" i="4"/>
  <c r="BN100" i="4"/>
  <c r="AA100" i="4"/>
  <c r="BE100" i="4"/>
  <c r="BF100" i="4"/>
  <c r="AO100" i="4"/>
  <c r="AM100" i="4"/>
  <c r="AK100" i="4"/>
  <c r="AI100" i="4"/>
  <c r="AG100" i="4"/>
  <c r="AE100" i="4"/>
  <c r="AC100" i="4"/>
  <c r="Y100" i="4"/>
  <c r="EK99" i="4"/>
  <c r="EL99" i="4"/>
  <c r="DV99" i="4"/>
  <c r="DW99" i="4"/>
  <c r="CZ99" i="4"/>
  <c r="DA99" i="4"/>
  <c r="CD99" i="4"/>
  <c r="CE99" i="4"/>
  <c r="BS99" i="4"/>
  <c r="BT99" i="4"/>
  <c r="BM99" i="4"/>
  <c r="BN99" i="4"/>
  <c r="BE99" i="4"/>
  <c r="BF99" i="4"/>
  <c r="EK98" i="4"/>
  <c r="EL98" i="4"/>
  <c r="DV98" i="4"/>
  <c r="DW98" i="4"/>
  <c r="CZ98" i="4"/>
  <c r="DA98" i="4"/>
  <c r="CD98" i="4"/>
  <c r="CE98" i="4"/>
  <c r="BS98" i="4"/>
  <c r="BT98" i="4"/>
  <c r="BM98" i="4"/>
  <c r="BN98" i="4"/>
  <c r="BE98" i="4"/>
  <c r="BF98" i="4"/>
  <c r="EK97" i="4"/>
  <c r="EL97" i="4"/>
  <c r="DV97" i="4"/>
  <c r="DW97" i="4"/>
  <c r="CZ97" i="4"/>
  <c r="DA97" i="4"/>
  <c r="CD97" i="4"/>
  <c r="CE97" i="4"/>
  <c r="BS97" i="4"/>
  <c r="BT97" i="4"/>
  <c r="BM97" i="4"/>
  <c r="BN97" i="4"/>
  <c r="AA97" i="4"/>
  <c r="BE97" i="4"/>
  <c r="BF97" i="4"/>
  <c r="AO97" i="4"/>
  <c r="AM97" i="4"/>
  <c r="AK97" i="4"/>
  <c r="AI97" i="4"/>
  <c r="AG97" i="4"/>
  <c r="AE97" i="4"/>
  <c r="AC97" i="4"/>
  <c r="Y97" i="4"/>
  <c r="EK96" i="4"/>
  <c r="EL96" i="4"/>
  <c r="DV96" i="4"/>
  <c r="DW96" i="4"/>
  <c r="CZ96" i="4"/>
  <c r="DA96" i="4"/>
  <c r="CD96" i="4"/>
  <c r="CE96" i="4"/>
  <c r="BS96" i="4"/>
  <c r="BT96" i="4"/>
  <c r="BM96" i="4"/>
  <c r="BN96" i="4"/>
  <c r="BE96" i="4"/>
  <c r="BF96" i="4"/>
  <c r="EK95" i="4"/>
  <c r="EL95" i="4"/>
  <c r="DV95" i="4"/>
  <c r="DW95" i="4"/>
  <c r="CZ95" i="4"/>
  <c r="DA95" i="4"/>
  <c r="CD95" i="4"/>
  <c r="CE95" i="4"/>
  <c r="BS95" i="4"/>
  <c r="BT95" i="4"/>
  <c r="BM95" i="4"/>
  <c r="BN95" i="4"/>
  <c r="BE95" i="4"/>
  <c r="BF95" i="4"/>
  <c r="EK94" i="4"/>
  <c r="EL94" i="4"/>
  <c r="DV94" i="4"/>
  <c r="DW94" i="4"/>
  <c r="CZ94" i="4"/>
  <c r="DA94" i="4"/>
  <c r="CD94" i="4"/>
  <c r="CE94" i="4"/>
  <c r="BS94" i="4"/>
  <c r="BT94" i="4"/>
  <c r="BM94" i="4"/>
  <c r="BN94" i="4"/>
  <c r="AA94" i="4"/>
  <c r="BE94" i="4"/>
  <c r="BF94" i="4"/>
  <c r="AO94" i="4"/>
  <c r="AM94" i="4"/>
  <c r="AK94" i="4"/>
  <c r="AI94" i="4"/>
  <c r="AG94" i="4"/>
  <c r="AE94" i="4"/>
  <c r="AC94" i="4"/>
  <c r="Y94" i="4"/>
  <c r="EK93" i="4"/>
  <c r="EL93" i="4"/>
  <c r="DV93" i="4"/>
  <c r="DW93" i="4"/>
  <c r="CZ93" i="4"/>
  <c r="DA93" i="4"/>
  <c r="CD93" i="4"/>
  <c r="CE93" i="4"/>
  <c r="BS93" i="4"/>
  <c r="BT93" i="4"/>
  <c r="BM93" i="4"/>
  <c r="BN93" i="4"/>
  <c r="BE93" i="4"/>
  <c r="BF93" i="4"/>
  <c r="EK92" i="4"/>
  <c r="EL92" i="4"/>
  <c r="DV92" i="4"/>
  <c r="DW92" i="4"/>
  <c r="CZ92" i="4"/>
  <c r="DA92" i="4"/>
  <c r="CD92" i="4"/>
  <c r="CE92" i="4"/>
  <c r="BS92" i="4"/>
  <c r="BT92" i="4"/>
  <c r="BM92" i="4"/>
  <c r="BN92" i="4"/>
  <c r="BE92" i="4"/>
  <c r="BF92" i="4"/>
  <c r="EK91" i="4"/>
  <c r="EL91" i="4"/>
  <c r="DV91" i="4"/>
  <c r="CZ91" i="4"/>
  <c r="DA91" i="4"/>
  <c r="CD91" i="4"/>
  <c r="CE91" i="4"/>
  <c r="BS91" i="4"/>
  <c r="BT91" i="4"/>
  <c r="BM91" i="4"/>
  <c r="BE91" i="4"/>
  <c r="BF91" i="4"/>
  <c r="AO91" i="4"/>
  <c r="AM91" i="4"/>
  <c r="AK91" i="4"/>
  <c r="AI91" i="4"/>
  <c r="AG91" i="4"/>
  <c r="AE91" i="4"/>
  <c r="AC91" i="4"/>
  <c r="Y91" i="4"/>
  <c r="EK90" i="4"/>
  <c r="EL90" i="4"/>
  <c r="DV90" i="4"/>
  <c r="DW90" i="4"/>
  <c r="CZ90" i="4"/>
  <c r="DA90" i="4"/>
  <c r="CD90" i="4"/>
  <c r="CE90" i="4"/>
  <c r="BS90" i="4"/>
  <c r="BT90" i="4"/>
  <c r="BM90" i="4"/>
  <c r="BN90" i="4"/>
  <c r="BE90" i="4"/>
  <c r="BF90" i="4"/>
  <c r="EK89" i="4"/>
  <c r="EL89" i="4"/>
  <c r="DV89" i="4"/>
  <c r="DW89" i="4"/>
  <c r="CZ89" i="4"/>
  <c r="DA89" i="4"/>
  <c r="CD89" i="4"/>
  <c r="CE89" i="4"/>
  <c r="BS89" i="4"/>
  <c r="BT89" i="4"/>
  <c r="BM89" i="4"/>
  <c r="BN89" i="4"/>
  <c r="BE89" i="4"/>
  <c r="BF89" i="4"/>
  <c r="EK88" i="4"/>
  <c r="EL88" i="4"/>
  <c r="DV88" i="4"/>
  <c r="DW88" i="4"/>
  <c r="CZ88" i="4"/>
  <c r="DA88" i="4"/>
  <c r="CD88" i="4"/>
  <c r="CE88" i="4"/>
  <c r="BS88" i="4"/>
  <c r="BT88" i="4"/>
  <c r="BM88" i="4"/>
  <c r="BN88" i="4"/>
  <c r="AA88" i="4"/>
  <c r="BE88" i="4"/>
  <c r="BF88" i="4"/>
  <c r="AO88" i="4"/>
  <c r="AM88" i="4"/>
  <c r="AK88" i="4"/>
  <c r="AI88" i="4"/>
  <c r="AG88" i="4"/>
  <c r="AE88" i="4"/>
  <c r="AC88" i="4"/>
  <c r="Y88" i="4"/>
  <c r="EK87" i="4"/>
  <c r="EL87" i="4"/>
  <c r="DV87" i="4"/>
  <c r="DW87" i="4"/>
  <c r="CZ87" i="4"/>
  <c r="DA87" i="4"/>
  <c r="CD87" i="4"/>
  <c r="CE87" i="4"/>
  <c r="BS87" i="4"/>
  <c r="BT87" i="4"/>
  <c r="BM87" i="4"/>
  <c r="BN87" i="4"/>
  <c r="BE87" i="4"/>
  <c r="BF87" i="4"/>
  <c r="EK86" i="4"/>
  <c r="EL86" i="4"/>
  <c r="DV86" i="4"/>
  <c r="DW86" i="4"/>
  <c r="CZ86" i="4"/>
  <c r="DA86" i="4"/>
  <c r="CD86" i="4"/>
  <c r="CE86" i="4"/>
  <c r="BS86" i="4"/>
  <c r="BT86" i="4"/>
  <c r="BM86" i="4"/>
  <c r="BN86" i="4"/>
  <c r="BE86" i="4"/>
  <c r="BF86" i="4"/>
  <c r="EK85" i="4"/>
  <c r="EL85" i="4"/>
  <c r="DV85" i="4"/>
  <c r="DW85" i="4"/>
  <c r="CZ85" i="4"/>
  <c r="DA85" i="4"/>
  <c r="CD85" i="4"/>
  <c r="CE85" i="4"/>
  <c r="BS85" i="4"/>
  <c r="BT85" i="4"/>
  <c r="BM85" i="4"/>
  <c r="G263" i="4"/>
  <c r="BE85" i="4"/>
  <c r="BF85" i="4"/>
  <c r="AO85" i="4"/>
  <c r="AM85" i="4"/>
  <c r="AK85" i="4"/>
  <c r="AI85" i="4"/>
  <c r="AG85" i="4"/>
  <c r="AE85" i="4"/>
  <c r="AC85" i="4"/>
  <c r="Z85" i="4"/>
  <c r="Y85" i="4"/>
  <c r="EK84" i="4"/>
  <c r="EL84" i="4"/>
  <c r="DV84" i="4"/>
  <c r="DW84" i="4"/>
  <c r="CZ84" i="4"/>
  <c r="DA84" i="4"/>
  <c r="CD84" i="4"/>
  <c r="CE84" i="4"/>
  <c r="BS84" i="4"/>
  <c r="BT84" i="4"/>
  <c r="BM84" i="4"/>
  <c r="BN84" i="4"/>
  <c r="AZ84" i="4"/>
  <c r="AY84" i="4"/>
  <c r="EK83" i="4"/>
  <c r="EL83" i="4"/>
  <c r="DV83" i="4"/>
  <c r="DW83" i="4"/>
  <c r="CZ83" i="4"/>
  <c r="DA83" i="4"/>
  <c r="CD83" i="4"/>
  <c r="CE83" i="4"/>
  <c r="BS83" i="4"/>
  <c r="BT83" i="4"/>
  <c r="BM83" i="4"/>
  <c r="BN83" i="4"/>
  <c r="AZ83" i="4"/>
  <c r="AY83" i="4"/>
  <c r="EK82" i="4"/>
  <c r="EL82" i="4"/>
  <c r="DV82" i="4"/>
  <c r="DW82" i="4"/>
  <c r="CZ82" i="4"/>
  <c r="DA82" i="4"/>
  <c r="CD82" i="4"/>
  <c r="CE82" i="4"/>
  <c r="BS82" i="4"/>
  <c r="BT82" i="4"/>
  <c r="BM82" i="4"/>
  <c r="BN82" i="4"/>
  <c r="AA82" i="4"/>
  <c r="AZ82" i="4"/>
  <c r="AY82" i="4"/>
  <c r="AO82" i="4"/>
  <c r="AM82" i="4"/>
  <c r="AK82" i="4"/>
  <c r="AI82" i="4"/>
  <c r="AG82" i="4"/>
  <c r="AE82" i="4"/>
  <c r="AC82" i="4"/>
  <c r="Z82" i="4"/>
  <c r="Y82" i="4"/>
  <c r="EK78" i="4"/>
  <c r="EL78" i="4"/>
  <c r="DV78" i="4"/>
  <c r="DW78" i="4"/>
  <c r="CZ78" i="4"/>
  <c r="DA78" i="4"/>
  <c r="CD78" i="4"/>
  <c r="CE78" i="4"/>
  <c r="BS78" i="4"/>
  <c r="BT78" i="4"/>
  <c r="BM78" i="4"/>
  <c r="BN78" i="4"/>
  <c r="BE78" i="4"/>
  <c r="BF78" i="4"/>
  <c r="EK77" i="4"/>
  <c r="EL77" i="4"/>
  <c r="DV77" i="4"/>
  <c r="DW77" i="4"/>
  <c r="CZ77" i="4"/>
  <c r="DA77" i="4"/>
  <c r="CD77" i="4"/>
  <c r="CE77" i="4"/>
  <c r="BS77" i="4"/>
  <c r="BT77" i="4"/>
  <c r="BM77" i="4"/>
  <c r="BN77" i="4"/>
  <c r="BE77" i="4"/>
  <c r="BF77" i="4"/>
  <c r="EK76" i="4"/>
  <c r="EL76" i="4"/>
  <c r="DV76" i="4"/>
  <c r="DW76" i="4"/>
  <c r="CZ76" i="4"/>
  <c r="DA76" i="4"/>
  <c r="CD76" i="4"/>
  <c r="CE76" i="4"/>
  <c r="BS76" i="4"/>
  <c r="BT76" i="4"/>
  <c r="BM76" i="4"/>
  <c r="BN76" i="4"/>
  <c r="BE76" i="4"/>
  <c r="BF76" i="4"/>
  <c r="AO76" i="4"/>
  <c r="AM76" i="4"/>
  <c r="AK76" i="4"/>
  <c r="AI76" i="4"/>
  <c r="AG76" i="4"/>
  <c r="AE76" i="4"/>
  <c r="AC76" i="4"/>
  <c r="AA76" i="4"/>
  <c r="Y76" i="4"/>
  <c r="EK75" i="4"/>
  <c r="EL75" i="4"/>
  <c r="DV75" i="4"/>
  <c r="DW75" i="4"/>
  <c r="CZ75" i="4"/>
  <c r="DA75" i="4"/>
  <c r="CD75" i="4"/>
  <c r="CE75" i="4"/>
  <c r="BS75" i="4"/>
  <c r="BT75" i="4"/>
  <c r="BM75" i="4"/>
  <c r="BN75" i="4"/>
  <c r="BE75" i="4"/>
  <c r="BF75" i="4"/>
  <c r="EK74" i="4"/>
  <c r="EL74" i="4"/>
  <c r="DV74" i="4"/>
  <c r="DW74" i="4"/>
  <c r="CZ74" i="4"/>
  <c r="DA74" i="4"/>
  <c r="CD74" i="4"/>
  <c r="CE74" i="4"/>
  <c r="BS74" i="4"/>
  <c r="BT74" i="4"/>
  <c r="BM74" i="4"/>
  <c r="BN74" i="4"/>
  <c r="BE74" i="4"/>
  <c r="BF74" i="4"/>
  <c r="EK73" i="4"/>
  <c r="EL73" i="4"/>
  <c r="DV73" i="4"/>
  <c r="DW73" i="4"/>
  <c r="CZ73" i="4"/>
  <c r="DA73" i="4"/>
  <c r="CD73" i="4"/>
  <c r="CE73" i="4"/>
  <c r="BS73" i="4"/>
  <c r="BT73" i="4"/>
  <c r="BM73" i="4"/>
  <c r="BN73" i="4"/>
  <c r="AA73" i="4"/>
  <c r="BE73" i="4"/>
  <c r="BF73" i="4"/>
  <c r="AO73" i="4"/>
  <c r="AM73" i="4"/>
  <c r="AK73" i="4"/>
  <c r="AI73" i="4"/>
  <c r="AG73" i="4"/>
  <c r="AE73" i="4"/>
  <c r="AC73" i="4"/>
  <c r="Y73" i="4"/>
  <c r="EK69" i="4"/>
  <c r="EL69" i="4"/>
  <c r="DV69" i="4"/>
  <c r="DW69" i="4"/>
  <c r="CZ69" i="4"/>
  <c r="DA69" i="4"/>
  <c r="CD69" i="4"/>
  <c r="CE69" i="4"/>
  <c r="BQ69" i="4"/>
  <c r="BS69" i="4"/>
  <c r="BT69" i="4"/>
  <c r="BM69" i="4"/>
  <c r="BN69" i="4"/>
  <c r="BE69" i="4"/>
  <c r="BF69" i="4"/>
  <c r="EK68" i="4"/>
  <c r="EL68" i="4"/>
  <c r="DV68" i="4"/>
  <c r="DW68" i="4"/>
  <c r="CZ68" i="4"/>
  <c r="DA68" i="4"/>
  <c r="CD68" i="4"/>
  <c r="CE68" i="4"/>
  <c r="BQ68" i="4"/>
  <c r="BS68" i="4"/>
  <c r="BT68" i="4"/>
  <c r="BM68" i="4"/>
  <c r="BN68" i="4"/>
  <c r="BE68" i="4"/>
  <c r="BF68" i="4"/>
  <c r="EK67" i="4"/>
  <c r="EL67" i="4"/>
  <c r="DV67" i="4"/>
  <c r="CZ67" i="4"/>
  <c r="DA67" i="4"/>
  <c r="CD67" i="4"/>
  <c r="CE67" i="4"/>
  <c r="BQ67" i="4"/>
  <c r="BS67" i="4"/>
  <c r="BT67" i="4"/>
  <c r="BM67" i="4"/>
  <c r="BN67" i="4"/>
  <c r="AA67" i="4"/>
  <c r="BE67" i="4"/>
  <c r="BF67" i="4"/>
  <c r="AO67" i="4"/>
  <c r="AM67" i="4"/>
  <c r="AK67" i="4"/>
  <c r="AI67" i="4"/>
  <c r="AG67" i="4"/>
  <c r="AE67" i="4"/>
  <c r="AC67" i="4"/>
  <c r="Y67" i="4"/>
  <c r="EK66" i="4"/>
  <c r="EL66" i="4"/>
  <c r="DV66" i="4"/>
  <c r="DW66" i="4"/>
  <c r="CZ66" i="4"/>
  <c r="DA66" i="4"/>
  <c r="CD66" i="4"/>
  <c r="CE66" i="4"/>
  <c r="BS66" i="4"/>
  <c r="BT66" i="4"/>
  <c r="BM66" i="4"/>
  <c r="BN66" i="4"/>
  <c r="BE66" i="4"/>
  <c r="BF66" i="4"/>
  <c r="EK65" i="4"/>
  <c r="EL65" i="4"/>
  <c r="DV65" i="4"/>
  <c r="DW65" i="4"/>
  <c r="CZ65" i="4"/>
  <c r="DA65" i="4"/>
  <c r="CD65" i="4"/>
  <c r="CE65" i="4"/>
  <c r="BS65" i="4"/>
  <c r="BT65" i="4"/>
  <c r="BM65" i="4"/>
  <c r="BN65" i="4"/>
  <c r="BE65" i="4"/>
  <c r="BF65" i="4"/>
  <c r="EK64" i="4"/>
  <c r="EL64" i="4"/>
  <c r="DV64" i="4"/>
  <c r="DW64" i="4"/>
  <c r="CZ64" i="4"/>
  <c r="DA64" i="4"/>
  <c r="CD64" i="4"/>
  <c r="CE64" i="4"/>
  <c r="BS64" i="4"/>
  <c r="BT64" i="4"/>
  <c r="BM64" i="4"/>
  <c r="BN64" i="4"/>
  <c r="AA64" i="4"/>
  <c r="BE64" i="4"/>
  <c r="BF64" i="4"/>
  <c r="AO64" i="4"/>
  <c r="AM64" i="4"/>
  <c r="AK64" i="4"/>
  <c r="AI64" i="4"/>
  <c r="AG64" i="4"/>
  <c r="AE64" i="4"/>
  <c r="AC64" i="4"/>
  <c r="Y64" i="4"/>
  <c r="EK63" i="4"/>
  <c r="EL63" i="4"/>
  <c r="DV63" i="4"/>
  <c r="DW63" i="4"/>
  <c r="CZ63" i="4"/>
  <c r="DA63" i="4"/>
  <c r="CD63" i="4"/>
  <c r="CE63" i="4"/>
  <c r="BS63" i="4"/>
  <c r="BT63" i="4"/>
  <c r="BM63" i="4"/>
  <c r="BN63" i="4"/>
  <c r="BE63" i="4"/>
  <c r="BF63" i="4"/>
  <c r="EK62" i="4"/>
  <c r="EL62" i="4"/>
  <c r="DV62" i="4"/>
  <c r="DW62" i="4"/>
  <c r="CZ62" i="4"/>
  <c r="DA62" i="4"/>
  <c r="CD62" i="4"/>
  <c r="CE62" i="4"/>
  <c r="BS62" i="4"/>
  <c r="BT62" i="4"/>
  <c r="BM62" i="4"/>
  <c r="BN62" i="4"/>
  <c r="BE62" i="4"/>
  <c r="BF62" i="4"/>
  <c r="EK61" i="4"/>
  <c r="EL61" i="4"/>
  <c r="DV61" i="4"/>
  <c r="CZ61" i="4"/>
  <c r="DA61" i="4"/>
  <c r="CD61" i="4"/>
  <c r="CE61" i="4"/>
  <c r="BS61" i="4"/>
  <c r="BT61" i="4"/>
  <c r="BM61" i="4"/>
  <c r="BN61" i="4"/>
  <c r="AA61" i="4"/>
  <c r="BE61" i="4"/>
  <c r="BF61" i="4"/>
  <c r="AO61" i="4"/>
  <c r="AM61" i="4"/>
  <c r="AK61" i="4"/>
  <c r="AI61" i="4"/>
  <c r="AG61" i="4"/>
  <c r="AE61" i="4"/>
  <c r="AC61" i="4"/>
  <c r="Y61" i="4"/>
  <c r="EK60" i="4"/>
  <c r="EL60" i="4"/>
  <c r="DV60" i="4"/>
  <c r="DW60" i="4"/>
  <c r="CZ60" i="4"/>
  <c r="DA60" i="4"/>
  <c r="CD60" i="4"/>
  <c r="CE60" i="4"/>
  <c r="BS60" i="4"/>
  <c r="BT60" i="4"/>
  <c r="BM60" i="4"/>
  <c r="BN60" i="4"/>
  <c r="BE60" i="4"/>
  <c r="BF60" i="4"/>
  <c r="EK59" i="4"/>
  <c r="EL59" i="4"/>
  <c r="DV59" i="4"/>
  <c r="DW59" i="4"/>
  <c r="CZ59" i="4"/>
  <c r="DA59" i="4"/>
  <c r="CD59" i="4"/>
  <c r="CE59" i="4"/>
  <c r="BS59" i="4"/>
  <c r="BT59" i="4"/>
  <c r="BM59" i="4"/>
  <c r="BN59" i="4"/>
  <c r="BE59" i="4"/>
  <c r="BF59" i="4"/>
  <c r="EK58" i="4"/>
  <c r="EL58" i="4"/>
  <c r="DV58" i="4"/>
  <c r="DW58" i="4"/>
  <c r="CZ58" i="4"/>
  <c r="DA58" i="4"/>
  <c r="CD58" i="4"/>
  <c r="CE58" i="4"/>
  <c r="BS58" i="4"/>
  <c r="BT58" i="4"/>
  <c r="BM58" i="4"/>
  <c r="BN58" i="4"/>
  <c r="AA58" i="4"/>
  <c r="BE58" i="4"/>
  <c r="BF58" i="4"/>
  <c r="AO58" i="4"/>
  <c r="AM58" i="4"/>
  <c r="AK58" i="4"/>
  <c r="AI58" i="4"/>
  <c r="AG58" i="4"/>
  <c r="AE58" i="4"/>
  <c r="AC58" i="4"/>
  <c r="Y58" i="4"/>
  <c r="EK57" i="4"/>
  <c r="EL57" i="4"/>
  <c r="DV57" i="4"/>
  <c r="DW57" i="4"/>
  <c r="CZ57" i="4"/>
  <c r="DA57" i="4"/>
  <c r="CD57" i="4"/>
  <c r="CE57" i="4"/>
  <c r="BS57" i="4"/>
  <c r="BT57" i="4"/>
  <c r="BM57" i="4"/>
  <c r="BN57" i="4"/>
  <c r="BE57" i="4"/>
  <c r="BF57" i="4"/>
  <c r="EK56" i="4"/>
  <c r="EL56" i="4"/>
  <c r="DV56" i="4"/>
  <c r="DW56" i="4"/>
  <c r="CZ56" i="4"/>
  <c r="DA56" i="4"/>
  <c r="CD56" i="4"/>
  <c r="CE56" i="4"/>
  <c r="BS56" i="4"/>
  <c r="BT56" i="4"/>
  <c r="BM56" i="4"/>
  <c r="BN56" i="4"/>
  <c r="BE56" i="4"/>
  <c r="BF56" i="4"/>
  <c r="EK55" i="4"/>
  <c r="EL55" i="4"/>
  <c r="DV55" i="4"/>
  <c r="CZ55" i="4"/>
  <c r="DA55" i="4"/>
  <c r="CD55" i="4"/>
  <c r="CE55" i="4"/>
  <c r="BS55" i="4"/>
  <c r="BT55" i="4"/>
  <c r="BM55" i="4"/>
  <c r="G262" i="4"/>
  <c r="BE55" i="4"/>
  <c r="BF55" i="4"/>
  <c r="AO55" i="4"/>
  <c r="AM55" i="4"/>
  <c r="AK55" i="4"/>
  <c r="AI55" i="4"/>
  <c r="AG55" i="4"/>
  <c r="AE55" i="4"/>
  <c r="AC55" i="4"/>
  <c r="Y55" i="4"/>
  <c r="EK54" i="4"/>
  <c r="EL54" i="4"/>
  <c r="DV54" i="4"/>
  <c r="DW54" i="4"/>
  <c r="CZ54" i="4"/>
  <c r="DA54" i="4"/>
  <c r="CD54" i="4"/>
  <c r="CE54" i="4"/>
  <c r="BS54" i="4"/>
  <c r="BT54" i="4"/>
  <c r="BM54" i="4"/>
  <c r="BN54" i="4"/>
  <c r="BE54" i="4"/>
  <c r="BF54" i="4"/>
  <c r="EK53" i="4"/>
  <c r="EL53" i="4"/>
  <c r="DV53" i="4"/>
  <c r="DW53" i="4"/>
  <c r="CZ53" i="4"/>
  <c r="DA53" i="4"/>
  <c r="CD53" i="4"/>
  <c r="CE53" i="4"/>
  <c r="BS53" i="4"/>
  <c r="BT53" i="4"/>
  <c r="BM53" i="4"/>
  <c r="BN53" i="4"/>
  <c r="BE53" i="4"/>
  <c r="BF53" i="4"/>
  <c r="EK52" i="4"/>
  <c r="EL52" i="4"/>
  <c r="DV52" i="4"/>
  <c r="DW52" i="4"/>
  <c r="CZ52" i="4"/>
  <c r="DA52" i="4"/>
  <c r="CD52" i="4"/>
  <c r="CE52" i="4"/>
  <c r="BS52" i="4"/>
  <c r="BT52" i="4"/>
  <c r="BM52" i="4"/>
  <c r="BN52" i="4"/>
  <c r="AA52" i="4"/>
  <c r="BE52" i="4"/>
  <c r="BF52" i="4"/>
  <c r="AO52" i="4"/>
  <c r="AM52" i="4"/>
  <c r="AK52" i="4"/>
  <c r="AI52" i="4"/>
  <c r="AG52" i="4"/>
  <c r="AE52" i="4"/>
  <c r="AC52" i="4"/>
  <c r="Y52" i="4"/>
  <c r="EK51" i="4"/>
  <c r="EL51" i="4"/>
  <c r="DV51" i="4"/>
  <c r="DW51" i="4"/>
  <c r="CZ51" i="4"/>
  <c r="DA51" i="4"/>
  <c r="CD51" i="4"/>
  <c r="CE51" i="4"/>
  <c r="BS51" i="4"/>
  <c r="BT51" i="4"/>
  <c r="BM51" i="4"/>
  <c r="BN51" i="4"/>
  <c r="BE51" i="4"/>
  <c r="BF51" i="4"/>
  <c r="EK50" i="4"/>
  <c r="EL50" i="4"/>
  <c r="DV50" i="4"/>
  <c r="DW50" i="4"/>
  <c r="CZ50" i="4"/>
  <c r="DA50" i="4"/>
  <c r="CD50" i="4"/>
  <c r="CE50" i="4"/>
  <c r="BS50" i="4"/>
  <c r="BT50" i="4"/>
  <c r="BM50" i="4"/>
  <c r="BN50" i="4"/>
  <c r="BE50" i="4"/>
  <c r="BF50" i="4"/>
  <c r="EK49" i="4"/>
  <c r="EL49" i="4"/>
  <c r="DV49" i="4"/>
  <c r="DW49" i="4"/>
  <c r="CZ49" i="4"/>
  <c r="DA49" i="4"/>
  <c r="CD49" i="4"/>
  <c r="CE49" i="4"/>
  <c r="BS49" i="4"/>
  <c r="BT49" i="4"/>
  <c r="BM49" i="4"/>
  <c r="BN49" i="4"/>
  <c r="AA49" i="4"/>
  <c r="BE49" i="4"/>
  <c r="BF49" i="4"/>
  <c r="AO49" i="4"/>
  <c r="AM49" i="4"/>
  <c r="AK49" i="4"/>
  <c r="AI49" i="4"/>
  <c r="AG49" i="4"/>
  <c r="AE49" i="4"/>
  <c r="AC49" i="4"/>
  <c r="Y49" i="4"/>
  <c r="EK48" i="4"/>
  <c r="EL48" i="4"/>
  <c r="DV48" i="4"/>
  <c r="DW48" i="4"/>
  <c r="CZ48" i="4"/>
  <c r="DA48" i="4"/>
  <c r="CD48" i="4"/>
  <c r="CE48" i="4"/>
  <c r="BS48" i="4"/>
  <c r="BT48" i="4"/>
  <c r="BM48" i="4"/>
  <c r="BN48" i="4"/>
  <c r="BE48" i="4"/>
  <c r="BF48" i="4"/>
  <c r="EK47" i="4"/>
  <c r="EL47" i="4"/>
  <c r="DV47" i="4"/>
  <c r="DW47" i="4"/>
  <c r="CZ47" i="4"/>
  <c r="DA47" i="4"/>
  <c r="CD47" i="4"/>
  <c r="CE47" i="4"/>
  <c r="BS47" i="4"/>
  <c r="BT47" i="4"/>
  <c r="BM47" i="4"/>
  <c r="BN47" i="4"/>
  <c r="BE47" i="4"/>
  <c r="BF47" i="4"/>
  <c r="EK46" i="4"/>
  <c r="EL46" i="4"/>
  <c r="DV46" i="4"/>
  <c r="CZ46" i="4"/>
  <c r="DA46" i="4"/>
  <c r="CD46" i="4"/>
  <c r="CE46" i="4"/>
  <c r="BS46" i="4"/>
  <c r="BT46" i="4"/>
  <c r="BM46" i="4"/>
  <c r="G265" i="4"/>
  <c r="BE46" i="4"/>
  <c r="BF46" i="4"/>
  <c r="AO46" i="4"/>
  <c r="AM46" i="4"/>
  <c r="AK46" i="4"/>
  <c r="AI46" i="4"/>
  <c r="AG46" i="4"/>
  <c r="AE46" i="4"/>
  <c r="AC46" i="4"/>
  <c r="Y46" i="4"/>
  <c r="DZ45" i="4"/>
  <c r="EK45" i="4"/>
  <c r="EL45" i="4"/>
  <c r="DV45" i="4"/>
  <c r="DW45" i="4"/>
  <c r="CH45" i="4"/>
  <c r="CZ45" i="4"/>
  <c r="DA45" i="4"/>
  <c r="CD45" i="4"/>
  <c r="CE45" i="4"/>
  <c r="BS45" i="4"/>
  <c r="BT45" i="4"/>
  <c r="BI45" i="4"/>
  <c r="BM45" i="4"/>
  <c r="BN45" i="4"/>
  <c r="BE45" i="4"/>
  <c r="BF45" i="4"/>
  <c r="DZ44" i="4"/>
  <c r="EK44" i="4"/>
  <c r="EL44" i="4"/>
  <c r="DV44" i="4"/>
  <c r="DW44" i="4"/>
  <c r="CH44" i="4"/>
  <c r="CZ44" i="4"/>
  <c r="DA44" i="4"/>
  <c r="CD44" i="4"/>
  <c r="CE44" i="4"/>
  <c r="BS44" i="4"/>
  <c r="BT44" i="4"/>
  <c r="BI44" i="4"/>
  <c r="BM44" i="4"/>
  <c r="BN44" i="4"/>
  <c r="BE44" i="4"/>
  <c r="BF44" i="4"/>
  <c r="DZ43" i="4"/>
  <c r="EK43" i="4"/>
  <c r="EL43" i="4"/>
  <c r="DV43" i="4"/>
  <c r="DW43" i="4"/>
  <c r="CH43" i="4"/>
  <c r="CZ43" i="4"/>
  <c r="DA43" i="4"/>
  <c r="CD43" i="4"/>
  <c r="CE43" i="4"/>
  <c r="BS43" i="4"/>
  <c r="BT43" i="4"/>
  <c r="BI43" i="4"/>
  <c r="BM43" i="4"/>
  <c r="BN43" i="4"/>
  <c r="AA43" i="4"/>
  <c r="BE43" i="4"/>
  <c r="BF43" i="4"/>
  <c r="AO43" i="4"/>
  <c r="AM43" i="4"/>
  <c r="AK43" i="4"/>
  <c r="AI43" i="4"/>
  <c r="AG43" i="4"/>
  <c r="AE43" i="4"/>
  <c r="AC43" i="4"/>
  <c r="Y43" i="4"/>
  <c r="DZ42" i="4"/>
  <c r="EK42" i="4"/>
  <c r="EL42" i="4"/>
  <c r="DV42" i="4"/>
  <c r="DW42" i="4"/>
  <c r="CH42" i="4"/>
  <c r="CZ42" i="4"/>
  <c r="DA42" i="4"/>
  <c r="CD42" i="4"/>
  <c r="CE42" i="4"/>
  <c r="BS42" i="4"/>
  <c r="BT42" i="4"/>
  <c r="BI42" i="4"/>
  <c r="BM42" i="4"/>
  <c r="BN42" i="4"/>
  <c r="BE42" i="4"/>
  <c r="BF42" i="4"/>
  <c r="DZ41" i="4"/>
  <c r="EK41" i="4"/>
  <c r="EL41" i="4"/>
  <c r="DV41" i="4"/>
  <c r="DW41" i="4"/>
  <c r="CH41" i="4"/>
  <c r="CZ41" i="4"/>
  <c r="DA41" i="4"/>
  <c r="CD41" i="4"/>
  <c r="CE41" i="4"/>
  <c r="BS41" i="4"/>
  <c r="BT41" i="4"/>
  <c r="BI41" i="4"/>
  <c r="BM41" i="4"/>
  <c r="BN41" i="4"/>
  <c r="BE41" i="4"/>
  <c r="BF41" i="4"/>
  <c r="DZ40" i="4"/>
  <c r="EK40" i="4"/>
  <c r="EL40" i="4"/>
  <c r="DV40" i="4"/>
  <c r="DW40" i="4"/>
  <c r="CH40" i="4"/>
  <c r="CZ40" i="4"/>
  <c r="DA40" i="4"/>
  <c r="CD40" i="4"/>
  <c r="CE40" i="4"/>
  <c r="BS40" i="4"/>
  <c r="BT40" i="4"/>
  <c r="BI40" i="4"/>
  <c r="BM40" i="4"/>
  <c r="BN40" i="4"/>
  <c r="AA40" i="4"/>
  <c r="BE40" i="4"/>
  <c r="BF40" i="4"/>
  <c r="AO40" i="4"/>
  <c r="AM40" i="4"/>
  <c r="AK40" i="4"/>
  <c r="AI40" i="4"/>
  <c r="AG40" i="4"/>
  <c r="AE40" i="4"/>
  <c r="AC40" i="4"/>
  <c r="Y40" i="4"/>
  <c r="DZ39" i="4"/>
  <c r="EK39" i="4"/>
  <c r="EL39" i="4"/>
  <c r="DV39" i="4"/>
  <c r="DW39" i="4"/>
  <c r="CH39" i="4"/>
  <c r="CZ39" i="4"/>
  <c r="DA39" i="4"/>
  <c r="CD39" i="4"/>
  <c r="CE39" i="4"/>
  <c r="BS39" i="4"/>
  <c r="BT39" i="4"/>
  <c r="BI39" i="4"/>
  <c r="BM39" i="4"/>
  <c r="BN39" i="4"/>
  <c r="BE39" i="4"/>
  <c r="BF39" i="4"/>
  <c r="DZ38" i="4"/>
  <c r="EK38" i="4"/>
  <c r="EL38" i="4"/>
  <c r="DV38" i="4"/>
  <c r="DW38" i="4"/>
  <c r="CH38" i="4"/>
  <c r="CZ38" i="4"/>
  <c r="DA38" i="4"/>
  <c r="CD38" i="4"/>
  <c r="CE38" i="4"/>
  <c r="BS38" i="4"/>
  <c r="BT38" i="4"/>
  <c r="BI38" i="4"/>
  <c r="BM38" i="4"/>
  <c r="BN38" i="4"/>
  <c r="BE38" i="4"/>
  <c r="BF38" i="4"/>
  <c r="DZ37" i="4"/>
  <c r="EK37" i="4"/>
  <c r="EL37" i="4"/>
  <c r="DV37" i="4"/>
  <c r="DW37" i="4"/>
  <c r="CH37" i="4"/>
  <c r="CZ37" i="4"/>
  <c r="DA37" i="4"/>
  <c r="CD37" i="4"/>
  <c r="CE37" i="4"/>
  <c r="BS37" i="4"/>
  <c r="BT37" i="4"/>
  <c r="BI37" i="4"/>
  <c r="BM37" i="4"/>
  <c r="BN37" i="4"/>
  <c r="AA37" i="4"/>
  <c r="BE37" i="4"/>
  <c r="BF37" i="4"/>
  <c r="AO37" i="4"/>
  <c r="AM37" i="4"/>
  <c r="AK37" i="4"/>
  <c r="AI37" i="4"/>
  <c r="AG37" i="4"/>
  <c r="AE37" i="4"/>
  <c r="AC37" i="4"/>
  <c r="Y37" i="4"/>
  <c r="DZ36" i="4"/>
  <c r="EK36" i="4"/>
  <c r="EL36" i="4"/>
  <c r="DV36" i="4"/>
  <c r="DW36" i="4"/>
  <c r="CH36" i="4"/>
  <c r="CZ36" i="4"/>
  <c r="DA36" i="4"/>
  <c r="CD36" i="4"/>
  <c r="CE36" i="4"/>
  <c r="BS36" i="4"/>
  <c r="BT36" i="4"/>
  <c r="BI36" i="4"/>
  <c r="BM36" i="4"/>
  <c r="BN36" i="4"/>
  <c r="BE36" i="4"/>
  <c r="BF36" i="4"/>
  <c r="DZ35" i="4"/>
  <c r="EK35" i="4"/>
  <c r="EL35" i="4"/>
  <c r="DV35" i="4"/>
  <c r="DW35" i="4"/>
  <c r="CH35" i="4"/>
  <c r="CZ35" i="4"/>
  <c r="DA35" i="4"/>
  <c r="CD35" i="4"/>
  <c r="CE35" i="4"/>
  <c r="BS35" i="4"/>
  <c r="BT35" i="4"/>
  <c r="BI35" i="4"/>
  <c r="BM35" i="4"/>
  <c r="BN35" i="4"/>
  <c r="BE35" i="4"/>
  <c r="BF35" i="4"/>
  <c r="DZ34" i="4"/>
  <c r="EK34" i="4"/>
  <c r="EL34" i="4"/>
  <c r="DV34" i="4"/>
  <c r="DW34" i="4"/>
  <c r="CH34" i="4"/>
  <c r="CZ34" i="4"/>
  <c r="DA34" i="4"/>
  <c r="CD34" i="4"/>
  <c r="CE34" i="4"/>
  <c r="BS34" i="4"/>
  <c r="BT34" i="4"/>
  <c r="BI34" i="4"/>
  <c r="BM34" i="4"/>
  <c r="BN34" i="4"/>
  <c r="AA34" i="4"/>
  <c r="BE34" i="4"/>
  <c r="BF34" i="4"/>
  <c r="AO34" i="4"/>
  <c r="AM34" i="4"/>
  <c r="AK34" i="4"/>
  <c r="AI34" i="4"/>
  <c r="AG34" i="4"/>
  <c r="AE34" i="4"/>
  <c r="AC34" i="4"/>
  <c r="Y34" i="4"/>
  <c r="DZ33" i="4"/>
  <c r="EK33" i="4"/>
  <c r="EL33" i="4"/>
  <c r="DV33" i="4"/>
  <c r="DW33" i="4"/>
  <c r="CH33" i="4"/>
  <c r="CZ33" i="4"/>
  <c r="DA33" i="4"/>
  <c r="CD33" i="4"/>
  <c r="CE33" i="4"/>
  <c r="BS33" i="4"/>
  <c r="BT33" i="4"/>
  <c r="BI33" i="4"/>
  <c r="BM33" i="4"/>
  <c r="BN33" i="4"/>
  <c r="BE33" i="4"/>
  <c r="BF33" i="4"/>
  <c r="DZ32" i="4"/>
  <c r="EK32" i="4"/>
  <c r="EL32" i="4"/>
  <c r="DV32" i="4"/>
  <c r="CH32" i="4"/>
  <c r="CZ32" i="4"/>
  <c r="DA32" i="4"/>
  <c r="CD32" i="4"/>
  <c r="CE32" i="4"/>
  <c r="BS32" i="4"/>
  <c r="BT32" i="4"/>
  <c r="BI32" i="4"/>
  <c r="BM32" i="4"/>
  <c r="BN32" i="4"/>
  <c r="BE32" i="4"/>
  <c r="BF32" i="4"/>
  <c r="DZ31" i="4"/>
  <c r="EK31" i="4"/>
  <c r="EL31" i="4"/>
  <c r="DV31" i="4"/>
  <c r="CH31" i="4"/>
  <c r="CZ31" i="4"/>
  <c r="DA31" i="4"/>
  <c r="CD31" i="4"/>
  <c r="CE31" i="4"/>
  <c r="BS31" i="4"/>
  <c r="BT31" i="4"/>
  <c r="BI31" i="4"/>
  <c r="BM31" i="4"/>
  <c r="BN31" i="4"/>
  <c r="AA31" i="4"/>
  <c r="BE31" i="4"/>
  <c r="BF31" i="4"/>
  <c r="AO31" i="4"/>
  <c r="AM31" i="4"/>
  <c r="AK31" i="4"/>
  <c r="AI31" i="4"/>
  <c r="AG31" i="4"/>
  <c r="AE31" i="4"/>
  <c r="AC31" i="4"/>
  <c r="Y31" i="4"/>
  <c r="R19" i="1"/>
  <c r="R15" i="1"/>
  <c r="L7" i="1"/>
  <c r="U6" i="1"/>
  <c r="BG11" i="7"/>
  <c r="BH11" i="7"/>
  <c r="CU10" i="7"/>
  <c r="DO10" i="7"/>
  <c r="DP10" i="7"/>
  <c r="EL30" i="7"/>
  <c r="U33" i="7"/>
  <c r="AL23" i="7"/>
  <c r="BG22" i="7"/>
  <c r="BH22" i="7"/>
  <c r="U23" i="7"/>
  <c r="AL33" i="7"/>
  <c r="BG30" i="7"/>
  <c r="DT30" i="7"/>
  <c r="DO33" i="7"/>
  <c r="DP33" i="7"/>
  <c r="DO32" i="7"/>
  <c r="DP32" i="7"/>
  <c r="BI14" i="7"/>
  <c r="BI21" i="7"/>
  <c r="BJ11" i="7"/>
  <c r="BJ14" i="7"/>
  <c r="BH21" i="7"/>
  <c r="BJ26" i="7"/>
  <c r="BI11" i="7"/>
  <c r="BI26" i="7"/>
  <c r="DO36" i="7"/>
  <c r="DP36" i="7"/>
  <c r="EL36" i="7"/>
  <c r="DO35" i="7"/>
  <c r="DP35" i="7"/>
  <c r="EL35" i="7"/>
  <c r="DO31" i="7"/>
  <c r="DP31" i="7"/>
  <c r="EL31" i="7"/>
  <c r="DO28" i="7"/>
  <c r="DP28" i="7"/>
  <c r="EL28" i="7"/>
  <c r="DO27" i="7"/>
  <c r="DP27" i="7"/>
  <c r="EL27" i="7"/>
  <c r="DO29" i="7"/>
  <c r="DP29" i="7"/>
  <c r="EL29" i="7"/>
  <c r="DO34" i="7"/>
  <c r="DP34" i="7"/>
  <c r="EL34" i="7"/>
  <c r="DT22" i="7"/>
  <c r="DO24" i="7"/>
  <c r="DP24" i="7"/>
  <c r="EL24" i="7"/>
  <c r="DO25" i="7"/>
  <c r="DP25" i="7"/>
  <c r="EL25" i="7"/>
  <c r="DO12" i="7"/>
  <c r="DP12" i="7"/>
  <c r="EL12" i="7"/>
  <c r="BI20" i="7"/>
  <c r="BH20" i="7"/>
  <c r="BJ20" i="7"/>
  <c r="BG17" i="7"/>
  <c r="CY58" i="7"/>
  <c r="DW61" i="4"/>
  <c r="DV119" i="4"/>
  <c r="DW119" i="4"/>
  <c r="DV120" i="4"/>
  <c r="DW120" i="4"/>
  <c r="J76" i="4"/>
  <c r="G264" i="4"/>
  <c r="DV118" i="4"/>
  <c r="DW118" i="4"/>
  <c r="BE82" i="4"/>
  <c r="BF82" i="4"/>
  <c r="BE83" i="4"/>
  <c r="BF83" i="4"/>
  <c r="BE84" i="4"/>
  <c r="BF84" i="4"/>
  <c r="G270" i="4"/>
  <c r="J34" i="4"/>
  <c r="J49" i="4"/>
  <c r="J73" i="4"/>
  <c r="J97" i="4"/>
  <c r="J103" i="4"/>
  <c r="J109" i="4"/>
  <c r="J121" i="4"/>
  <c r="J130" i="4"/>
  <c r="J136" i="4"/>
  <c r="J145" i="4"/>
  <c r="J151" i="4"/>
  <c r="J160" i="4"/>
  <c r="J166" i="4"/>
  <c r="J175" i="4"/>
  <c r="J178" i="4"/>
  <c r="J184" i="4"/>
  <c r="J190" i="4"/>
  <c r="J208" i="4"/>
  <c r="J223" i="4"/>
  <c r="J40" i="4"/>
  <c r="J52" i="4"/>
  <c r="J82" i="4"/>
  <c r="J88" i="4"/>
  <c r="J94" i="4"/>
  <c r="J100" i="4"/>
  <c r="J112" i="4"/>
  <c r="J127" i="4"/>
  <c r="J133" i="4"/>
  <c r="J142" i="4"/>
  <c r="J148" i="4"/>
  <c r="J154" i="4"/>
  <c r="J187" i="4"/>
  <c r="J217" i="4"/>
  <c r="J220" i="4"/>
  <c r="J226" i="4"/>
  <c r="J31" i="4"/>
  <c r="J37" i="4"/>
  <c r="BN46" i="4"/>
  <c r="AA46" i="4"/>
  <c r="DW46" i="4"/>
  <c r="BN55" i="4"/>
  <c r="AA55" i="4"/>
  <c r="J55" i="4"/>
  <c r="DW55" i="4"/>
  <c r="J61" i="4"/>
  <c r="J64" i="4"/>
  <c r="DW67" i="4"/>
  <c r="G267" i="4"/>
  <c r="G269" i="4"/>
  <c r="J163" i="4"/>
  <c r="G266" i="4"/>
  <c r="BN85" i="4"/>
  <c r="AA85" i="4"/>
  <c r="J85" i="4"/>
  <c r="BN91" i="4"/>
  <c r="AA91" i="4"/>
  <c r="J91" i="4"/>
  <c r="DW91" i="4"/>
  <c r="G268" i="4"/>
  <c r="J169" i="4"/>
  <c r="J172" i="4"/>
  <c r="J193" i="4"/>
  <c r="J196" i="4"/>
  <c r="J199" i="4"/>
  <c r="J202" i="4"/>
  <c r="EL32" i="7"/>
  <c r="U35" i="7"/>
  <c r="EL33" i="7"/>
  <c r="U36" i="7"/>
  <c r="AL32" i="7"/>
  <c r="U32" i="7"/>
  <c r="AL38" i="7"/>
  <c r="BG35" i="7"/>
  <c r="BH35" i="7"/>
  <c r="U38" i="7"/>
  <c r="AL37" i="7"/>
  <c r="BG34" i="7"/>
  <c r="BH34" i="7"/>
  <c r="U37" i="7"/>
  <c r="AL34" i="7"/>
  <c r="BG31" i="7"/>
  <c r="BH31" i="7"/>
  <c r="U34" i="7"/>
  <c r="AL39" i="7"/>
  <c r="BG36" i="7"/>
  <c r="BJ36" i="7"/>
  <c r="U39" i="7"/>
  <c r="AL27" i="7"/>
  <c r="BG25" i="7"/>
  <c r="BH25" i="7"/>
  <c r="U27" i="7"/>
  <c r="AL29" i="7"/>
  <c r="BG27" i="7"/>
  <c r="BH27" i="7"/>
  <c r="U29" i="7"/>
  <c r="AL26" i="7"/>
  <c r="BG24" i="7"/>
  <c r="BH24" i="7"/>
  <c r="U26" i="7"/>
  <c r="AL30" i="7"/>
  <c r="BG28" i="7"/>
  <c r="BJ28" i="7"/>
  <c r="U30" i="7"/>
  <c r="AL12" i="7"/>
  <c r="BG12" i="7"/>
  <c r="BH12" i="7"/>
  <c r="U12" i="7"/>
  <c r="AL10" i="7"/>
  <c r="BG10" i="7"/>
  <c r="EL10" i="7"/>
  <c r="U10" i="7"/>
  <c r="E251" i="4"/>
  <c r="AL35" i="7"/>
  <c r="BG32" i="7"/>
  <c r="DT32" i="7"/>
  <c r="AL36" i="7"/>
  <c r="BG33" i="7"/>
  <c r="DT33" i="7"/>
  <c r="DO38" i="7"/>
  <c r="DP38" i="7"/>
  <c r="EL38" i="7"/>
  <c r="BI30" i="7"/>
  <c r="BJ30" i="7"/>
  <c r="BH30" i="7"/>
  <c r="AL42" i="7"/>
  <c r="BG38" i="7"/>
  <c r="DR22" i="7"/>
  <c r="BJ22" i="7"/>
  <c r="DT25" i="7"/>
  <c r="DT24" i="7"/>
  <c r="BI22" i="7"/>
  <c r="DT35" i="7"/>
  <c r="DT36" i="7"/>
  <c r="DT29" i="7"/>
  <c r="BG29" i="7"/>
  <c r="BI29" i="7"/>
  <c r="DT28" i="7"/>
  <c r="DT34" i="7"/>
  <c r="DT27" i="7"/>
  <c r="DT31" i="7"/>
  <c r="DT12" i="7"/>
  <c r="BH17" i="7"/>
  <c r="BJ17" i="7"/>
  <c r="BI17" i="7"/>
  <c r="DT10" i="7"/>
  <c r="BG13" i="7"/>
  <c r="E254" i="4"/>
  <c r="E256" i="4"/>
  <c r="E249" i="4"/>
  <c r="E252" i="4"/>
  <c r="E248" i="4"/>
  <c r="E255" i="4"/>
  <c r="E250" i="4"/>
  <c r="E253" i="4"/>
  <c r="DT38" i="7"/>
  <c r="U42" i="7"/>
  <c r="I32" i="14"/>
  <c r="AD32" i="14"/>
  <c r="H32" i="14"/>
  <c r="AC32" i="14"/>
  <c r="G32" i="14"/>
  <c r="AB32" i="14"/>
  <c r="G51" i="14"/>
  <c r="AB51" i="14"/>
  <c r="H51" i="14"/>
  <c r="AC51" i="14"/>
  <c r="I51" i="14"/>
  <c r="AD51" i="14"/>
  <c r="H70" i="14"/>
  <c r="AC70" i="14"/>
  <c r="I70" i="14"/>
  <c r="AD70" i="14"/>
  <c r="G70" i="14"/>
  <c r="AB70" i="14"/>
  <c r="DO37" i="7"/>
  <c r="BJ33" i="7"/>
  <c r="BH33" i="7"/>
  <c r="BI33" i="7"/>
  <c r="BI32" i="7"/>
  <c r="BH32" i="7"/>
  <c r="BJ32" i="7"/>
  <c r="BH38" i="7"/>
  <c r="BJ38" i="7"/>
  <c r="BI38" i="7"/>
  <c r="BI12" i="7"/>
  <c r="BJ24" i="7"/>
  <c r="DS22" i="7"/>
  <c r="E9" i="14"/>
  <c r="BI36" i="7"/>
  <c r="H49" i="14"/>
  <c r="AC49" i="14"/>
  <c r="BJ12" i="7"/>
  <c r="BH36" i="7"/>
  <c r="I30" i="14"/>
  <c r="AD30" i="14"/>
  <c r="BI27" i="7"/>
  <c r="BI25" i="7"/>
  <c r="BJ27" i="7"/>
  <c r="BJ31" i="7"/>
  <c r="BJ25" i="7"/>
  <c r="BH28" i="7"/>
  <c r="BJ35" i="7"/>
  <c r="BI35" i="7"/>
  <c r="BI24" i="7"/>
  <c r="BI31" i="7"/>
  <c r="BI28" i="7"/>
  <c r="BH29" i="7"/>
  <c r="BJ29" i="7"/>
  <c r="BJ34" i="7"/>
  <c r="BI34" i="7"/>
  <c r="G68" i="14"/>
  <c r="AB68" i="14"/>
  <c r="H68" i="14"/>
  <c r="AC68" i="14"/>
  <c r="I68" i="14"/>
  <c r="AD68" i="14"/>
  <c r="BH13" i="7"/>
  <c r="BJ13" i="7"/>
  <c r="BI13" i="7"/>
  <c r="BI10" i="7"/>
  <c r="BH10" i="7"/>
  <c r="BJ10" i="7"/>
  <c r="BK22" i="7"/>
  <c r="I66" i="14"/>
  <c r="AD66" i="14"/>
  <c r="G66" i="14"/>
  <c r="AB66" i="14"/>
  <c r="H66" i="14"/>
  <c r="AC66" i="14"/>
  <c r="F66" i="14"/>
  <c r="AA66" i="14"/>
  <c r="E66" i="14"/>
  <c r="Z66" i="14"/>
  <c r="H47" i="14"/>
  <c r="AC47" i="14"/>
  <c r="G47" i="14"/>
  <c r="AB47" i="14"/>
  <c r="F47" i="14"/>
  <c r="AA47" i="14"/>
  <c r="I47" i="14"/>
  <c r="AD47" i="14"/>
  <c r="E47" i="14"/>
  <c r="Z47" i="14"/>
  <c r="DO40" i="7"/>
  <c r="DP40" i="7"/>
  <c r="DO39" i="7"/>
  <c r="G28" i="14"/>
  <c r="AB28" i="14"/>
  <c r="I28" i="14"/>
  <c r="AD28" i="14"/>
  <c r="E28" i="14"/>
  <c r="Z28" i="14"/>
  <c r="H28" i="14"/>
  <c r="AC28" i="14"/>
  <c r="F28" i="14"/>
  <c r="AA28" i="14"/>
  <c r="DP37" i="7"/>
  <c r="DR37" i="7"/>
  <c r="I49" i="14"/>
  <c r="AD49" i="14"/>
  <c r="H30" i="14"/>
  <c r="AC30" i="14"/>
  <c r="G49" i="14"/>
  <c r="AB49" i="14"/>
  <c r="G30" i="14"/>
  <c r="AB30" i="14"/>
  <c r="BN22" i="7"/>
  <c r="BM22" i="7"/>
  <c r="I71" i="14"/>
  <c r="AD71" i="14"/>
  <c r="G71" i="14"/>
  <c r="AB71" i="14"/>
  <c r="H71" i="14"/>
  <c r="AC71" i="14"/>
  <c r="BL22" i="7"/>
  <c r="G52" i="14"/>
  <c r="AB52" i="14"/>
  <c r="I52" i="14"/>
  <c r="AD52" i="14"/>
  <c r="H52" i="14"/>
  <c r="AC52" i="14"/>
  <c r="I33" i="14"/>
  <c r="AD33" i="14"/>
  <c r="H33" i="14"/>
  <c r="AC33" i="14"/>
  <c r="G33" i="14"/>
  <c r="AB33" i="14"/>
  <c r="EL40" i="7"/>
  <c r="U44" i="7"/>
  <c r="EL37" i="7"/>
  <c r="U40" i="7"/>
  <c r="AL40" i="7"/>
  <c r="BG37" i="7"/>
  <c r="DT37" i="7"/>
  <c r="DS37" i="7"/>
  <c r="E8" i="14"/>
  <c r="DO41" i="7"/>
  <c r="DP41" i="7"/>
  <c r="DO42" i="7"/>
  <c r="DP42" i="7"/>
  <c r="DP39" i="7"/>
  <c r="AL44" i="7"/>
  <c r="BG40" i="7"/>
  <c r="DT40" i="7"/>
  <c r="F9" i="14"/>
  <c r="H9" i="14"/>
  <c r="J9" i="14"/>
  <c r="EL41" i="7"/>
  <c r="U45" i="7"/>
  <c r="EL42" i="7"/>
  <c r="U46" i="7"/>
  <c r="EL39" i="7"/>
  <c r="U43" i="7"/>
  <c r="DO44" i="7"/>
  <c r="DP44" i="7"/>
  <c r="DO43" i="7"/>
  <c r="DP43" i="7"/>
  <c r="BJ40" i="7"/>
  <c r="BI40" i="7"/>
  <c r="BH40" i="7"/>
  <c r="DT39" i="7"/>
  <c r="AL43" i="7"/>
  <c r="BG39" i="7"/>
  <c r="DT42" i="7"/>
  <c r="AL46" i="7"/>
  <c r="BG42" i="7"/>
  <c r="AL45" i="7"/>
  <c r="BG41" i="7"/>
  <c r="DT41" i="7"/>
  <c r="BH37" i="7"/>
  <c r="BI37" i="7"/>
  <c r="BJ37" i="7"/>
  <c r="BK37" i="7"/>
  <c r="K9" i="14"/>
  <c r="O9" i="14"/>
  <c r="I9" i="14"/>
  <c r="N9" i="14"/>
  <c r="G9" i="14"/>
  <c r="M9" i="14"/>
  <c r="EL44" i="7"/>
  <c r="U48" i="7"/>
  <c r="EL43" i="7"/>
  <c r="U47" i="7"/>
  <c r="G50" i="14"/>
  <c r="AB50" i="14"/>
  <c r="I50" i="14"/>
  <c r="AD50" i="14"/>
  <c r="H50" i="14"/>
  <c r="AC50" i="14"/>
  <c r="BM37" i="7"/>
  <c r="H8" i="14"/>
  <c r="I8" i="14"/>
  <c r="N8" i="14"/>
  <c r="BI42" i="7"/>
  <c r="BH42" i="7"/>
  <c r="BJ42" i="7"/>
  <c r="BI39" i="7"/>
  <c r="BJ39" i="7"/>
  <c r="BH39" i="7"/>
  <c r="AL47" i="7"/>
  <c r="BG43" i="7"/>
  <c r="DT43" i="7"/>
  <c r="DS43" i="7"/>
  <c r="E14" i="14"/>
  <c r="AL48" i="7"/>
  <c r="BG44" i="7"/>
  <c r="DT44" i="7"/>
  <c r="I69" i="14"/>
  <c r="AD69" i="14"/>
  <c r="H69" i="14"/>
  <c r="AC69" i="14"/>
  <c r="G69" i="14"/>
  <c r="AB69" i="14"/>
  <c r="BN37" i="7"/>
  <c r="J8" i="14"/>
  <c r="K8" i="14"/>
  <c r="O8" i="14"/>
  <c r="I31" i="14"/>
  <c r="AD31" i="14"/>
  <c r="H31" i="14"/>
  <c r="AC31" i="14"/>
  <c r="G31" i="14"/>
  <c r="AB31" i="14"/>
  <c r="BL37" i="7"/>
  <c r="F8" i="14"/>
  <c r="G8" i="14"/>
  <c r="M8" i="14"/>
  <c r="BH41" i="7"/>
  <c r="BI41" i="7"/>
  <c r="BJ41" i="7"/>
  <c r="DO45" i="7"/>
  <c r="DP45" i="7"/>
  <c r="DO46" i="7"/>
  <c r="DP46" i="7"/>
  <c r="DR43" i="7"/>
  <c r="EL45" i="7"/>
  <c r="U51" i="7"/>
  <c r="EL46" i="7"/>
  <c r="U49" i="7"/>
  <c r="DO48" i="7"/>
  <c r="DP48" i="7"/>
  <c r="DT45" i="7"/>
  <c r="AL51" i="7"/>
  <c r="BG45" i="7"/>
  <c r="BJ44" i="7"/>
  <c r="BH44" i="7"/>
  <c r="E26" i="14"/>
  <c r="Z26" i="14"/>
  <c r="BI44" i="7"/>
  <c r="BH43" i="7"/>
  <c r="BL43" i="7"/>
  <c r="F14" i="14"/>
  <c r="G14" i="14"/>
  <c r="M14" i="14"/>
  <c r="BJ43" i="7"/>
  <c r="BN43" i="7"/>
  <c r="J14" i="14"/>
  <c r="K14" i="14"/>
  <c r="O14" i="14"/>
  <c r="BI43" i="7"/>
  <c r="BM43" i="7"/>
  <c r="H14" i="14"/>
  <c r="DT46" i="7"/>
  <c r="AL49" i="7"/>
  <c r="BG46" i="7"/>
  <c r="DO47" i="7"/>
  <c r="DP47" i="7"/>
  <c r="BK43" i="7"/>
  <c r="Z38" i="14"/>
  <c r="Z34" i="14"/>
  <c r="Z33" i="14"/>
  <c r="Z29" i="14"/>
  <c r="Z35" i="14"/>
  <c r="Z36" i="14"/>
  <c r="Z31" i="14"/>
  <c r="Z32" i="14"/>
  <c r="Z30" i="14"/>
  <c r="Z37" i="14"/>
  <c r="EL47" i="7"/>
  <c r="U50" i="7"/>
  <c r="EL48" i="7"/>
  <c r="U52" i="7"/>
  <c r="I14" i="14"/>
  <c r="N14" i="14"/>
  <c r="DO49" i="7"/>
  <c r="DP49" i="7"/>
  <c r="I26" i="14"/>
  <c r="AD26" i="14"/>
  <c r="H26" i="14"/>
  <c r="AC26" i="14"/>
  <c r="F26" i="14"/>
  <c r="AA26" i="14"/>
  <c r="G26" i="14"/>
  <c r="AB26" i="14"/>
  <c r="BJ45" i="7"/>
  <c r="BI45" i="7"/>
  <c r="BH45" i="7"/>
  <c r="DO50" i="7"/>
  <c r="AL50" i="7"/>
  <c r="BG47" i="7"/>
  <c r="DT47" i="7"/>
  <c r="BI46" i="7"/>
  <c r="BH46" i="7"/>
  <c r="BJ46" i="7"/>
  <c r="E45" i="14"/>
  <c r="Z45" i="14"/>
  <c r="F45" i="14"/>
  <c r="AA45" i="14"/>
  <c r="H45" i="14"/>
  <c r="AC45" i="14"/>
  <c r="I45" i="14"/>
  <c r="AD45" i="14"/>
  <c r="G45" i="14"/>
  <c r="AB45" i="14"/>
  <c r="E64" i="14"/>
  <c r="Z64" i="14"/>
  <c r="I64" i="14"/>
  <c r="AD64" i="14"/>
  <c r="H64" i="14"/>
  <c r="AC64" i="14"/>
  <c r="G64" i="14"/>
  <c r="AB64" i="14"/>
  <c r="F64" i="14"/>
  <c r="AA64" i="14"/>
  <c r="DT48" i="7"/>
  <c r="AL52" i="7"/>
  <c r="BG48" i="7"/>
  <c r="Z39" i="14"/>
  <c r="Z49" i="14"/>
  <c r="Z57" i="14"/>
  <c r="Z54" i="14"/>
  <c r="Z52" i="14"/>
  <c r="Z56" i="14"/>
  <c r="Z51" i="14"/>
  <c r="Z53" i="14"/>
  <c r="Z55" i="14"/>
  <c r="Z50" i="14"/>
  <c r="Z48" i="14"/>
  <c r="Z74" i="14"/>
  <c r="Z70" i="14"/>
  <c r="Z73" i="14"/>
  <c r="Z69" i="14"/>
  <c r="Z76" i="14"/>
  <c r="Z72" i="14"/>
  <c r="Z68" i="14"/>
  <c r="Z75" i="14"/>
  <c r="Z71" i="14"/>
  <c r="Z67" i="14"/>
  <c r="EL49" i="7"/>
  <c r="U53" i="7"/>
  <c r="DO52" i="7"/>
  <c r="DP52" i="7"/>
  <c r="DO51" i="7"/>
  <c r="DP51" i="7"/>
  <c r="BI48" i="7"/>
  <c r="BJ48" i="7"/>
  <c r="BH48" i="7"/>
  <c r="BH47" i="7"/>
  <c r="BI47" i="7"/>
  <c r="BJ47" i="7"/>
  <c r="DR50" i="7"/>
  <c r="DP50" i="7"/>
  <c r="AL53" i="7"/>
  <c r="BG49" i="7"/>
  <c r="DT49" i="7"/>
  <c r="Z58" i="14"/>
  <c r="Z77" i="14"/>
  <c r="EL50" i="7"/>
  <c r="U55" i="7"/>
  <c r="EL51" i="7"/>
  <c r="U56" i="7"/>
  <c r="EL52" i="7"/>
  <c r="U57" i="7"/>
  <c r="DT50" i="7"/>
  <c r="DS50" i="7"/>
  <c r="E7" i="14"/>
  <c r="AL55" i="7"/>
  <c r="BG50" i="7"/>
  <c r="BK50" i="7"/>
  <c r="DO53" i="7"/>
  <c r="DT52" i="7"/>
  <c r="AL57" i="7"/>
  <c r="BG52" i="7"/>
  <c r="BI49" i="7"/>
  <c r="BH49" i="7"/>
  <c r="BJ49" i="7"/>
  <c r="DT51" i="7"/>
  <c r="AL56" i="7"/>
  <c r="BG51" i="7"/>
  <c r="DO54" i="7"/>
  <c r="DP54" i="7"/>
  <c r="EL54" i="7"/>
  <c r="U59" i="7"/>
  <c r="DO56" i="7"/>
  <c r="DP56" i="7"/>
  <c r="BJ51" i="7"/>
  <c r="BI51" i="7"/>
  <c r="BH51" i="7"/>
  <c r="H74" i="14"/>
  <c r="AC74" i="14"/>
  <c r="I74" i="14"/>
  <c r="AD74" i="14"/>
  <c r="I55" i="14"/>
  <c r="AD55" i="14"/>
  <c r="H55" i="14"/>
  <c r="AC55" i="14"/>
  <c r="DO55" i="7"/>
  <c r="BI50" i="7"/>
  <c r="BJ50" i="7"/>
  <c r="BH50" i="7"/>
  <c r="BL50" i="7"/>
  <c r="F7" i="14"/>
  <c r="G7" i="14"/>
  <c r="M7" i="14"/>
  <c r="AL59" i="7"/>
  <c r="BG54" i="7"/>
  <c r="DT54" i="7"/>
  <c r="I36" i="14"/>
  <c r="AD36" i="14"/>
  <c r="H36" i="14"/>
  <c r="AC36" i="14"/>
  <c r="BJ52" i="7"/>
  <c r="BH52" i="7"/>
  <c r="BI52" i="7"/>
  <c r="DP53" i="7"/>
  <c r="DR56" i="7"/>
  <c r="EL56" i="7"/>
  <c r="U61" i="7"/>
  <c r="EL53" i="7"/>
  <c r="U58" i="7"/>
  <c r="BI54" i="7"/>
  <c r="BJ54" i="7"/>
  <c r="BH54" i="7"/>
  <c r="F67" i="14"/>
  <c r="AA67" i="14"/>
  <c r="H67" i="14"/>
  <c r="AC67" i="14"/>
  <c r="I67" i="14"/>
  <c r="AD67" i="14"/>
  <c r="G67" i="14"/>
  <c r="AB67" i="14"/>
  <c r="DO57" i="7"/>
  <c r="DP57" i="7"/>
  <c r="BN50" i="7"/>
  <c r="J7" i="14"/>
  <c r="K7" i="14"/>
  <c r="O7" i="14"/>
  <c r="DO58" i="7"/>
  <c r="DP58" i="7"/>
  <c r="DT53" i="7"/>
  <c r="AL58" i="7"/>
  <c r="BG53" i="7"/>
  <c r="F29" i="14"/>
  <c r="AA29" i="14"/>
  <c r="G29" i="14"/>
  <c r="AB29" i="14"/>
  <c r="H29" i="14"/>
  <c r="AC29" i="14"/>
  <c r="I29" i="14"/>
  <c r="AD29" i="14"/>
  <c r="H48" i="14"/>
  <c r="AC48" i="14"/>
  <c r="I48" i="14"/>
  <c r="AD48" i="14"/>
  <c r="F48" i="14"/>
  <c r="AA48" i="14"/>
  <c r="G48" i="14"/>
  <c r="AB48" i="14"/>
  <c r="BM50" i="7"/>
  <c r="H7" i="14"/>
  <c r="I7" i="14"/>
  <c r="N7" i="14"/>
  <c r="AL61" i="7"/>
  <c r="BG56" i="7"/>
  <c r="DT56" i="7"/>
  <c r="AA49" i="14"/>
  <c r="AB72" i="14"/>
  <c r="AB34" i="14"/>
  <c r="AB35" i="14"/>
  <c r="AB36" i="14"/>
  <c r="AA30" i="14"/>
  <c r="AB53" i="14"/>
  <c r="AB54" i="14"/>
  <c r="AA68" i="14"/>
  <c r="EL58" i="7"/>
  <c r="U63" i="7"/>
  <c r="EL57" i="7"/>
  <c r="U62" i="7"/>
  <c r="DS56" i="7"/>
  <c r="E12" i="14"/>
  <c r="AL63" i="7"/>
  <c r="BG58" i="7"/>
  <c r="DT58" i="7"/>
  <c r="DO59" i="7"/>
  <c r="DP59" i="7"/>
  <c r="BH56" i="7"/>
  <c r="BJ56" i="7"/>
  <c r="BI56" i="7"/>
  <c r="BH53" i="7"/>
  <c r="BJ53" i="7"/>
  <c r="BI53" i="7"/>
  <c r="BK56" i="7"/>
  <c r="DO60" i="7"/>
  <c r="DP60" i="7"/>
  <c r="DT57" i="7"/>
  <c r="AL62" i="7"/>
  <c r="BG57" i="7"/>
  <c r="AB37" i="14"/>
  <c r="AB38" i="14"/>
  <c r="AB39" i="14"/>
  <c r="AA69" i="14"/>
  <c r="AA70" i="14"/>
  <c r="AA71" i="14"/>
  <c r="AB55" i="14"/>
  <c r="AB56" i="14"/>
  <c r="AB57" i="14"/>
  <c r="AB58" i="14"/>
  <c r="AA50" i="14"/>
  <c r="AB73" i="14"/>
  <c r="AB74" i="14"/>
  <c r="AB75" i="14"/>
  <c r="AA31" i="14"/>
  <c r="AA32" i="14"/>
  <c r="AA33" i="14"/>
  <c r="EL59" i="7"/>
  <c r="U64" i="7"/>
  <c r="EL60" i="7"/>
  <c r="U65" i="7"/>
  <c r="BN56" i="7"/>
  <c r="J12" i="14"/>
  <c r="K12" i="14"/>
  <c r="O12" i="14"/>
  <c r="BH57" i="7"/>
  <c r="BJ57" i="7"/>
  <c r="BI57" i="7"/>
  <c r="DO62" i="7"/>
  <c r="DP62" i="7"/>
  <c r="DT59" i="7"/>
  <c r="AL64" i="7"/>
  <c r="BG59" i="7"/>
  <c r="BJ58" i="7"/>
  <c r="BI58" i="7"/>
  <c r="BH58" i="7"/>
  <c r="DT60" i="7"/>
  <c r="AL65" i="7"/>
  <c r="BG60" i="7"/>
  <c r="BM56" i="7"/>
  <c r="H12" i="14"/>
  <c r="BL56" i="7"/>
  <c r="F12" i="14"/>
  <c r="G12" i="14"/>
  <c r="M12" i="14"/>
  <c r="DO61" i="7"/>
  <c r="AA34" i="14"/>
  <c r="AA35" i="14"/>
  <c r="AA36" i="14"/>
  <c r="AB76" i="14"/>
  <c r="AB77" i="14"/>
  <c r="AA51" i="14"/>
  <c r="AA52" i="14"/>
  <c r="AA72" i="14"/>
  <c r="AA73" i="14"/>
  <c r="AA74" i="14"/>
  <c r="AA75" i="14"/>
  <c r="EL62" i="7"/>
  <c r="U68" i="7"/>
  <c r="I12" i="14"/>
  <c r="N12" i="14"/>
  <c r="DO63" i="7"/>
  <c r="DP63" i="7"/>
  <c r="BH60" i="7"/>
  <c r="BJ60" i="7"/>
  <c r="BI60" i="7"/>
  <c r="AL68" i="7"/>
  <c r="BG62" i="7"/>
  <c r="DT62" i="7"/>
  <c r="DP61" i="7"/>
  <c r="BJ59" i="7"/>
  <c r="BI59" i="7"/>
  <c r="BH59" i="7"/>
  <c r="DO64" i="7"/>
  <c r="DP64" i="7"/>
  <c r="AA37" i="14"/>
  <c r="AA38" i="14"/>
  <c r="AA39" i="14"/>
  <c r="AA76" i="14"/>
  <c r="AA77" i="14"/>
  <c r="AA53" i="14"/>
  <c r="EL64" i="7"/>
  <c r="U70" i="7"/>
  <c r="EL61" i="7"/>
  <c r="U67" i="7"/>
  <c r="EL63" i="7"/>
  <c r="U69" i="7"/>
  <c r="DO66" i="7"/>
  <c r="DP66" i="7"/>
  <c r="AL67" i="7"/>
  <c r="BG61" i="7"/>
  <c r="DT61" i="7"/>
  <c r="BI62" i="7"/>
  <c r="BJ62" i="7"/>
  <c r="BH62" i="7"/>
  <c r="DO65" i="7"/>
  <c r="DP65" i="7"/>
  <c r="AL70" i="7"/>
  <c r="BG64" i="7"/>
  <c r="DT64" i="7"/>
  <c r="DR64" i="7"/>
  <c r="DT63" i="7"/>
  <c r="AL69" i="7"/>
  <c r="BG63" i="7"/>
  <c r="AA54" i="14"/>
  <c r="AA55" i="14"/>
  <c r="EL66" i="7"/>
  <c r="U72" i="7"/>
  <c r="EL65" i="7"/>
  <c r="U71" i="7"/>
  <c r="BH63" i="7"/>
  <c r="BI63" i="7"/>
  <c r="BJ63" i="7"/>
  <c r="BJ64" i="7"/>
  <c r="BH64" i="7"/>
  <c r="BI64" i="7"/>
  <c r="DT65" i="7"/>
  <c r="AL71" i="7"/>
  <c r="BG65" i="7"/>
  <c r="AL72" i="7"/>
  <c r="BG66" i="7"/>
  <c r="DT66" i="7"/>
  <c r="DS64" i="7"/>
  <c r="E15" i="14"/>
  <c r="DO67" i="7"/>
  <c r="DP67" i="7"/>
  <c r="EL67" i="7"/>
  <c r="BH61" i="7"/>
  <c r="BJ61" i="7"/>
  <c r="BI61" i="7"/>
  <c r="BK64" i="7"/>
  <c r="DO68" i="7"/>
  <c r="DP68" i="7"/>
  <c r="AA56" i="14"/>
  <c r="AA57" i="14"/>
  <c r="AA58" i="14"/>
  <c r="EL68" i="7"/>
  <c r="U75" i="7"/>
  <c r="AL73" i="7"/>
  <c r="U73" i="7"/>
  <c r="DO70" i="7"/>
  <c r="DP70" i="7"/>
  <c r="DO69" i="7"/>
  <c r="BJ65" i="7"/>
  <c r="BI65" i="7"/>
  <c r="BH65" i="7"/>
  <c r="BM64" i="7"/>
  <c r="H15" i="14"/>
  <c r="BN64" i="7"/>
  <c r="J15" i="14"/>
  <c r="K15" i="14"/>
  <c r="O15" i="14"/>
  <c r="DT68" i="7"/>
  <c r="AL75" i="7"/>
  <c r="BG68" i="7"/>
  <c r="DT67" i="7"/>
  <c r="BG67" i="7"/>
  <c r="BJ66" i="7"/>
  <c r="BI66" i="7"/>
  <c r="BH66" i="7"/>
  <c r="BL64" i="7"/>
  <c r="F15" i="14"/>
  <c r="EL70" i="7"/>
  <c r="U77" i="7"/>
  <c r="I15" i="14"/>
  <c r="N15" i="14"/>
  <c r="G15" i="14"/>
  <c r="M15" i="14"/>
  <c r="DP69" i="7"/>
  <c r="DT70" i="7"/>
  <c r="AL77" i="7"/>
  <c r="BG70" i="7"/>
  <c r="BH67" i="7"/>
  <c r="BJ67" i="7"/>
  <c r="BI67" i="7"/>
  <c r="BI68" i="7"/>
  <c r="BH68" i="7"/>
  <c r="BJ68" i="7"/>
  <c r="DO71" i="7"/>
  <c r="DP71" i="7"/>
  <c r="DO72" i="7"/>
  <c r="DP72" i="7"/>
  <c r="EL72" i="7"/>
  <c r="U79" i="7"/>
  <c r="EL71" i="7"/>
  <c r="U78" i="7"/>
  <c r="EL69" i="7"/>
  <c r="U76" i="7"/>
  <c r="DT72" i="7"/>
  <c r="AL79" i="7"/>
  <c r="BG72" i="7"/>
  <c r="DO73" i="7"/>
  <c r="DP73" i="7"/>
  <c r="AL80" i="7"/>
  <c r="DT69" i="7"/>
  <c r="AL76" i="7"/>
  <c r="BG69" i="7"/>
  <c r="DO74" i="7"/>
  <c r="DP74" i="7"/>
  <c r="DT71" i="7"/>
  <c r="AL78" i="7"/>
  <c r="BG71" i="7"/>
  <c r="BH70" i="7"/>
  <c r="BI70" i="7"/>
  <c r="BJ70" i="7"/>
  <c r="DR72" i="7"/>
  <c r="EL74" i="7"/>
  <c r="U81" i="7"/>
  <c r="EL73" i="7"/>
  <c r="U80" i="7"/>
  <c r="BJ71" i="7"/>
  <c r="BH71" i="7"/>
  <c r="BI71" i="7"/>
  <c r="DO76" i="7"/>
  <c r="DP76" i="7"/>
  <c r="BI69" i="7"/>
  <c r="BJ69" i="7"/>
  <c r="BH69" i="7"/>
  <c r="BK72" i="7"/>
  <c r="DO75" i="7"/>
  <c r="BH72" i="7"/>
  <c r="BI72" i="7"/>
  <c r="BJ72" i="7"/>
  <c r="DT74" i="7"/>
  <c r="AL81" i="7"/>
  <c r="BG74" i="7"/>
  <c r="DT73" i="7"/>
  <c r="BG73" i="7"/>
  <c r="DS72" i="7"/>
  <c r="E10" i="14"/>
  <c r="BM72" i="7"/>
  <c r="H10" i="14"/>
  <c r="I10" i="14"/>
  <c r="N10" i="14"/>
  <c r="EL76" i="7"/>
  <c r="U84" i="7"/>
  <c r="BN72" i="7"/>
  <c r="J10" i="14"/>
  <c r="K10" i="14"/>
  <c r="O10" i="14"/>
  <c r="BL72" i="7"/>
  <c r="F10" i="14"/>
  <c r="G10" i="14"/>
  <c r="M10" i="14"/>
  <c r="BJ74" i="7"/>
  <c r="BH74" i="7"/>
  <c r="BI74" i="7"/>
  <c r="DP75" i="7"/>
  <c r="AL84" i="7"/>
  <c r="BG76" i="7"/>
  <c r="DT76" i="7"/>
  <c r="BH73" i="7"/>
  <c r="BJ73" i="7"/>
  <c r="BI73" i="7"/>
  <c r="DO77" i="7"/>
  <c r="DO78" i="7"/>
  <c r="DP78" i="7"/>
  <c r="EL78" i="7"/>
  <c r="U85" i="7"/>
  <c r="EL75" i="7"/>
  <c r="U83" i="7"/>
  <c r="DT78" i="7"/>
  <c r="AL85" i="7"/>
  <c r="BG78" i="7"/>
  <c r="BJ76" i="7"/>
  <c r="BH76" i="7"/>
  <c r="BI76" i="7"/>
  <c r="DT75" i="7"/>
  <c r="AL83" i="7"/>
  <c r="BG75" i="7"/>
  <c r="DO80" i="7"/>
  <c r="DP80" i="7"/>
  <c r="DO79" i="7"/>
  <c r="DP79" i="7"/>
  <c r="EL80" i="7"/>
  <c r="U87" i="7"/>
  <c r="EL79" i="7"/>
  <c r="U86" i="7"/>
  <c r="DO81" i="7"/>
  <c r="DP81" i="7"/>
  <c r="DO82" i="7"/>
  <c r="DP82" i="7"/>
  <c r="BH75" i="7"/>
  <c r="BI75" i="7"/>
  <c r="BJ75" i="7"/>
  <c r="DT79" i="7"/>
  <c r="AL86" i="7"/>
  <c r="BG79" i="7"/>
  <c r="AL87" i="7"/>
  <c r="BG80" i="7"/>
  <c r="DT80" i="7"/>
  <c r="BH78" i="7"/>
  <c r="BI78" i="7"/>
  <c r="BJ78" i="7"/>
  <c r="DR80" i="7"/>
  <c r="EL82" i="7"/>
  <c r="U90" i="7"/>
  <c r="EL81" i="7"/>
  <c r="U88" i="7"/>
  <c r="DS80" i="7"/>
  <c r="E11" i="14"/>
  <c r="BJ79" i="7"/>
  <c r="BI79" i="7"/>
  <c r="BH79" i="7"/>
  <c r="BK80" i="7"/>
  <c r="DT82" i="7"/>
  <c r="AL90" i="7"/>
  <c r="BG82" i="7"/>
  <c r="DO83" i="7"/>
  <c r="BJ80" i="7"/>
  <c r="BI80" i="7"/>
  <c r="BH80" i="7"/>
  <c r="DO84" i="7"/>
  <c r="DP84" i="7"/>
  <c r="AL88" i="7"/>
  <c r="BG81" i="7"/>
  <c r="DT81" i="7"/>
  <c r="EL84" i="7"/>
  <c r="U92" i="7"/>
  <c r="BL80" i="7"/>
  <c r="F11" i="14"/>
  <c r="G11" i="14"/>
  <c r="M11" i="14"/>
  <c r="BN80" i="7"/>
  <c r="J11" i="14"/>
  <c r="K11" i="14"/>
  <c r="O11" i="14"/>
  <c r="BM80" i="7"/>
  <c r="H11" i="14"/>
  <c r="I11" i="14"/>
  <c r="N11" i="14"/>
  <c r="DT84" i="7"/>
  <c r="AL92" i="7"/>
  <c r="BG84" i="7"/>
  <c r="DO85" i="7"/>
  <c r="DP85" i="7"/>
  <c r="EL85" i="7"/>
  <c r="U93" i="7"/>
  <c r="BH81" i="7"/>
  <c r="BJ81" i="7"/>
  <c r="BI81" i="7"/>
  <c r="DO86" i="7"/>
  <c r="DP86" i="7"/>
  <c r="EL86" i="7"/>
  <c r="U94" i="7"/>
  <c r="DP83" i="7"/>
  <c r="BJ82" i="7"/>
  <c r="BH82" i="7"/>
  <c r="BI82" i="7"/>
  <c r="DR86" i="7"/>
  <c r="EL83" i="7"/>
  <c r="U91" i="7"/>
  <c r="DT83" i="7"/>
  <c r="AL91" i="7"/>
  <c r="DT86" i="7"/>
  <c r="AL94" i="7"/>
  <c r="BG86" i="7"/>
  <c r="DT85" i="7"/>
  <c r="AL93" i="7"/>
  <c r="BG85" i="7"/>
  <c r="BH84" i="7"/>
  <c r="BI84" i="7"/>
  <c r="BJ84" i="7"/>
  <c r="DO88" i="7"/>
  <c r="DP88" i="7"/>
  <c r="EL88" i="7"/>
  <c r="U25" i="7"/>
  <c r="DO87" i="7"/>
  <c r="DP87" i="7"/>
  <c r="EL87" i="7"/>
  <c r="U54" i="7"/>
  <c r="BG83" i="7"/>
  <c r="BH83" i="7"/>
  <c r="DS86" i="7"/>
  <c r="E13" i="14"/>
  <c r="DT87" i="7"/>
  <c r="AL54" i="7"/>
  <c r="BG87" i="7"/>
  <c r="AL25" i="7"/>
  <c r="BG88" i="7"/>
  <c r="DT88" i="7"/>
  <c r="BH86" i="7"/>
  <c r="BJ86" i="7"/>
  <c r="BI86" i="7"/>
  <c r="BI83" i="7"/>
  <c r="BJ83" i="7"/>
  <c r="BK86" i="7"/>
  <c r="DO89" i="7"/>
  <c r="DP89" i="7"/>
  <c r="EL89" i="7"/>
  <c r="U41" i="7"/>
  <c r="DO90" i="7"/>
  <c r="DP90" i="7"/>
  <c r="EL90" i="7"/>
  <c r="U31" i="7"/>
  <c r="BJ85" i="7"/>
  <c r="BH85" i="7"/>
  <c r="BI85" i="7"/>
  <c r="DO92" i="7"/>
  <c r="DP92" i="7"/>
  <c r="EL92" i="7"/>
  <c r="U19" i="7"/>
  <c r="DO91" i="7"/>
  <c r="I76" i="14"/>
  <c r="AD76" i="14"/>
  <c r="AD77" i="14"/>
  <c r="H76" i="14"/>
  <c r="AC76" i="14"/>
  <c r="AC77" i="14"/>
  <c r="BN86" i="7"/>
  <c r="J13" i="14"/>
  <c r="K13" i="14"/>
  <c r="O13" i="14"/>
  <c r="H38" i="14"/>
  <c r="AC38" i="14"/>
  <c r="AC39" i="14"/>
  <c r="I38" i="14"/>
  <c r="AD38" i="14"/>
  <c r="AD39" i="14"/>
  <c r="BL86" i="7"/>
  <c r="F13" i="14"/>
  <c r="G13" i="14"/>
  <c r="M13" i="14"/>
  <c r="BH87" i="7"/>
  <c r="BI87" i="7"/>
  <c r="BJ87" i="7"/>
  <c r="DT90" i="7"/>
  <c r="AL31" i="7"/>
  <c r="BG90" i="7"/>
  <c r="AL41" i="7"/>
  <c r="BG89" i="7"/>
  <c r="DT89" i="7"/>
  <c r="H57" i="14"/>
  <c r="AC57" i="14"/>
  <c r="AC58" i="14"/>
  <c r="I57" i="14"/>
  <c r="AD57" i="14"/>
  <c r="AD58" i="14"/>
  <c r="BM86" i="7"/>
  <c r="H13" i="14"/>
  <c r="BJ88" i="7"/>
  <c r="BH88" i="7"/>
  <c r="BI88" i="7"/>
  <c r="AF58" i="14"/>
  <c r="AG58" i="14"/>
  <c r="AF39" i="14"/>
  <c r="AG39" i="14"/>
  <c r="AF77" i="14"/>
  <c r="AG77" i="14"/>
  <c r="I13" i="14"/>
  <c r="N13" i="14"/>
  <c r="BJ89" i="7"/>
  <c r="BI89" i="7"/>
  <c r="BH89" i="7"/>
  <c r="DO94" i="7"/>
  <c r="DP94" i="7"/>
  <c r="EL94" i="7"/>
  <c r="U82" i="7"/>
  <c r="BJ90" i="7"/>
  <c r="BI90" i="7"/>
  <c r="BH90" i="7"/>
  <c r="DO93" i="7"/>
  <c r="DT92" i="7"/>
  <c r="AL19" i="7"/>
  <c r="BG92" i="7"/>
  <c r="BH92" i="7"/>
  <c r="BI92" i="7"/>
  <c r="BJ92" i="7"/>
  <c r="DO95" i="7"/>
  <c r="DO97" i="7"/>
  <c r="DP97" i="7"/>
  <c r="EL97" i="7"/>
  <c r="U89" i="7"/>
  <c r="AL82" i="7"/>
  <c r="BG94" i="7"/>
  <c r="DT94" i="7"/>
  <c r="DP93" i="7"/>
  <c r="EL93" i="7"/>
  <c r="U74" i="7"/>
  <c r="DO96" i="7"/>
  <c r="DP96" i="7"/>
  <c r="EL96" i="7"/>
  <c r="U60" i="7"/>
  <c r="DO98" i="7"/>
  <c r="DP98" i="7"/>
  <c r="EL98" i="7"/>
  <c r="U66" i="7"/>
  <c r="DT98" i="7"/>
  <c r="AL66" i="7"/>
  <c r="BG98" i="7"/>
  <c r="DO99" i="7"/>
  <c r="DT93" i="7"/>
  <c r="AL74" i="7"/>
  <c r="BG93" i="7"/>
  <c r="DP99" i="7"/>
  <c r="EL99" i="7"/>
  <c r="BJ94" i="7"/>
  <c r="BI94" i="7"/>
  <c r="BH94" i="7"/>
  <c r="DT96" i="7"/>
  <c r="AL60" i="7"/>
  <c r="BG96" i="7"/>
  <c r="DR99" i="7"/>
  <c r="K43" i="3"/>
  <c r="DT97" i="7"/>
  <c r="AL89" i="7"/>
  <c r="BG97" i="7"/>
  <c r="DS98" i="7"/>
  <c r="BH97" i="7"/>
  <c r="BJ97" i="7"/>
  <c r="BI97" i="7"/>
  <c r="DT99" i="7"/>
  <c r="BI98" i="7"/>
  <c r="BJ98" i="7"/>
  <c r="BH98" i="7"/>
  <c r="BI96" i="7"/>
  <c r="BJ96" i="7"/>
  <c r="BH96" i="7"/>
  <c r="BI93" i="7"/>
  <c r="BH93" i="7"/>
  <c r="BJ93" i="7"/>
  <c r="BK98" i="7"/>
  <c r="BK99" i="7"/>
  <c r="BG99" i="7"/>
  <c r="BH99" i="7"/>
  <c r="BN98" i="7"/>
  <c r="BJ99" i="7"/>
  <c r="BM98" i="7"/>
  <c r="BI99" i="7"/>
  <c r="DS99" i="7"/>
  <c r="K44" i="3"/>
  <c r="E16" i="14"/>
  <c r="E17" i="14"/>
  <c r="BL98" i="7"/>
  <c r="F16" i="14"/>
  <c r="G16" i="14"/>
  <c r="BL99" i="7"/>
  <c r="H16" i="14"/>
  <c r="I16" i="14"/>
  <c r="BM99" i="7"/>
  <c r="J16" i="14"/>
  <c r="BN99" i="7"/>
  <c r="J17" i="14"/>
  <c r="K16" i="14"/>
  <c r="O16" i="14"/>
  <c r="O17" i="14"/>
  <c r="O18" i="14"/>
  <c r="AH77" i="14"/>
  <c r="AI77" i="14"/>
  <c r="AJ77" i="14"/>
  <c r="O19" i="14"/>
  <c r="H17" i="14"/>
  <c r="N16" i="14"/>
  <c r="N17" i="14"/>
  <c r="N18" i="14"/>
  <c r="AH58" i="14"/>
  <c r="AI58" i="14"/>
  <c r="AJ58" i="14"/>
  <c r="N19" i="14"/>
  <c r="M16" i="14"/>
  <c r="M17" i="14"/>
  <c r="M18" i="14"/>
  <c r="AH39" i="14"/>
  <c r="AI39" i="14"/>
  <c r="AJ39" i="14"/>
  <c r="M19" i="14"/>
  <c r="F17" i="14"/>
</calcChain>
</file>

<file path=xl/comments1.xml><?xml version="1.0" encoding="utf-8"?>
<comments xmlns="http://schemas.openxmlformats.org/spreadsheetml/2006/main">
  <authors>
    <author>Oddbjørn Dahlstrøm</author>
  </authors>
  <commentList>
    <comment ref="F7" authorId="0">
      <text>
        <r>
          <rPr>
            <b/>
            <sz val="9"/>
            <color indexed="81"/>
            <rFont val="Tahoma"/>
            <family val="2"/>
          </rPr>
          <t>Oddbjørn Dahlstrøm:</t>
        </r>
        <r>
          <rPr>
            <sz val="9"/>
            <color indexed="81"/>
            <rFont val="Tahoma"/>
            <family val="2"/>
          </rPr>
          <t xml:space="preserve">
BRUKES IKKE</t>
        </r>
      </text>
    </comment>
    <comment ref="A8" authorId="0">
      <text>
        <r>
          <rPr>
            <sz val="9"/>
            <color indexed="81"/>
            <rFont val="Tahoma"/>
            <family val="2"/>
          </rPr>
          <t>Brukes for å sortere emnene etter kapittel  i rekkefølge etter manualen. For riktig rekkefølge: Sorter først etter nr, så etter kapittel.</t>
        </r>
      </text>
    </comment>
    <comment ref="B8" authorId="0">
      <text>
        <r>
          <rPr>
            <sz val="9"/>
            <color indexed="81"/>
            <rFont val="Tahoma"/>
            <family val="2"/>
          </rPr>
          <t>Brukes for å sortere emnene i rekkefølge etter manualen. Sorteres etter nr.</t>
        </r>
      </text>
    </comment>
    <comment ref="C8" authorId="0">
      <text>
        <r>
          <rPr>
            <sz val="9"/>
            <color indexed="81"/>
            <rFont val="Tahoma"/>
            <family val="2"/>
          </rPr>
          <t>Ved å sortere denne blir tabellen sortert etter "gamlemåten", dvs versjon 1.2.9 og tidligere</t>
        </r>
      </text>
    </comment>
    <comment ref="E8" authorId="0">
      <text>
        <r>
          <rPr>
            <sz val="9"/>
            <color indexed="81"/>
            <rFont val="Tahoma"/>
            <family val="2"/>
          </rPr>
          <t>Uinnredet bygg /nybygg OG leietaker ukjent. 1- normalt. 0 -hvis Alt 1-3 MÅ oppfylles</t>
        </r>
      </text>
    </comment>
    <comment ref="G8" authorId="0">
      <text>
        <r>
          <rPr>
            <sz val="9"/>
            <color indexed="81"/>
            <rFont val="Tahoma"/>
            <family val="2"/>
          </rPr>
          <t>0= Området er ikke relevant for vurderinger av bare innredning.</t>
        </r>
      </text>
    </comment>
    <comment ref="H8" authorId="0">
      <text>
        <r>
          <rPr>
            <b/>
            <sz val="9"/>
            <color indexed="81"/>
            <rFont val="Tahoma"/>
            <family val="2"/>
          </rPr>
          <t>Oddbjørn Dahlstrøm:</t>
        </r>
        <r>
          <rPr>
            <sz val="9"/>
            <color indexed="81"/>
            <rFont val="Tahoma"/>
            <family val="2"/>
          </rPr>
          <t xml:space="preserve">
Brukes ikke
</t>
        </r>
      </text>
    </comment>
    <comment ref="I8" authorId="0">
      <text>
        <r>
          <rPr>
            <sz val="9"/>
            <color indexed="81"/>
            <rFont val="Tahoma"/>
            <family val="2"/>
          </rPr>
          <t>Bygg med kontorarealer &lt;500m2 (bare Varehandel og Industri). 1- normalt. 0 -poeng ikke gjelder</t>
        </r>
      </text>
    </comment>
    <comment ref="J8" authorId="0">
      <text>
        <r>
          <rPr>
            <sz val="9"/>
            <color indexed="81"/>
            <rFont val="Tahoma"/>
            <family val="2"/>
          </rPr>
          <t>Varehandel</t>
        </r>
      </text>
    </comment>
    <comment ref="K8" authorId="0">
      <text>
        <r>
          <rPr>
            <sz val="9"/>
            <color indexed="81"/>
            <rFont val="Tahoma"/>
            <family val="2"/>
          </rPr>
          <t>Kontor</t>
        </r>
      </text>
    </comment>
    <comment ref="L8" authorId="0">
      <text>
        <r>
          <rPr>
            <sz val="9"/>
            <color indexed="81"/>
            <rFont val="Tahoma"/>
            <family val="2"/>
          </rPr>
          <t>Industri</t>
        </r>
      </text>
    </comment>
    <comment ref="M8" authorId="0">
      <text>
        <r>
          <rPr>
            <sz val="9"/>
            <color indexed="81"/>
            <rFont val="Tahoma"/>
            <family val="2"/>
          </rPr>
          <t>Utdanning</t>
        </r>
      </text>
    </comment>
    <comment ref="N8" authorId="0">
      <text>
        <r>
          <rPr>
            <sz val="9"/>
            <color indexed="81"/>
            <rFont val="Tahoma"/>
            <family val="2"/>
          </rPr>
          <t xml:space="preserve">Tilgjengelige poeng, basert på valg
</t>
        </r>
      </text>
    </comment>
    <comment ref="O8" authorId="0">
      <text>
        <r>
          <rPr>
            <sz val="9"/>
            <color indexed="81"/>
            <rFont val="Tahoma"/>
            <family val="2"/>
          </rPr>
          <t>Høyere/laver utdanning. 1 gjelder vgs OG høyere, 2 gjelder KUN høyere</t>
        </r>
      </text>
    </comment>
    <comment ref="Y8" authorId="0">
      <text>
        <r>
          <rPr>
            <sz val="9"/>
            <color indexed="81"/>
            <rFont val="Tahoma"/>
            <family val="2"/>
          </rPr>
          <t xml:space="preserve">Sett x her hvis en analyse for hele området gjelder
</t>
        </r>
      </text>
    </comment>
    <comment ref="AA8" authorId="0">
      <text>
        <r>
          <rPr>
            <sz val="9"/>
            <color indexed="81"/>
            <rFont val="Tahoma"/>
            <family val="2"/>
          </rPr>
          <t>Sett x her hvis man kan benytte samme dokument på bygg</t>
        </r>
      </text>
    </comment>
    <comment ref="AC8" authorId="0">
      <text>
        <r>
          <rPr>
            <sz val="9"/>
            <color indexed="81"/>
            <rFont val="Tahoma"/>
            <family val="2"/>
          </rPr>
          <t>Ved uinnredet bygg  hvor leietaker er ukjent vil kriterier som krever grønne leieavtaler eller tilsvarende (alt 1 - alt 4)  markeres grønt i denne kolonnen.</t>
        </r>
      </text>
    </comment>
    <comment ref="AL8" authorId="0">
      <text>
        <r>
          <rPr>
            <sz val="9"/>
            <color indexed="81"/>
            <rFont val="Tahoma"/>
            <family val="2"/>
          </rPr>
          <t>For å sortere bort kriterier med 0 poeng tilgjengelig: Trykk filterknappen og ta bort krysset for 0 poeng</t>
        </r>
      </text>
    </comment>
    <comment ref="AM8" authorId="0">
      <text>
        <r>
          <rPr>
            <sz val="9"/>
            <color indexed="81"/>
            <rFont val="Tahoma"/>
            <family val="2"/>
          </rPr>
          <t>Krav Mat 1, miljøgifter</t>
        </r>
      </text>
    </comment>
    <comment ref="BU8" authorId="0">
      <text>
        <r>
          <rPr>
            <sz val="9"/>
            <color indexed="81"/>
            <rFont val="Tahoma"/>
            <family val="2"/>
          </rPr>
          <t>Uinnredet bygg /nybygg OG leietaker ukjent. 1- normalt. 0 -hvis Alt 1-3 MÅ oppfylles</t>
        </r>
      </text>
    </comment>
    <comment ref="BV8" authorId="0">
      <text>
        <r>
          <rPr>
            <sz val="9"/>
            <color indexed="81"/>
            <rFont val="Tahoma"/>
            <family val="2"/>
          </rPr>
          <t>0= Området er ikke relevant for vurderinger av bare innredning.</t>
        </r>
      </text>
    </comment>
    <comment ref="BW8" authorId="0">
      <text>
        <r>
          <rPr>
            <sz val="9"/>
            <color indexed="81"/>
            <rFont val="Tahoma"/>
            <family val="2"/>
          </rPr>
          <t>Bygg med kontorarealer &lt;500m2 (bare Varehandel og Industri). 1- normalt. 0 -poeng ikke gjelder</t>
        </r>
      </text>
    </comment>
    <comment ref="CO20" authorId="0">
      <text>
        <r>
          <rPr>
            <sz val="9"/>
            <color indexed="81"/>
            <rFont val="Tahoma"/>
            <family val="2"/>
          </rPr>
          <t>ENE 7: GÅR PÅ DESIGN AV KJØLELAGERET.  HER BURDE DET VÆERT SLIK AT MAN FILTRERER VEKK DERSOM UTVIKLINGEN IKKE HAR KJØLELAGER. PT KAN DU IKKE TA UT ENE 7, MEN JEG SPILLER DETTE INN DA DET ER FORNUFTIG
Dette poenget filtreres IKKE ut. 
Skal de tfiltreses ut ta bort gange med 0
Pr 26.03.12 FILTRERES DETTE BORT, etter mail fra AW, Dette stemmer også med nyeste manual, vers 1.0</t>
        </r>
      </text>
    </comment>
    <comment ref="EG51" authorId="0">
      <text>
        <r>
          <rPr>
            <sz val="9"/>
            <color indexed="81"/>
            <rFont val="Tahoma"/>
            <family val="2"/>
          </rPr>
          <t>Det blir feil med "poeng" her, men tas med for å at det lyser opp</t>
        </r>
      </text>
    </comment>
    <comment ref="AM56" authorId="0">
      <text>
        <r>
          <rPr>
            <sz val="9"/>
            <color indexed="81"/>
            <rFont val="Tahoma"/>
            <family val="2"/>
          </rPr>
          <t>Sett x her hvis miljøgifter - minimumskravet er oppnådd</t>
        </r>
      </text>
    </comment>
    <comment ref="CX71" authorId="0">
      <text>
        <r>
          <rPr>
            <b/>
            <sz val="9"/>
            <color indexed="81"/>
            <rFont val="Tahoma"/>
            <family val="2"/>
          </rPr>
          <t>GJELDER FOR ALLE UNDERVISNINGSBYGG OG ALLE VAREHANDEL OVER 500 M2.</t>
        </r>
      </text>
    </comment>
    <comment ref="CW79" authorId="0">
      <text>
        <r>
          <rPr>
            <sz val="9"/>
            <color indexed="81"/>
            <rFont val="Tahoma"/>
            <family val="2"/>
          </rPr>
          <t>Manualen sier ikke noe om at dette området filtreres bort hvis det ikke er bilvask i porsjektet/området. 
Etter samtale med AW filtreres dette bort. Gang med 0 i formel hvis dette ikke skal filtreres bort</t>
        </r>
      </text>
    </comment>
    <comment ref="DR98" authorId="0">
      <text>
        <r>
          <rPr>
            <b/>
            <sz val="9"/>
            <color indexed="81"/>
            <rFont val="Tahoma"/>
            <family val="2"/>
          </rPr>
          <t>Oddbjørn Dahlstrøm:</t>
        </r>
        <r>
          <rPr>
            <sz val="9"/>
            <color indexed="81"/>
            <rFont val="Tahoma"/>
            <family val="2"/>
          </rPr>
          <t xml:space="preserve">
Er alltid 0, siden Ene 5 har 2 inn poeng tilgjengelig</t>
        </r>
      </text>
    </comment>
  </commentList>
</comments>
</file>

<file path=xl/sharedStrings.xml><?xml version="1.0" encoding="utf-8"?>
<sst xmlns="http://schemas.openxmlformats.org/spreadsheetml/2006/main" count="1925" uniqueCount="864">
  <si>
    <t>Laboratories with at least 10% total building area</t>
  </si>
  <si>
    <t>Laboratories with at least 25% total building area</t>
  </si>
  <si>
    <t>Parking facilities</t>
  </si>
  <si>
    <t>Waste management facility (HE only)</t>
  </si>
  <si>
    <t>Food preparation and/or service areas (HE only)</t>
  </si>
  <si>
    <t>Access to the building is limited to staff only (HE only)</t>
  </si>
  <si>
    <t>A confidentiality agreement is in place (HE only)</t>
  </si>
  <si>
    <t>Server based IT suites/Data centres/Learning resource (HE only)</t>
  </si>
  <si>
    <t>ARK/LARK</t>
    <phoneticPr fontId="20" type="noConversion"/>
  </si>
  <si>
    <t>ARK/RIB</t>
    <phoneticPr fontId="20" type="noConversion"/>
  </si>
  <si>
    <t>Indikatorer</t>
  </si>
  <si>
    <t>Poeng tilgjengelig</t>
  </si>
  <si>
    <t>Building Profile Information - BREEAM Healthcare</t>
  </si>
  <si>
    <t>Building Profile Information - BREEAM Offices</t>
  </si>
  <si>
    <t>Building Profile Information - BREEAM Industrial</t>
  </si>
  <si>
    <t>Building Profile Information - Education</t>
  </si>
  <si>
    <t>Building Profile Information - BREEAM Courts</t>
  </si>
  <si>
    <t>Building Profile Information - BREEAM Prisons</t>
  </si>
  <si>
    <t>Building Profile Information - BREEAM Multi-residential</t>
  </si>
  <si>
    <t>Building Type</t>
  </si>
  <si>
    <t>Shell &amp; Core Assessment</t>
  </si>
  <si>
    <t>Lifts</t>
  </si>
  <si>
    <t xml:space="preserve">Building Type: </t>
  </si>
  <si>
    <t>Building Type:</t>
  </si>
  <si>
    <t>Building Size</t>
  </si>
  <si>
    <t>Building size</t>
  </si>
  <si>
    <t>Internal or external soft landscaping/planting</t>
  </si>
  <si>
    <t>No</t>
  </si>
  <si>
    <t>Food preparation and/or dining areas</t>
  </si>
  <si>
    <t>Patient Type</t>
  </si>
  <si>
    <t>Escalators</t>
  </si>
  <si>
    <t>Office space</t>
  </si>
  <si>
    <t>Fume cupboards</t>
  </si>
  <si>
    <t>Cold storage plant and enclosures</t>
  </si>
  <si>
    <t>Heated Operational Area</t>
  </si>
  <si>
    <t>Swimming/hydrotherapy/research pools</t>
  </si>
  <si>
    <t>Swimming pool</t>
  </si>
  <si>
    <t>Vehicle delivery bays/access to warehouse/operational area</t>
  </si>
  <si>
    <t>Cold Storage plant and enclosures</t>
  </si>
  <si>
    <t>Waste management facility/area</t>
  </si>
  <si>
    <t>Vehicle delivery and manoeuvring areas</t>
  </si>
  <si>
    <t>Internal goods storage, warehousing and/or vehicle delivery bays/access.</t>
  </si>
  <si>
    <t>Food preparation, servery and/or dining areas</t>
  </si>
  <si>
    <t>Commercial food preparation and/or servery/dining areas</t>
  </si>
  <si>
    <t>Escalators &amp; travelling walkways</t>
  </si>
  <si>
    <t>Vehicle wash</t>
  </si>
  <si>
    <t>Contractor:</t>
  </si>
  <si>
    <t>Breeam fase (design, post):</t>
  </si>
  <si>
    <t>Heiser</t>
  </si>
  <si>
    <t xml:space="preserve"> </t>
  </si>
  <si>
    <t>Kvalifisert Breeam assessor</t>
  </si>
  <si>
    <t>Lisensiert Breeam organisasjon</t>
  </si>
  <si>
    <t>Assessment registreringsnr.:</t>
  </si>
  <si>
    <t>Bygnings-/prosjektnavn:</t>
  </si>
  <si>
    <t>Bygningens lokasjon</t>
  </si>
  <si>
    <t>Kundens kontakt</t>
  </si>
  <si>
    <t>Kundens adresse, linje 1</t>
  </si>
  <si>
    <t>Linje 2</t>
  </si>
  <si>
    <t>Linje 3</t>
  </si>
  <si>
    <t>Linje 4</t>
  </si>
  <si>
    <t>Arkitekt</t>
  </si>
  <si>
    <t>Utvikler</t>
  </si>
  <si>
    <t>Tema ID</t>
  </si>
  <si>
    <t>Kjære bruker,</t>
  </si>
  <si>
    <t>Kostnader</t>
  </si>
  <si>
    <t>General display and sale of goods retail</t>
  </si>
  <si>
    <t>BREEAM scheme:</t>
  </si>
  <si>
    <t>Food retail</t>
  </si>
  <si>
    <t>Food preparation and service retail</t>
  </si>
  <si>
    <t>Service provider</t>
  </si>
  <si>
    <t>Integrering BREEAM gjennom hele designprosessen:  Ord og uttrykk</t>
  </si>
  <si>
    <t>Innovation</t>
  </si>
  <si>
    <t>Innedørs luftkvalitet</t>
  </si>
  <si>
    <t>Hea 8</t>
  </si>
  <si>
    <t>Potensial for natrurlig ventilasjon</t>
  </si>
  <si>
    <t>Hea 7</t>
  </si>
  <si>
    <t>Hea 1</t>
  </si>
  <si>
    <t>Passiv Design Teknologier/ Brukernes helse</t>
  </si>
  <si>
    <t>Flomrisiko</t>
  </si>
  <si>
    <t>Pol 5</t>
  </si>
  <si>
    <t>Avstenging av sanitær tilførsel</t>
  </si>
  <si>
    <t>Wat 4</t>
  </si>
  <si>
    <t>Nox-utslipp fra varmekilde</t>
  </si>
  <si>
    <t>Pol 4</t>
  </si>
  <si>
    <t>Forebygge lekkasjer fra kuldemedier</t>
  </si>
  <si>
    <t>Pol 2</t>
  </si>
  <si>
    <t>Kuldemedium GWP – Bygningstjenester</t>
  </si>
  <si>
    <t>Pol 1</t>
  </si>
  <si>
    <t>Forurensning fra bygningstjenester og andre enheter</t>
  </si>
  <si>
    <t>Lekkasjedeteksjon</t>
  </si>
  <si>
    <t>Wat 3</t>
  </si>
  <si>
    <t>Støydemping</t>
  </si>
  <si>
    <t>Pol 8</t>
  </si>
  <si>
    <t>Reduksjon av nattlig lysforurensning</t>
  </si>
  <si>
    <t>Pol 7</t>
  </si>
  <si>
    <t>Termisk soning</t>
  </si>
  <si>
    <t>Hea 11</t>
  </si>
  <si>
    <t>Lyssoner og lysstyring</t>
  </si>
  <si>
    <t>Hea 6</t>
  </si>
  <si>
    <t>Høyfrekvent belysning</t>
  </si>
  <si>
    <t>Hea 4</t>
  </si>
  <si>
    <t>Blendingskontroll</t>
  </si>
  <si>
    <t>Hea 3</t>
  </si>
  <si>
    <t>Brukers velbehag</t>
  </si>
  <si>
    <t>Eksetrn belysning</t>
  </si>
  <si>
    <t>Ene 4</t>
  </si>
  <si>
    <t>Kompostering</t>
  </si>
  <si>
    <t>Wst 5</t>
  </si>
  <si>
    <t>Lagring av gjenvinnbart avfall</t>
  </si>
  <si>
    <t>Wst 3</t>
  </si>
  <si>
    <t>Gjenbruk av areal</t>
  </si>
  <si>
    <t>LE 1</t>
  </si>
  <si>
    <t>Lokalisering</t>
  </si>
  <si>
    <t>Gjenbruk av bygningskonstruksjon</t>
  </si>
  <si>
    <t>Mat 4</t>
  </si>
  <si>
    <t>Y</t>
  </si>
  <si>
    <t>Gjenbruk av fasader</t>
  </si>
  <si>
    <t>Mat 3</t>
  </si>
  <si>
    <t>Ombygging vs. nybygg</t>
  </si>
  <si>
    <t>y</t>
  </si>
  <si>
    <t>Filter column</t>
  </si>
  <si>
    <t>Large/medium industrial building (≥500m2)</t>
  </si>
  <si>
    <t>Small Industrail building (&lt;500m2)</t>
  </si>
  <si>
    <t>Fit Out only</t>
  </si>
  <si>
    <t>New builds/ refurbs</t>
  </si>
  <si>
    <t>All types</t>
  </si>
  <si>
    <t>Foodprep</t>
  </si>
  <si>
    <t>Waste facility</t>
  </si>
  <si>
    <t>Fume cupboardscabinets</t>
  </si>
  <si>
    <t>Data centre</t>
  </si>
  <si>
    <t>Labs 25%</t>
  </si>
  <si>
    <t>Labs 10%</t>
  </si>
  <si>
    <t>Staff only</t>
  </si>
  <si>
    <t>Confidality agreement</t>
  </si>
  <si>
    <t>Secondary school</t>
  </si>
  <si>
    <t>Primary school</t>
  </si>
  <si>
    <t>F.E</t>
  </si>
  <si>
    <t>School</t>
  </si>
  <si>
    <t>Medium/Large</t>
  </si>
  <si>
    <t xml:space="preserve">Small </t>
  </si>
  <si>
    <t>Outpatients</t>
  </si>
  <si>
    <t>Inpatients</t>
  </si>
  <si>
    <t>Health centres and clinics</t>
  </si>
  <si>
    <t>GP Surgeries</t>
  </si>
  <si>
    <t>Community and mental health</t>
  </si>
  <si>
    <t>General Acute</t>
  </si>
  <si>
    <t>Teaching/specialist hospital</t>
  </si>
  <si>
    <t>Industrial</t>
  </si>
  <si>
    <t>Higher Education</t>
  </si>
  <si>
    <t>Education</t>
  </si>
  <si>
    <t>Retail</t>
  </si>
  <si>
    <t>Prisons</t>
  </si>
  <si>
    <t>Courts</t>
  </si>
  <si>
    <t>Pollution</t>
  </si>
  <si>
    <t>Land Use &amp; Ecology</t>
  </si>
  <si>
    <t>Waste</t>
  </si>
  <si>
    <t>Materials</t>
  </si>
  <si>
    <t xml:space="preserve">Water </t>
  </si>
  <si>
    <t>Transport</t>
  </si>
  <si>
    <t>Energy</t>
  </si>
  <si>
    <t>Health &amp; Wellbeing</t>
  </si>
  <si>
    <t xml:space="preserve">Management </t>
  </si>
  <si>
    <t>IND</t>
  </si>
  <si>
    <t>PRI</t>
  </si>
  <si>
    <t>OFF</t>
  </si>
  <si>
    <t>RET</t>
  </si>
  <si>
    <t>HE</t>
  </si>
  <si>
    <t>Total number of credits</t>
  </si>
  <si>
    <t>Total number of credits available</t>
  </si>
  <si>
    <t>Fitout</t>
  </si>
  <si>
    <t>Fit out</t>
  </si>
  <si>
    <t>New build/refurb</t>
  </si>
  <si>
    <t>Weightings</t>
  </si>
  <si>
    <t xml:space="preserve">Naturverdi av området og vern av naturverdier </t>
  </si>
  <si>
    <t>LE 3</t>
  </si>
  <si>
    <t>Påvirkning på byggeplass</t>
  </si>
  <si>
    <t>Man 3</t>
  </si>
  <si>
    <t>Brukerveiledning for bygg</t>
  </si>
  <si>
    <t>Man 4</t>
  </si>
  <si>
    <t>E</t>
  </si>
  <si>
    <t>Entreprenørens miljømessige og sosiale etiske retningslinjer</t>
  </si>
  <si>
    <t>Man 2</t>
  </si>
  <si>
    <t>Ansvarlige kontraktører</t>
  </si>
  <si>
    <t>C</t>
  </si>
  <si>
    <t>Rulletrapper og rullefortau</t>
  </si>
  <si>
    <t>Ene 9</t>
  </si>
  <si>
    <t>Ene 8</t>
  </si>
  <si>
    <t>Hea 5</t>
  </si>
  <si>
    <t>Energieffektive elektriske enheter</t>
  </si>
  <si>
    <t>Robust konstruksjon</t>
  </si>
  <si>
    <t>Mat 7</t>
  </si>
  <si>
    <t>Isolering</t>
  </si>
  <si>
    <t>Mat 6</t>
  </si>
  <si>
    <t>Ansvarlig innkjøp av materialer</t>
  </si>
  <si>
    <t>Mat 5</t>
  </si>
  <si>
    <t xml:space="preserve"> Utendørs harde overflater og skallsikring</t>
  </si>
  <si>
    <t>Mat 2</t>
  </si>
  <si>
    <t xml:space="preserve">Materialspesifikasjon (major building elements) </t>
  </si>
  <si>
    <t>Mat 1</t>
  </si>
  <si>
    <t>Lavpåvirklige materialer</t>
  </si>
  <si>
    <t>Akustisk ytelse</t>
  </si>
  <si>
    <t>Hea 13</t>
  </si>
  <si>
    <t>Termisk komfort</t>
  </si>
  <si>
    <t>Hea 10</t>
  </si>
  <si>
    <t>Flyktige organiske forbindelser</t>
  </si>
  <si>
    <t>Hea 9</t>
  </si>
  <si>
    <r>
      <t xml:space="preserve">Decision / action responsibility: </t>
    </r>
    <r>
      <rPr>
        <sz val="10"/>
        <rFont val="Arial"/>
        <family val="2"/>
      </rPr>
      <t>indicates the individual(s) responsible for decision making and action for each issue: 
C – Client
DT – Design Team
MC – Main Contractor 
These are default indications that can be customised, if needed, by the user.</t>
    </r>
    <r>
      <rPr>
        <b/>
        <sz val="10"/>
        <rFont val="Arial"/>
        <family val="2"/>
      </rPr>
      <t xml:space="preserve">
</t>
    </r>
  </si>
  <si>
    <r>
      <t>Small retail building (&lt;500m</t>
    </r>
    <r>
      <rPr>
        <b/>
        <vertAlign val="superscript"/>
        <sz val="10"/>
        <rFont val="Arial"/>
        <family val="2"/>
      </rPr>
      <t>2</t>
    </r>
    <r>
      <rPr>
        <b/>
        <sz val="10"/>
        <rFont val="Arial"/>
        <family val="2"/>
      </rPr>
      <t>)</t>
    </r>
  </si>
  <si>
    <r>
      <t>Large retail building (≥500m</t>
    </r>
    <r>
      <rPr>
        <b/>
        <vertAlign val="superscript"/>
        <sz val="10"/>
        <rFont val="Arial"/>
        <family val="2"/>
      </rPr>
      <t>2</t>
    </r>
    <r>
      <rPr>
        <b/>
        <sz val="10"/>
        <rFont val="Arial"/>
        <family val="2"/>
      </rPr>
      <t>)</t>
    </r>
  </si>
  <si>
    <r>
      <t>Office space &lt;500m</t>
    </r>
    <r>
      <rPr>
        <b/>
        <vertAlign val="superscript"/>
        <sz val="10"/>
        <rFont val="Arial"/>
        <family val="2"/>
      </rPr>
      <t>2</t>
    </r>
  </si>
  <si>
    <r>
      <t>Office space ≥500m</t>
    </r>
    <r>
      <rPr>
        <b/>
        <vertAlign val="superscript"/>
        <sz val="10"/>
        <rFont val="Arial"/>
        <family val="2"/>
      </rPr>
      <t>2</t>
    </r>
  </si>
  <si>
    <t>Ansvarlig - Person</t>
  </si>
  <si>
    <t>Wat 8</t>
  </si>
  <si>
    <t>Bærekraftig vannbehandling på stedet</t>
  </si>
  <si>
    <t>Redusere miljøkonsekvenser</t>
  </si>
  <si>
    <t xml:space="preserve">Effektivisering av avfallshåndtering  i drift </t>
  </si>
  <si>
    <t>Resirkulerte tilslag</t>
  </si>
  <si>
    <t>Wst 2</t>
  </si>
  <si>
    <t>Avfallshåndtering på byggeplass</t>
  </si>
  <si>
    <t>Wst 1</t>
  </si>
  <si>
    <t>Reduksjon av avfall på området</t>
  </si>
  <si>
    <t>Vannmåler</t>
  </si>
  <si>
    <t>Wat 2</t>
  </si>
  <si>
    <t>Delmåling av høy energibelastning og utleiearealer</t>
  </si>
  <si>
    <t>Ene 3</t>
  </si>
  <si>
    <t>Delmåling av betydelig energibruk</t>
  </si>
  <si>
    <t>Ene 2</t>
  </si>
  <si>
    <t>Energi/vannmåling</t>
  </si>
  <si>
    <t>Mikrobiell forurensning</t>
  </si>
  <si>
    <t>Hea 12</t>
  </si>
  <si>
    <t>Minimere vannforurensning</t>
  </si>
  <si>
    <t>Pol 6</t>
  </si>
  <si>
    <t>Langsiktig påvirkning på artsmangfold</t>
  </si>
  <si>
    <t>LE 6</t>
  </si>
  <si>
    <t>Utsikt</t>
  </si>
  <si>
    <t>Hea 2</t>
  </si>
  <si>
    <t>Sikkerhet for gående og sykelister</t>
  </si>
  <si>
    <t>Tra 4</t>
  </si>
  <si>
    <t>Sykkelfasiiliteter</t>
  </si>
  <si>
    <t>Tra 3</t>
  </si>
  <si>
    <t>Reduksjon av karbonutslipp fra kjøring</t>
  </si>
  <si>
    <t>Vannforbruk</t>
  </si>
  <si>
    <t>Wat 1</t>
  </si>
  <si>
    <t>Vanningssystemer</t>
  </si>
  <si>
    <t>Wat 6</t>
  </si>
  <si>
    <t>Vannkonservering</t>
  </si>
  <si>
    <r>
      <t>Reduksjon av CO</t>
    </r>
    <r>
      <rPr>
        <vertAlign val="subscript"/>
        <sz val="10"/>
        <rFont val="Arial"/>
        <family val="2"/>
      </rPr>
      <t>2</t>
    </r>
    <r>
      <rPr>
        <sz val="10"/>
        <rFont val="Arial"/>
        <family val="2"/>
      </rPr>
      <t xml:space="preserve"> utslipp</t>
    </r>
  </si>
  <si>
    <t>Ene 1</t>
  </si>
  <si>
    <t>Lav- eller nullkarbonteknologi</t>
  </si>
  <si>
    <t>Ene 5</t>
  </si>
  <si>
    <t>Energi</t>
  </si>
  <si>
    <t>Livsløspkostnad</t>
  </si>
  <si>
    <t>Man 12</t>
  </si>
  <si>
    <t>WLC</t>
  </si>
  <si>
    <t>Idriftsettelse</t>
  </si>
  <si>
    <t>Man 1</t>
  </si>
  <si>
    <t xml:space="preserve">Admin av bygningen i løpet av levetiden </t>
  </si>
  <si>
    <t>Reiseplan</t>
  </si>
  <si>
    <t>Tra 5</t>
  </si>
  <si>
    <t>Avstand til støttefunksjoner</t>
  </si>
  <si>
    <t>Tra 2</t>
  </si>
  <si>
    <t>Kollektivtransporttilbud</t>
  </si>
  <si>
    <t>Tra 1</t>
  </si>
  <si>
    <t>LE 4</t>
  </si>
  <si>
    <t>Forurenset areal</t>
  </si>
  <si>
    <t>LE 2</t>
  </si>
  <si>
    <t xml:space="preserve">Refrigerant GWP – cold storage </t>
  </si>
  <si>
    <t>Dagslys</t>
  </si>
  <si>
    <t>PG / K/TE</t>
  </si>
  <si>
    <t>TE</t>
  </si>
  <si>
    <t>KLP/PG/TE</t>
  </si>
  <si>
    <t>KLP/PG</t>
  </si>
  <si>
    <t>K LP/ PG</t>
  </si>
  <si>
    <t>ARK/RIE/LYSDESIGNER</t>
  </si>
  <si>
    <t>RIE</t>
  </si>
  <si>
    <t>RIE/ARK</t>
  </si>
  <si>
    <t>ARK/RIV</t>
  </si>
  <si>
    <t>ARK/LEIETAKER</t>
  </si>
  <si>
    <t>RIEn</t>
  </si>
  <si>
    <t>RIE - SJEKK MED REGULERINGSPLANBESTEMMELSER</t>
  </si>
  <si>
    <t>Bygn.fysikk</t>
  </si>
  <si>
    <t>ARK/RIE</t>
  </si>
  <si>
    <t>KLP/ARK</t>
  </si>
  <si>
    <t>ARK/LARK</t>
  </si>
  <si>
    <t>LARK</t>
  </si>
  <si>
    <t>KLP</t>
  </si>
  <si>
    <t>Tra 8</t>
  </si>
  <si>
    <t>Leveranser og manørering</t>
  </si>
  <si>
    <t>LARK/RIV</t>
  </si>
  <si>
    <t>Wat 7</t>
  </si>
  <si>
    <t>Water recirculation – vehicle wash</t>
  </si>
  <si>
    <t>RIM/ARK</t>
  </si>
  <si>
    <t>PG / HK/TE</t>
  </si>
  <si>
    <t>Offices</t>
  </si>
  <si>
    <t>Healthcare</t>
  </si>
  <si>
    <t>Kommentarer</t>
  </si>
  <si>
    <t>K</t>
  </si>
  <si>
    <t>Fyll inn dato</t>
  </si>
  <si>
    <t>Industrial credit filtering</t>
  </si>
  <si>
    <t>Education credit filtering</t>
  </si>
  <si>
    <t>RETAIL CREDIT FILTERING</t>
  </si>
  <si>
    <t>PRISONS CREDIT FILTERING</t>
  </si>
  <si>
    <t>COURTS CREDIT FILTERING</t>
  </si>
  <si>
    <t>OFFICES CREDIT FILTERING</t>
  </si>
  <si>
    <t>HEALTHCARE CREDIT FILTERING</t>
  </si>
  <si>
    <t>Ansvarlig - Fag</t>
  </si>
  <si>
    <t>Ansvarlig - Overordnet</t>
  </si>
  <si>
    <t>Avhengigheter/forutsetn - tema</t>
  </si>
  <si>
    <t>Poeng for mønsergyldig nivå?</t>
  </si>
  <si>
    <t>BREEAM tema</t>
  </si>
  <si>
    <t>Bruk</t>
  </si>
  <si>
    <t>Forberedelser</t>
  </si>
  <si>
    <t>design stage assessment</t>
  </si>
  <si>
    <r>
      <t xml:space="preserve">Pre-requisite issue: </t>
    </r>
    <r>
      <rPr>
        <sz val="10"/>
        <rFont val="Arial"/>
        <family val="2"/>
      </rPr>
      <t xml:space="preserve">issue that needs to be achieved before others can be achieved. </t>
    </r>
  </si>
  <si>
    <t>Consultation with interested parties beyond the normal scope of the design process activities, e.g. consultation with the Environment Agency or with the local community.</t>
  </si>
  <si>
    <t>Additional technologies or design elements beyond standard practice or legal requirements, e.g. Sub-metering of substantial energy uses.</t>
  </si>
  <si>
    <t>Further professionals in addition to the standard design team, e.g. an ecologist.</t>
  </si>
  <si>
    <t xml:space="preserve">Extra evidence of performance exceeding standard practice or legal requirements, e.g. results from feasibility studies.
</t>
  </si>
  <si>
    <t>ARK-DESIGN</t>
  </si>
  <si>
    <t>Wst 4</t>
  </si>
  <si>
    <t>Compactor/baler</t>
  </si>
  <si>
    <t>KLP/RIG</t>
  </si>
  <si>
    <t>KLP/LARK</t>
  </si>
  <si>
    <t>AP</t>
  </si>
  <si>
    <t>RIA</t>
  </si>
  <si>
    <t>ARK/RIEn</t>
  </si>
  <si>
    <t>LARK/ØKOLOG</t>
  </si>
  <si>
    <t>ARK</t>
    <phoneticPr fontId="20" type="noConversion"/>
  </si>
  <si>
    <r>
      <t>KUN HVIS KONTOR ER &gt;500M2</t>
    </r>
    <r>
      <rPr>
        <sz val="10"/>
        <color indexed="8"/>
        <rFont val="Calibri"/>
        <family val="2"/>
      </rPr>
      <t xml:space="preserve">       Designmanual for leietaker(Interiørarkitekt)</t>
    </r>
    <phoneticPr fontId="20" type="noConversion"/>
  </si>
  <si>
    <t>ARK</t>
    <phoneticPr fontId="20" type="noConversion"/>
  </si>
  <si>
    <t>RIB</t>
    <phoneticPr fontId="20" type="noConversion"/>
  </si>
  <si>
    <t>Interne og eksterne lysnivåer</t>
  </si>
  <si>
    <t xml:space="preserve">Idé </t>
  </si>
  <si>
    <t>Anbudsgr.lag utarbeidelse</t>
  </si>
  <si>
    <t>Anbudskonkurranse</t>
  </si>
  <si>
    <t>Innhente og vurdere besvarelser</t>
  </si>
  <si>
    <t>Endelig ferdigstillelse/overtakelse/igangsetting</t>
  </si>
  <si>
    <t>Byggepriode</t>
  </si>
  <si>
    <t>Forberede byggeperiode</t>
  </si>
  <si>
    <t>N/A</t>
  </si>
  <si>
    <t>RIM</t>
  </si>
  <si>
    <t>RIV</t>
  </si>
  <si>
    <t>ARK</t>
  </si>
  <si>
    <t>?</t>
  </si>
  <si>
    <t xml:space="preserve">Tildele kontrakt </t>
  </si>
  <si>
    <t>Iverksetting/ byggeperiode (BREEAM DS sertifikat)</t>
  </si>
  <si>
    <t>Status BREEAM i prosjket</t>
  </si>
  <si>
    <t>K / PG</t>
  </si>
  <si>
    <t>PG / HK</t>
  </si>
  <si>
    <t>PG</t>
  </si>
  <si>
    <t>KUN HVIS KONTOR ER &gt;500M2</t>
  </si>
  <si>
    <t>Hea 14</t>
  </si>
  <si>
    <t>C / DT</t>
  </si>
  <si>
    <t>Kontor areal</t>
  </si>
  <si>
    <t>Ene 6</t>
  </si>
  <si>
    <t>Building fabric performance &amp; avoidance of air infiltration</t>
  </si>
  <si>
    <t>DT</t>
  </si>
  <si>
    <t>Ene 7</t>
  </si>
  <si>
    <t>Cold storage</t>
  </si>
  <si>
    <t>Tra 7</t>
  </si>
  <si>
    <t>Travel information point</t>
  </si>
  <si>
    <t>Pol 3</t>
  </si>
  <si>
    <t>TE/RIM</t>
  </si>
  <si>
    <t>ARK(/RIE/LYSDESIGNER?)</t>
  </si>
  <si>
    <t>RIE- UTFORDRING? Hva skal vi bruke som underlag? Norsk eller internasjonal modell?</t>
  </si>
  <si>
    <t>(ARK)/RIV - RIV tar hovedansvar for dette</t>
  </si>
  <si>
    <t>ARK/LEIETAKER - ARK må beskrive kravene</t>
  </si>
  <si>
    <t>ARK - ARK må verifisere arealet</t>
  </si>
  <si>
    <t>BYGNINGSFYSIKK</t>
  </si>
  <si>
    <t>(ARK/RIE - DOKUMENTERE I HENHOLD TIL KRAV) - RIE skal være hovedansvarlig</t>
  </si>
  <si>
    <t>(ARK/RIE) - RIE er hovedansvarlig</t>
  </si>
  <si>
    <t>LARK/RIV - RIV med hovedansvar</t>
  </si>
  <si>
    <t>ARK er hovedansvarlig, må få input fra RIB. Dette er avhengig av hvilken BREEAM versjon vi skal bruke. Assessor må svare på dette.</t>
  </si>
  <si>
    <t>(ARK) - Bør være LARK?</t>
  </si>
  <si>
    <t>RIM har hovedansvar /ARK</t>
  </si>
  <si>
    <t>ARK - Assessor må informere om hvilken BREEAM versjon vi skal bruke</t>
  </si>
  <si>
    <t>RIM ansvarlig i PG med bistand fra PGL og BL. TE tar over ansvaret når de blir kontrahert</t>
  </si>
  <si>
    <t>RIB ansvarlig i PG med bistand fra RIM. TE tar over ansvaret når de blir kontrahert</t>
  </si>
  <si>
    <t>LARK/(ØKOLOG) - Kan LARK stille med riktig kompetanse</t>
  </si>
  <si>
    <t>(KLP/RIG) - RiG har hovedansvar</t>
  </si>
  <si>
    <t>LARK/ØKOLOG - MÅ HENTE INN KOMP. SE KRAVSPEC. MÅ INN FØR BYGGING TAR TIL</t>
  </si>
  <si>
    <t>RIV har hovedansvar og får evt. bistand fra RIEn og RIM</t>
  </si>
  <si>
    <t xml:space="preserve">RIV/VA  </t>
  </si>
  <si>
    <t>ARK har hovedansvar/RIE</t>
  </si>
  <si>
    <t>n/a</t>
  </si>
  <si>
    <t>Forprosjektfase</t>
  </si>
  <si>
    <t xml:space="preserve">RIM </t>
  </si>
  <si>
    <t>RIB</t>
  </si>
  <si>
    <t>NR - Nils Ramstad</t>
  </si>
  <si>
    <t>HA - Harald Augestad</t>
  </si>
  <si>
    <t xml:space="preserve">GOL - Gro Overn Lindley </t>
  </si>
  <si>
    <t>RKR - Rein Kristian Raaholdt</t>
  </si>
  <si>
    <t>KAF - Knut Asbjørn Forsmo</t>
  </si>
  <si>
    <t>GML - Guri Marie Lindmark</t>
  </si>
  <si>
    <t>BNR - Benedikte  Nilsen Rauan</t>
  </si>
  <si>
    <t>JO - Jannicke Olshausen</t>
  </si>
  <si>
    <t>PN - Petter Nome</t>
  </si>
  <si>
    <t>BB - Bernd Boermann</t>
  </si>
  <si>
    <t>Kode</t>
  </si>
  <si>
    <t>Kriterie</t>
  </si>
  <si>
    <t>Rapporter</t>
  </si>
  <si>
    <t>ANF - Anders Fylling</t>
  </si>
  <si>
    <t>SB - Svein Barstad</t>
  </si>
  <si>
    <t>Tra 6</t>
  </si>
  <si>
    <t>Elektrisk ingeniør (RIE)</t>
  </si>
  <si>
    <t>Mekanisk ingeniør (RIV)</t>
  </si>
  <si>
    <t>Prosjekttype</t>
  </si>
  <si>
    <t>Tiltakshaver/(ARK) - Tiltakshaver hovedansvarlig</t>
  </si>
  <si>
    <t>Tiltakshaver</t>
  </si>
  <si>
    <t xml:space="preserve">PT/K  - Må avklare hva denne personen skal levere. </t>
  </si>
  <si>
    <t>(ARK-PLASSERING- RIV- LØSNING)</t>
  </si>
  <si>
    <t xml:space="preserve">RIV  </t>
  </si>
  <si>
    <t>Tiltakshaver må ha hovedansvar (ARK/LARK)</t>
  </si>
  <si>
    <t>Advansia har hovedansvar - Bistand fra /ØKOLOG/LARK</t>
  </si>
  <si>
    <t xml:space="preserve">RIV/VA - Dette må løses av personell med KU erfaring. Bekreftelse fra kommunen. </t>
  </si>
  <si>
    <t xml:space="preserve">RIV - </t>
  </si>
  <si>
    <t>FDV ansvarlig fra PG?</t>
  </si>
  <si>
    <t>PG/TE - RIM ansvarlig fra PG. Vurdere hva som trengs av input fra andre fag</t>
  </si>
  <si>
    <t>Poeng fra Pre-analyse</t>
  </si>
  <si>
    <t>??</t>
  </si>
  <si>
    <t>Analyse av levetidskostnader (LCC)</t>
  </si>
  <si>
    <t>Kombinert (Man 5 – Man 11)</t>
  </si>
  <si>
    <t>Man 13</t>
  </si>
  <si>
    <t>Ventilasjonsløsning for å sikre innendørs luftkvalitet</t>
  </si>
  <si>
    <t>Forurensninger i innemiljø</t>
  </si>
  <si>
    <t>Fuktsikring</t>
  </si>
  <si>
    <t>Energieffektivitet</t>
  </si>
  <si>
    <t>Utebelysning</t>
  </si>
  <si>
    <t>Energiforsyning med lavt klimagassutslipp</t>
  </si>
  <si>
    <t>Kjølelager</t>
  </si>
  <si>
    <t>Energieffektive IT-løsninger</t>
  </si>
  <si>
    <t>Bygningskonstruksjonens energiytelse</t>
  </si>
  <si>
    <t>Alternative transportformer</t>
  </si>
  <si>
    <t>Mobilitetsplan</t>
  </si>
  <si>
    <t>Maksimal bilparkeringskapasitet</t>
  </si>
  <si>
    <t>Reiseinformasjonspunkt</t>
  </si>
  <si>
    <t>Varelevering og manøvrering</t>
  </si>
  <si>
    <t>Bilvask</t>
  </si>
  <si>
    <t>Komprimator/presse</t>
  </si>
  <si>
    <t>Gjenbruk av eksisterende bærekonstruksjoner</t>
  </si>
  <si>
    <t>Skisseprosjekt dokumenterer</t>
  </si>
  <si>
    <t>Poeng etter gjennomgang av Ansv. Pers., M</t>
  </si>
  <si>
    <t>En anlayse for hele området</t>
  </si>
  <si>
    <t>Forurensning i innemiljø</t>
  </si>
  <si>
    <t>x</t>
  </si>
  <si>
    <t>Skal spesifiseres ytterligere overfor Entreprenør</t>
  </si>
  <si>
    <t>Ene 20</t>
  </si>
  <si>
    <t>Hea 20</t>
  </si>
  <si>
    <t>Kontor</t>
  </si>
  <si>
    <t>Minstekrav</t>
  </si>
  <si>
    <t>Måloppnåelse</t>
  </si>
  <si>
    <t>Dokumentasjonskrav</t>
  </si>
  <si>
    <t>Tilgjengelig Poeng</t>
  </si>
  <si>
    <t>Ene 11</t>
  </si>
  <si>
    <t xml:space="preserve">Energieffektive avtrekksskap </t>
  </si>
  <si>
    <t>Ene 12</t>
  </si>
  <si>
    <t xml:space="preserve">Varmetap og ventilasjon i svømmehaller </t>
  </si>
  <si>
    <t>Ene 19</t>
  </si>
  <si>
    <t>Energieffektive laboratorier</t>
  </si>
  <si>
    <t>LE 7</t>
  </si>
  <si>
    <t>Involvering av studenter og ansatte</t>
  </si>
  <si>
    <t>P</t>
  </si>
  <si>
    <t>G</t>
  </si>
  <si>
    <t>VG</t>
  </si>
  <si>
    <t>W</t>
  </si>
  <si>
    <t>O</t>
  </si>
  <si>
    <t>Innredning</t>
  </si>
  <si>
    <t>Uinnredet - annet</t>
  </si>
  <si>
    <t>"GAMLE" uinnredet, fra tabell, 1= ja, 0=ikke</t>
  </si>
  <si>
    <t>Man 14</t>
  </si>
  <si>
    <t>Bygningskonstruksjonens ytelse og hindring av luftinfiltrasjon ved varemottak og -leveranser</t>
  </si>
  <si>
    <t>Krav Mat 1, miljøgifter</t>
  </si>
  <si>
    <t>Wst 6</t>
  </si>
  <si>
    <t>Gulvdekker</t>
  </si>
  <si>
    <t>Redusere forurensning av vassdrag</t>
  </si>
  <si>
    <t>Begrense lysforurensning om natten</t>
  </si>
  <si>
    <t>Innovasjon</t>
  </si>
  <si>
    <t>Sum poeng</t>
  </si>
  <si>
    <t>V</t>
  </si>
  <si>
    <t>I</t>
  </si>
  <si>
    <t>U</t>
  </si>
  <si>
    <t>UI, GL/GV</t>
  </si>
  <si>
    <t>&lt;500m2</t>
  </si>
  <si>
    <t>Kommentar</t>
  </si>
  <si>
    <t>Tilg</t>
  </si>
  <si>
    <t>Miljøområdene</t>
  </si>
  <si>
    <t>Tilgjengelig poeng</t>
  </si>
  <si>
    <t>Vekting (%)</t>
  </si>
  <si>
    <t>Ledelse</t>
  </si>
  <si>
    <t>Helse og innemiljø</t>
  </si>
  <si>
    <t>Vann</t>
  </si>
  <si>
    <t>Materialer</t>
  </si>
  <si>
    <t>Avfall</t>
  </si>
  <si>
    <t>Arealbruk og økologi</t>
  </si>
  <si>
    <t>Forurensning</t>
  </si>
  <si>
    <t>BREEAM-klassifisering</t>
  </si>
  <si>
    <t>Varehandel</t>
  </si>
  <si>
    <t>Industri</t>
  </si>
  <si>
    <t>Utdanning</t>
  </si>
  <si>
    <t>Engelsk</t>
  </si>
  <si>
    <t>Type bygg</t>
  </si>
  <si>
    <t>Nybygg (inkludert tilbygg til eksisterende bygg)</t>
  </si>
  <si>
    <t>Valg</t>
  </si>
  <si>
    <t>Større rehabiliteringer og ombygging</t>
  </si>
  <si>
    <t xml:space="preserve">En kombinasjon av nybygg og større rehabiliteringer </t>
  </si>
  <si>
    <t>Innredningsarbeider av eksisterende bygning</t>
  </si>
  <si>
    <t>Uinnrededet bygg eller nybygg hvor bruker/leier er ukjent</t>
  </si>
  <si>
    <t>ja</t>
  </si>
  <si>
    <t>Alt 1: Grønne leiekontrakter</t>
  </si>
  <si>
    <t>Full pott for innredningspoeng</t>
  </si>
  <si>
    <t>Alt 2: Grønn veileder</t>
  </si>
  <si>
    <t>Halv pott for innredningspoeng</t>
  </si>
  <si>
    <t>Ved bruk av ´grønn veileder´ og at denne samsvarer med kriteriene, kvalifiserer dette for halvparten av de tilgjengelige poengene.</t>
  </si>
  <si>
    <t>Halv pott av tilgjengelig, eller er full pott tilgjengelig, men man får bare halv??</t>
  </si>
  <si>
    <t>For HEA 5 er grønn veiledning = 0. Ikke 50%</t>
  </si>
  <si>
    <t>Alt 3: Samarbeid mellom utbygger/utleier</t>
  </si>
  <si>
    <t>Hvis man søker samsvar på denne måten, kan man oppnå full verdi for de tilgjengelige poengene.</t>
  </si>
  <si>
    <t>Alt 4: Ingen bevis er framskaffet for leietaker(e)s innredningsspesifikasjon</t>
  </si>
  <si>
    <t>Innredningspoeng ikke tilgjengelig</t>
  </si>
  <si>
    <t>BREEAM-poengene som er tilgjengelige for det bestemte området, holdes tilbake.</t>
  </si>
  <si>
    <t>Leiekontrakt</t>
  </si>
  <si>
    <t>En</t>
  </si>
  <si>
    <t>Flere</t>
  </si>
  <si>
    <t>Skal bygningen bli mekanisk varmet?</t>
  </si>
  <si>
    <t>Hvis bygningen ikke skal ha noen oppvarming, og det ikke skal installeres kjeler (som kan være tilfellet i noen Middelhavsområder), gjelder ikke dette området. Området vil automatisk bli filtrert ut av regnearket.</t>
  </si>
  <si>
    <t>Oppvarmet operasjonsområde</t>
  </si>
  <si>
    <t>Første poeng gjelder ikke hvis den vurderte bygningen ikke skal ha noen kontorområder, eller hvis kontorområdet ikke skal ha noen oppvarming. Dette området vil automatisk bli filtrert ut fra vurderingen av revisors regnearkverktøy.</t>
  </si>
  <si>
    <t>Heis</t>
  </si>
  <si>
    <t>Rullebånd</t>
  </si>
  <si>
    <t>Fryseri og kabinetter</t>
  </si>
  <si>
    <t>Matlaging/servering/spiseområder</t>
  </si>
  <si>
    <t>WST 5</t>
  </si>
  <si>
    <t>Dette BREEAM-området gjelder kun hvis den vurderte utbyggingen har et område for matlaging og/eller servering/bespisning. Hvis området ikke er relevant, vil BREEAM-revisors regnearkverktøy filtrere dette BREEAM-området fra listen over gjeldende områder.</t>
  </si>
  <si>
    <t>Finnes det uteanlegg på anleggsområdet til den vurderte bygningen?</t>
  </si>
  <si>
    <t>WAT 6</t>
  </si>
  <si>
    <t>Dette området kommer ikke til anvendelse hvis det ikke finnes uteanlegg på anleggsområdet til den vurderte bygningen. I slike tilfeller vil BREEAM - revisorens regnearkverktøy filtrere dette området fra listen over relevante områder</t>
  </si>
  <si>
    <t>WST 4</t>
  </si>
  <si>
    <t>Dette BREEAM-området gjelder kun hvis den vurderte utbyggingen har et eget avfallshåndteringsområde, eller er &gt;500 m2.</t>
  </si>
  <si>
    <t>Har utbyggingen et betydelig område for varelevering og manøvrering?</t>
  </si>
  <si>
    <t>BREEAM-området vurderes ikke hvis utbyggingen ikke har et betydelig område for varelevering og manøvrering (en typisk ‘bakgårds‘-fasilitet vil ikke samsvare). Dette er sannsynligvis tilfellet for de fleste kontorutbygginger. I slike tilfeller filtreres dette området bort fra listen over relevante områder av revisorens regnearkverktøy.</t>
  </si>
  <si>
    <t>Har Høyskoler eller Universitet svømmehall?</t>
  </si>
  <si>
    <t>For utbygginger hvor leietakers eller sluttbrukers funksjon ikke er kjent, og det ikke er behov for kjølelager for mat, trenger man ikke vurdere dette området.</t>
  </si>
  <si>
    <t xml:space="preserve">Vurderingskriteriene for innredningsarbeider er stort sett de samme som for vurdering av et nybygg / en større rehabilitering. På enkelte kriterier vil gjelde ´bare for vurdering av innredningsarbeider´, blant annet Påvirkning fra byggeplass, Materialspesifikasjoner og Ansvarlig innkjøp (sourcing). Enkelte emner har samsvarsnotater og veiledninger som bare gjelder innredningsarbeider. Dessuten er det enkelte emner som ikke kan anvendes til vurdering av innredningsarbeider, blant annet arealbruk og økologi, gjenbruk av fasader og konstruksjon, resirkulerte tilslag og flomrisiko. </t>
  </si>
  <si>
    <t>Rulletrapp</t>
  </si>
  <si>
    <t>nei</t>
  </si>
  <si>
    <t>BREEAM-NOR nivåer</t>
  </si>
  <si>
    <t>% poeng oppnådd</t>
  </si>
  <si>
    <t xml:space="preserve">BREEAM-NOR </t>
  </si>
  <si>
    <t>BREEAM 2009, engelsk</t>
  </si>
  <si>
    <t>Pass</t>
  </si>
  <si>
    <r>
      <t>≥</t>
    </r>
    <r>
      <rPr>
        <sz val="12"/>
        <color theme="1"/>
        <rFont val="Arial"/>
        <family val="2"/>
      </rPr>
      <t>30</t>
    </r>
  </si>
  <si>
    <t>"alle med 1 poeng"</t>
  </si>
  <si>
    <t>Maksimalt</t>
  </si>
  <si>
    <t>Good</t>
  </si>
  <si>
    <r>
      <t>≥</t>
    </r>
    <r>
      <rPr>
        <sz val="12"/>
        <color theme="1"/>
        <rFont val="Arial"/>
        <family val="2"/>
      </rPr>
      <t>45</t>
    </r>
  </si>
  <si>
    <t>Kun for innredningsarbeider</t>
  </si>
  <si>
    <t>Original</t>
  </si>
  <si>
    <t>Very good</t>
  </si>
  <si>
    <r>
      <t>≥</t>
    </r>
    <r>
      <rPr>
        <sz val="12"/>
        <color theme="1"/>
        <rFont val="Arial"/>
        <family val="2"/>
      </rPr>
      <t>55</t>
    </r>
  </si>
  <si>
    <t>Excellent</t>
  </si>
  <si>
    <r>
      <t>≥</t>
    </r>
    <r>
      <rPr>
        <sz val="12"/>
        <color theme="1"/>
        <rFont val="Arial"/>
        <family val="2"/>
      </rPr>
      <t>70</t>
    </r>
  </si>
  <si>
    <t>Outstanding*</t>
  </si>
  <si>
    <r>
      <t>≥</t>
    </r>
    <r>
      <rPr>
        <sz val="12"/>
        <color theme="1"/>
        <rFont val="Arial"/>
        <family val="2"/>
      </rPr>
      <t>85</t>
    </r>
  </si>
  <si>
    <t>Ikke tilgjengelig</t>
  </si>
  <si>
    <t>Very Good</t>
  </si>
  <si>
    <t>Outstanding</t>
  </si>
  <si>
    <t>Minste antall poeng</t>
  </si>
  <si>
    <t>Teknisk driftsstart</t>
  </si>
  <si>
    <t>Materialspesifikasjon ( unngå miljøgifter)</t>
  </si>
  <si>
    <t>Høyfrekvent lys</t>
  </si>
  <si>
    <t>Brukerveileder</t>
  </si>
  <si>
    <t>Energieffektivisering</t>
  </si>
  <si>
    <t>Byggeplassen</t>
  </si>
  <si>
    <t/>
  </si>
  <si>
    <t>Oppgi størrelse på rehabilitering, m2</t>
  </si>
  <si>
    <t>Oppgi størrelse på nybygg, m2</t>
  </si>
  <si>
    <t>Ja</t>
  </si>
  <si>
    <t>Nei</t>
  </si>
  <si>
    <t>Hvordan oppnå BREEAM poeng</t>
  </si>
  <si>
    <t>Område for varelevering og manøvrering</t>
  </si>
  <si>
    <t>Uteanlegg på området</t>
  </si>
  <si>
    <t>Labiratorium</t>
  </si>
  <si>
    <t>Svømmehall</t>
  </si>
  <si>
    <t>Antreksskap i labiratorie</t>
  </si>
  <si>
    <t>Matlaging/servering/spiseområder/restauranter</t>
  </si>
  <si>
    <t>Bilvaskområde</t>
  </si>
  <si>
    <t>ja/nei</t>
  </si>
  <si>
    <t>krav</t>
  </si>
  <si>
    <t>%</t>
  </si>
  <si>
    <t>Poeng</t>
  </si>
  <si>
    <t>Oppnådd Preanalyse</t>
  </si>
  <si>
    <t>Sum</t>
  </si>
  <si>
    <t>Ene 23</t>
  </si>
  <si>
    <t>Man 3 - Inn 1</t>
  </si>
  <si>
    <t>Hea 1 - Inn 1</t>
  </si>
  <si>
    <t>Hea 9 - Inn 1</t>
  </si>
  <si>
    <t>Hea 14 - Inn 1</t>
  </si>
  <si>
    <t>Ene 5 - Inn 1</t>
  </si>
  <si>
    <t>Tra 3 - Inn 1</t>
  </si>
  <si>
    <t>Wat 2 - Inn 1</t>
  </si>
  <si>
    <t>Mat 5 - Inn 1</t>
  </si>
  <si>
    <t>Wst 1 - Inn 1</t>
  </si>
  <si>
    <t>Pol 4 - Inn 1</t>
  </si>
  <si>
    <t>Innovasjon - Dagslysdesign</t>
  </si>
  <si>
    <t>Innovasjon - Vannmåler</t>
  </si>
  <si>
    <t>Innovasjon - Forurensning i innemiljø</t>
  </si>
  <si>
    <t>Innovasjon -  Energiforsyning med lavt klimagassutslipp</t>
  </si>
  <si>
    <t>Innovasjon - Alternative transportformer</t>
  </si>
  <si>
    <t>Innovasjon - Ansvarlig innkjøp av materialer</t>
  </si>
  <si>
    <t>Innovasjon - Avfallshåndtering på byggeplass</t>
  </si>
  <si>
    <t>Innovasjon - Nox-utslipp fra varmekilde</t>
  </si>
  <si>
    <t>Forrurensning</t>
  </si>
  <si>
    <t>Endelige poeng</t>
  </si>
  <si>
    <t>Man</t>
  </si>
  <si>
    <t>Inn</t>
  </si>
  <si>
    <t>Ene</t>
  </si>
  <si>
    <t>Hea</t>
  </si>
  <si>
    <t>LE</t>
  </si>
  <si>
    <t>Tra</t>
  </si>
  <si>
    <t>Wat</t>
  </si>
  <si>
    <t>Mat</t>
  </si>
  <si>
    <t>Wst</t>
  </si>
  <si>
    <t>Pol</t>
  </si>
  <si>
    <t>Kan benytte samme dok. på alle bygg</t>
  </si>
  <si>
    <t>Konsekvens av valg</t>
  </si>
  <si>
    <t>Størresle på bygget, m2</t>
  </si>
  <si>
    <t>Størrelse på kontordel, m2</t>
  </si>
  <si>
    <t>Resultat</t>
  </si>
  <si>
    <t>Poeng fra manual</t>
  </si>
  <si>
    <t>Faste tabeller</t>
  </si>
  <si>
    <t>Tilgjengelig poeng fra tabell</t>
  </si>
  <si>
    <t>Valgt bygg</t>
  </si>
  <si>
    <t>Minuspoeng</t>
  </si>
  <si>
    <t>Et eget avfallshåndteringsområde</t>
  </si>
  <si>
    <t>Andre poeng gjelder ikke hvis driftsområdet i den vurderte bygningen ikke skal ha oppvarming. Dette området vil automatisk bli filtrert ut av vurderingen av revisors regnearkverktøy.</t>
  </si>
  <si>
    <t>Industribygg uten kontorområder</t>
  </si>
  <si>
    <t>Industribygg med et driftsområde uten oppvarming</t>
  </si>
  <si>
    <t>Oppvarmet kontorområde</t>
  </si>
  <si>
    <t>Hvis bygget som vurderes inneholder kontorarealer på totalt &lt;500 m2, behøver ikke dette BREEAM-området vurderes som et frittstående areal. Kriteriene for dette arealet er en del av BREEAM-område Hea 14 ‗Kontorareal’. Målet for Hea 14 er å anerkjenne relevante Helse og Inneklima-områder i bygg med mindre kontorarealer, og å sikre at arealene blir vektet relativt til byggets samlede proporsjoner og brukere som benytter denne typen areal.</t>
  </si>
  <si>
    <t>Kontor industri over 500 m2 kontor, må de over vurderes, og da IKKE HEA 14</t>
  </si>
  <si>
    <t>Kontor og industri med kontor under 500 m2, ikke de over men KUN HEA 14</t>
  </si>
  <si>
    <t>Ikke kontordel, IKKE HEA 14 heller</t>
  </si>
  <si>
    <t>Ingen kontorområder, eller over 500 m2</t>
  </si>
  <si>
    <t>Hvis bygget ikke inneholder noen kontorområder, eller over 500 m2 behøver ikke dette området vurderes, og regnearkverktøyet til BREEAM-revisoren vil filtrere det bort fra listen over relevante områder.</t>
  </si>
  <si>
    <t xml:space="preserve">Under 500, gjelder ikke HEA 2, HE A3, Hea 6, Hea 7, Hea 11 og Hea 13 for </t>
  </si>
  <si>
    <t xml:space="preserve">VAREHANDEL med kontorarealer &lt;500m2 </t>
  </si>
  <si>
    <t xml:space="preserve">Under 500, gjelder ikke HEA 2, HE A3, Hea 6, Hea 7, Hea 8, Hea 10, Hea 11 og Hea 13 </t>
  </si>
  <si>
    <t xml:space="preserve">INDUSTRI med kontorarealer &lt;500m2 </t>
  </si>
  <si>
    <t xml:space="preserve">Der en juridisk bindende leieavtale, som forplikter leietakerens innredning til å tilfredsstille gitte kriterier i BREEAM-NOR, fremlegges som bevis, kan den fulle verdien av tilgjengelige BREEAM-poeng, som dekkes av kriteriene, tildeles. </t>
  </si>
  <si>
    <t>Revisor vil sørge for at emnet ikke kommer til anvendelse for bygg uten avtrekksskap, ved å fjerne emnet i revisjonsrapporten.</t>
  </si>
  <si>
    <t>Ene 11,  Ene 19</t>
  </si>
  <si>
    <t>Dette emnet inngår ikke i klassifiseringen der bygget ikke inneholder svømmebasseng. Revisor vil filtrere bort emnet fra listen over relevante emner.</t>
  </si>
  <si>
    <t>Avtrekksskap i laboratoriet</t>
  </si>
  <si>
    <t>Dette BREEAM-området gjelder bare for varehandelsbygg (og utdanning??) &gt;500 m2.</t>
  </si>
  <si>
    <t>Er det bilvask på området?</t>
  </si>
  <si>
    <t>Er poenget tilgjengelig hvis varehandelen ikke har bilvasksystem? Foreløpig tas dette ut av regnearket.</t>
  </si>
  <si>
    <t>Har bygget installert kjølelager/behov for kjølelager for mat</t>
  </si>
  <si>
    <t>Industrienheter uten kontorer og driftsarealer uten klimaanlegg</t>
  </si>
  <si>
    <t>Dette området vil bli filtrert ut av vurderingsomfanget for industrienheter som har et driftsområde uten klimaanlegg («ubehandlet») og ingen kontorer, dvs. som ikke er utformet for å ha klimaanlegg.</t>
  </si>
  <si>
    <t>Dette området gjelder hvis det finnes en eller annen form for kuldemedium,</t>
  </si>
  <si>
    <t>Brukes det en eller annen form for kuldemedium i bygget</t>
  </si>
  <si>
    <t>Ikke vurdert</t>
  </si>
  <si>
    <t>Pol 3, (ENE 7??)</t>
  </si>
  <si>
    <t>Fryseri og kabinetter (behov for kjølelager for mat)</t>
  </si>
  <si>
    <t>Poeng originalt</t>
  </si>
  <si>
    <t>Tatt bort</t>
  </si>
  <si>
    <t>Tilgjengelige poeng</t>
  </si>
  <si>
    <t>Krav om grønne leieavtaler</t>
  </si>
  <si>
    <t>Tilgjengelige poeng originalt</t>
  </si>
  <si>
    <t>Faller bort</t>
  </si>
  <si>
    <t>MINSTEKRAV FRA MANUAL</t>
  </si>
  <si>
    <t>Laboratorium</t>
  </si>
  <si>
    <t>Laboratorium?</t>
  </si>
  <si>
    <t>Avtrekksskap i laboratorium</t>
  </si>
  <si>
    <t>Rådgivende ingeniør Bygg (RIB)</t>
  </si>
  <si>
    <t>Avstand til lokalt service- og tjenestetilbud</t>
  </si>
  <si>
    <t>Materialspesifikasjon</t>
  </si>
  <si>
    <t>Økologisk verdi og vern av økologi på stedet</t>
  </si>
  <si>
    <t>Redusere konsekvenser for eksisterende økologi</t>
  </si>
  <si>
    <t>Kuldemedium GWP – Kjølelager</t>
  </si>
  <si>
    <t>Entreprenørens retningslinjer for miljø og samfunnsansvar</t>
  </si>
  <si>
    <t>Påvirkning fra byggeplass</t>
  </si>
  <si>
    <t>Innovasjon - Påvirkning fra byggeplass</t>
  </si>
  <si>
    <t>Akkreditert Profesjonell (AP)</t>
  </si>
  <si>
    <t>Utsyn</t>
  </si>
  <si>
    <t>Kontorarealer</t>
  </si>
  <si>
    <t>Innovasjon - Kontorarealer</t>
  </si>
  <si>
    <t>Hvis det ikke er kontorareal i bygget, skriv 0</t>
  </si>
  <si>
    <t>Klimaanlegg (kjøling) på kontorområde</t>
  </si>
  <si>
    <t>Kjøling/klima</t>
  </si>
  <si>
    <t>Minstekrav tabell</t>
  </si>
  <si>
    <t>Minstekrav tilgjengelig</t>
  </si>
  <si>
    <t>VALG</t>
  </si>
  <si>
    <t>BREEAM  filtrering</t>
  </si>
  <si>
    <t>Poeng for mønstergyldig nivå - innovasjon</t>
  </si>
  <si>
    <t>2012 BREEAM NOR</t>
  </si>
  <si>
    <t>Potensial for naturlig ventilasjon</t>
  </si>
  <si>
    <t>Priskonsekvens ?</t>
  </si>
  <si>
    <t>Scenario 1</t>
  </si>
  <si>
    <t>Scenario 2</t>
  </si>
  <si>
    <t>Ansvarlig fag</t>
  </si>
  <si>
    <t>Antall bygninger</t>
  </si>
  <si>
    <t>.</t>
  </si>
  <si>
    <t>Byggtype</t>
  </si>
  <si>
    <t>Kunde/utvikler</t>
  </si>
  <si>
    <t>Preanalyse</t>
  </si>
  <si>
    <t>Innovasjonspoeng</t>
  </si>
  <si>
    <t>Minimum BREEAM standarder / Minstekrav</t>
  </si>
  <si>
    <t>Maks poeng tilgjengelig</t>
  </si>
  <si>
    <t>Uinnredet bygg</t>
  </si>
  <si>
    <t>Maks tilgjengelige poeng</t>
  </si>
  <si>
    <t>Bygningen skal varmes opp (ja er standard)?</t>
  </si>
  <si>
    <t>Høyere/lavere utdanning</t>
  </si>
  <si>
    <t>Høyere/laver utdanning. 1 gjelder vgs OG høyere, 2 gjelder KUN høyere</t>
  </si>
  <si>
    <t>Når Videregående og IKKE laboratorier - filtrere vekk 1 poeng</t>
  </si>
  <si>
    <t>Nybygg</t>
  </si>
  <si>
    <t>Tilbygg til eksisterende bygg</t>
  </si>
  <si>
    <t>Nybygg og/eller rehabilitering som er del av et større bygg med blandet bruk</t>
  </si>
  <si>
    <t>Innredningsarbeider</t>
  </si>
  <si>
    <t>Minimum må kontrolleres innen</t>
  </si>
  <si>
    <r>
      <t xml:space="preserve">De tre bokstaver og tall som identifiserer BREEAM kategorien og utstedelsesnummer innen den kategorien, henholdsvis for hver BREEAM miljøspørsmål oppført i BREEAM teknisk veiledning. For eksempel," Man 1" viser til den første saken innenfor Management kategorien.
</t>
    </r>
    <r>
      <rPr>
        <b/>
        <u/>
        <sz val="11"/>
        <rFont val="Calibri"/>
        <family val="2"/>
        <scheme val="minor"/>
      </rPr>
      <t>De ni BREEAM kategoriene er:</t>
    </r>
    <r>
      <rPr>
        <sz val="11"/>
        <rFont val="Calibri"/>
        <family val="2"/>
        <scheme val="minor"/>
      </rPr>
      <t xml:space="preserve">
</t>
    </r>
    <r>
      <rPr>
        <b/>
        <sz val="11"/>
        <rFont val="Calibri"/>
        <family val="2"/>
        <scheme val="minor"/>
      </rPr>
      <t>Man</t>
    </r>
    <r>
      <rPr>
        <sz val="11"/>
        <rFont val="Calibri"/>
        <family val="2"/>
        <scheme val="minor"/>
      </rPr>
      <t xml:space="preserve"> Management
</t>
    </r>
    <r>
      <rPr>
        <b/>
        <sz val="11"/>
        <rFont val="Calibri"/>
        <family val="2"/>
        <scheme val="minor"/>
      </rPr>
      <t>Hea</t>
    </r>
    <r>
      <rPr>
        <sz val="11"/>
        <rFont val="Calibri"/>
        <family val="2"/>
        <scheme val="minor"/>
      </rPr>
      <t xml:space="preserve"> Helse og velvære
</t>
    </r>
    <r>
      <rPr>
        <b/>
        <sz val="11"/>
        <rFont val="Calibri"/>
        <family val="2"/>
        <scheme val="minor"/>
      </rPr>
      <t>Ene</t>
    </r>
    <r>
      <rPr>
        <sz val="11"/>
        <rFont val="Calibri"/>
        <family val="2"/>
        <scheme val="minor"/>
      </rPr>
      <t xml:space="preserve"> Energi
</t>
    </r>
    <r>
      <rPr>
        <b/>
        <sz val="11"/>
        <rFont val="Calibri"/>
        <family val="2"/>
        <scheme val="minor"/>
      </rPr>
      <t>Tra</t>
    </r>
    <r>
      <rPr>
        <sz val="11"/>
        <rFont val="Calibri"/>
        <family val="2"/>
        <scheme val="minor"/>
      </rPr>
      <t xml:space="preserve"> Transport
</t>
    </r>
    <r>
      <rPr>
        <b/>
        <sz val="11"/>
        <rFont val="Calibri"/>
        <family val="2"/>
        <scheme val="minor"/>
      </rPr>
      <t>Wat</t>
    </r>
    <r>
      <rPr>
        <sz val="11"/>
        <rFont val="Calibri"/>
        <family val="2"/>
        <scheme val="minor"/>
      </rPr>
      <t xml:space="preserve"> Vann
</t>
    </r>
    <r>
      <rPr>
        <b/>
        <sz val="11"/>
        <rFont val="Calibri"/>
        <family val="2"/>
        <scheme val="minor"/>
      </rPr>
      <t>Mat</t>
    </r>
    <r>
      <rPr>
        <sz val="11"/>
        <rFont val="Calibri"/>
        <family val="2"/>
        <scheme val="minor"/>
      </rPr>
      <t xml:space="preserve"> Materialer
</t>
    </r>
    <r>
      <rPr>
        <b/>
        <sz val="11"/>
        <rFont val="Calibri"/>
        <family val="2"/>
        <scheme val="minor"/>
      </rPr>
      <t>Wst</t>
    </r>
    <r>
      <rPr>
        <sz val="11"/>
        <rFont val="Calibri"/>
        <family val="2"/>
        <scheme val="minor"/>
      </rPr>
      <t xml:space="preserve"> Avfall
</t>
    </r>
    <r>
      <rPr>
        <b/>
        <sz val="11"/>
        <rFont val="Calibri"/>
        <family val="2"/>
        <scheme val="minor"/>
      </rPr>
      <t>LE</t>
    </r>
    <r>
      <rPr>
        <sz val="11"/>
        <rFont val="Calibri"/>
        <family val="2"/>
        <scheme val="minor"/>
      </rPr>
      <t xml:space="preserve"> Arealbruk og økologi
</t>
    </r>
    <r>
      <rPr>
        <b/>
        <sz val="11"/>
        <rFont val="Calibri"/>
        <family val="2"/>
        <scheme val="minor"/>
      </rPr>
      <t>Pol</t>
    </r>
    <r>
      <rPr>
        <sz val="11"/>
        <rFont val="Calibri"/>
        <family val="2"/>
        <scheme val="minor"/>
      </rPr>
      <t xml:space="preserve"> Forurensning
</t>
    </r>
  </si>
  <si>
    <t>Versjon 1.2</t>
  </si>
  <si>
    <t>For industri: Hvis størrelse på kontordel = 0m2, forsvinner spørsmålet "Oppvarmet kontorområde - ja/nei"</t>
  </si>
  <si>
    <t>Design</t>
  </si>
  <si>
    <t>Design og ferdigstillelse</t>
  </si>
  <si>
    <t>Ferdigstillelse</t>
  </si>
  <si>
    <t>Versjon 1.2.1</t>
  </si>
  <si>
    <t>Versjon 1.2.2</t>
  </si>
  <si>
    <t>Rettet opp i tekst under instruksjoner</t>
  </si>
  <si>
    <t>Tatt bort Asplan Viak logo i alle faner</t>
  </si>
  <si>
    <t xml:space="preserve">Tilgjengelige BREEAM poeng tilpasses hver prosjekt
Temaene er filtrert basert på prosjektdetaljer, og de som ikke gjelder har 0 poeng tilgjengelig i skjemaet, samtidig som de er markert med grå bakgrunn.
</t>
  </si>
  <si>
    <t xml:space="preserve">Alle tema som gir muligheten til å øke BREEAM rangeringer og fremme beste praksis OG som er bedre enn BREEAM standard ytelsesnivåer,  er merket med "Inn 1" etter Tema ID (eks Hea 1 - Inn 1) for ekstrapoeng til HEA 1.
I områder hvor mønstergyldig nivå er oppnådd, legger regnearket på 1% score til prosjektets endelige BREEAM poeng.
Merk at maks tilgjengelig poeng for mønstergyldig nivå er 10. Selv om det er tilgjengelig mer enn 10 poeng for mønstergyldig nivå i skjemaet vil maks 10 poeng bli oppgitt i resultatet (overskuddspoeng filtreres automatisk bort).
</t>
  </si>
  <si>
    <t xml:space="preserve">Angir hvilket fagområde i prosjekteringsgruppen eller andre som er hovedansvarlig for å tilfredsstille BREEAM-kravet til dokumentasjon
</t>
  </si>
  <si>
    <t xml:space="preserve">Angir hvilket person i prosjekteringsgruppen eller andre som er hovedansvarlig for å tilfredsstille BREEAM-kravet til dokumentasjon
</t>
  </si>
  <si>
    <t xml:space="preserve">Angir det maksimale antall poeng tilgjengelig per miljøtema. Dette nummeret er spesifikt for den bygningen som er valgt gjennom filtrering.
</t>
  </si>
  <si>
    <t xml:space="preserve">Poeng fra Pre-Analysen og en eventuell kommentar. 
</t>
  </si>
  <si>
    <t xml:space="preserve">Tema ID og Inn 1
</t>
  </si>
  <si>
    <t xml:space="preserve">Er markert grønt hvis det er krav om grønne leieavtaler
</t>
  </si>
  <si>
    <t>Design/ferdigstillelse "dropdown" i prosjektdetaljer</t>
  </si>
  <si>
    <t>Hvordan bruke pre-analyseverktøyet</t>
  </si>
  <si>
    <t xml:space="preserve">BREEAM temaene som kreves som et minimum for å oppnå en bestemt BREEAM rating, er markert i oransje.  Under arkbladet "Pre-analyse" kan rating velges for å vise aktuelle minstekrav.
</t>
  </si>
  <si>
    <t xml:space="preserve">Scenario 1: Alternativ strategi for BREEAM Score
</t>
  </si>
  <si>
    <t xml:space="preserve">Scenario 2: Alternativ strategi for BREEAM Score
</t>
  </si>
  <si>
    <t>Klimaanlegg (kjøling) på driftsområde</t>
  </si>
  <si>
    <t>Hvis "ja", og man må velge, alle med 0 i kolonne UI, GL/GV  forandrer poeng</t>
  </si>
  <si>
    <t>Uinnredet bygg eller nybygg hvor bruker/leier er ukjent</t>
  </si>
  <si>
    <t>Bygg (laboratorium) uten avtrekksskap</t>
  </si>
  <si>
    <t>Minstekrav oppnåd fra Preanalyse</t>
  </si>
  <si>
    <t>Minstekrav oppnåd fra Scenario 1</t>
  </si>
  <si>
    <t>Minstekrav oppnåd fra Scenario 2</t>
  </si>
  <si>
    <t>Oppdatert minstekrav for man 3, Outstanding, til 1 poeng</t>
  </si>
  <si>
    <t>KUN INNREDNING</t>
  </si>
  <si>
    <t>Ansvarlig person</t>
  </si>
  <si>
    <t>Innredningsarbeider fungerer, ny vekting og en del krav filtreres bort</t>
  </si>
  <si>
    <t>Sjekket tilgjengelige poeng mot BREEAM-NOR manual ver.1.0 (2012)</t>
  </si>
  <si>
    <t>PRE-ANALYSE VERKTØY</t>
  </si>
  <si>
    <t>Minstekrav for</t>
  </si>
  <si>
    <t>Utviklet for NGBC av Asplan Viak i samarbeid med Steen &amp; Strøm</t>
  </si>
  <si>
    <t>Versjon 1.2.3</t>
  </si>
  <si>
    <t>Tilpasset logoer</t>
  </si>
  <si>
    <t>Logg</t>
  </si>
  <si>
    <t>Revisjonslogg</t>
  </si>
  <si>
    <t>Versjon 1.2.4</t>
  </si>
  <si>
    <t>Ta bort for vgs og høyere utdanning. Altså KUN barneskole/ungd.skole</t>
  </si>
  <si>
    <t>Hea 8 erstattes med Hea 14. Hea 14 har ikke minimumskrav.</t>
  </si>
  <si>
    <t>Størrelse kontor</t>
  </si>
  <si>
    <t>Gjelder HEA 8?</t>
  </si>
  <si>
    <t>Tatt bort minstekrav for HEA 8 hvis industri med kontorområde mindre enn 500 m2</t>
  </si>
  <si>
    <t>Versjon 1.2.5</t>
  </si>
  <si>
    <t>Høyere utdanning (høgskole/universitet)</t>
  </si>
  <si>
    <t>Dato for utfylt pre-analyse</t>
  </si>
  <si>
    <t>Størrelse på prosjekt (BRA) - (fyll også ut celle K18)</t>
  </si>
  <si>
    <t>Prosjektdetaljer - brukes ikke til filtrering av poeng</t>
  </si>
  <si>
    <t>Bygningsprofil - informasjon - brukes til filtrering av poeng</t>
  </si>
  <si>
    <t>Størrelse på prosjekt (BRA - m2)</t>
  </si>
  <si>
    <t>Lagt til dato for pre-analyse og ferdigstillelse i prosjektdetaljer</t>
  </si>
  <si>
    <t>Anslagsvise kostnader</t>
  </si>
  <si>
    <t>Versjon 1.2.6</t>
  </si>
  <si>
    <t>Lagt til kostnadskolonner etter scenario 1 og 2</t>
  </si>
  <si>
    <t>Byggtype (skriv her, og velg i celle K6)</t>
  </si>
  <si>
    <t>Kravet gjelder ikke, det er 0 poeng tilgjengelig. Hvis du vil ha disse bort fra verktøyet velger du sortering i "Tilgjengelige poeng" , og tar av krysset for 0 poeng</t>
  </si>
  <si>
    <t>Versjon 1.2.7</t>
  </si>
  <si>
    <t>Versjon 1.2.8</t>
  </si>
  <si>
    <t>Omfatter emne</t>
  </si>
  <si>
    <t>"Krav om grønne leieavtaler, celle AA7 "Pre-Analyse" forsvinner hvis ikke relevant</t>
  </si>
  <si>
    <t>Grønne leieavtaler/veileder/sammarbeid</t>
  </si>
  <si>
    <t>Hea 2, Hea 3, Hea 6, Hea 7, Hea 11, Hea 13, Hea 14</t>
  </si>
  <si>
    <t>Hea 2, Hea 3, Hea 6, Hea 7, Hea 8, Hea 10, Hea 11, Hea 13, Hea 14</t>
  </si>
  <si>
    <t>Ene 7, Pol 3</t>
  </si>
  <si>
    <t>Ene 11, Ene 19</t>
  </si>
  <si>
    <t>Laget tabell over omfattet område under "Prosjektdetaljer"</t>
  </si>
  <si>
    <t>Nr</t>
  </si>
  <si>
    <t>Versjon 1.2.9</t>
  </si>
  <si>
    <t>Lagt til nr sortering på "Pre-analyse" arket</t>
  </si>
  <si>
    <t>Endret logo til NGBC</t>
  </si>
  <si>
    <t>Kap</t>
  </si>
  <si>
    <t>Med hensyn til minstekrav</t>
  </si>
  <si>
    <t>SUM</t>
  </si>
  <si>
    <t>Fail</t>
  </si>
  <si>
    <t>Totalt</t>
  </si>
  <si>
    <t>Kategori</t>
  </si>
  <si>
    <t>Nr bare minstekrav</t>
  </si>
  <si>
    <t>Nr poeng</t>
  </si>
  <si>
    <t>Valgt nr</t>
  </si>
  <si>
    <t>Gjeldende Kategori</t>
  </si>
  <si>
    <t>Uten hensyn til minstekrav, basert på sum</t>
  </si>
  <si>
    <t>Oppnådd BREEAM-klassifisering i raden "med hensyn til minstekrav" er den gjeldende klassifiseringen for prosjektet. Denne tar hensyn til hvilke minstekrav som er oppnådd i 
pre-analysen. 
Raden "uten hensyn til minstekrav" viser hva som er mulig å nå utifra poengstatus. Hvis denne viser en kategori som er høyere enn raden under, kan tabellene til venste brukes til å finne hvilke minstekrav som ikke er oppnådd.</t>
  </si>
  <si>
    <t>Endret sortering på "Pre-analyse" arket</t>
  </si>
  <si>
    <t>Lagt til oppnådd BREEAM klassifisering med og uten hensyn til minstekrav under "Resultat"</t>
  </si>
  <si>
    <t>Versjon 1.3</t>
  </si>
  <si>
    <t>HVORDAN BRUKE PRE-ANALYSEVERKTØYET</t>
  </si>
  <si>
    <t>FORKLARING TIL TABELLENE: ORD OG UTTRYKK</t>
  </si>
  <si>
    <t>PROSJEKTDETALJER OG BYGNINGSPROFIL</t>
  </si>
  <si>
    <t>RESULTATER</t>
  </si>
  <si>
    <t>Forandret ark-overskrifter</t>
  </si>
  <si>
    <t>Sortering</t>
  </si>
  <si>
    <t>Versjon 1.3.1</t>
  </si>
  <si>
    <t>Sortering fungerer i pre-analyse tabellen</t>
  </si>
  <si>
    <t>Versjon 1.3.2</t>
  </si>
  <si>
    <t>Oppdatert vekting: Vann fra 4,5% til 5%. Materialer fra 14% til 13,5%</t>
  </si>
  <si>
    <t>Sørge for at HEA 14 inn følger HEA 14</t>
  </si>
  <si>
    <t>Versjon 1.4</t>
  </si>
  <si>
    <t>Versjon 1.5</t>
  </si>
  <si>
    <t>Videregående skole</t>
  </si>
  <si>
    <t>Grunnskole</t>
  </si>
  <si>
    <t>Barnehage</t>
  </si>
  <si>
    <t>Ta bort for  barneskole/ungd.skole altså KUN vgs og høyere utdanning.</t>
  </si>
  <si>
    <t>Versjon 1.6</t>
  </si>
  <si>
    <t>Lagt til åpne, redigerbare kolonner under Pre-Analyse arket</t>
  </si>
  <si>
    <t>Lagt til kommentarfelt under prosjektdetaljer og resultat</t>
  </si>
  <si>
    <t>Lagt til 2 redigerbane faner</t>
  </si>
  <si>
    <t>Versjon 1.7</t>
  </si>
  <si>
    <r>
      <rPr>
        <b/>
        <sz val="11"/>
        <rFont val="Calibri"/>
        <family val="2"/>
        <scheme val="minor"/>
      </rPr>
      <t>Ene 3</t>
    </r>
    <r>
      <rPr>
        <sz val="11"/>
        <rFont val="Calibri"/>
        <family val="2"/>
        <scheme val="minor"/>
      </rPr>
      <t xml:space="preserve"> - Gjelder nå ikke for barnehage og grunnskole.</t>
    </r>
  </si>
  <si>
    <r>
      <rPr>
        <b/>
        <sz val="11"/>
        <rFont val="Calibri"/>
        <family val="2"/>
        <scheme val="minor"/>
      </rPr>
      <t xml:space="preserve">Hea 14 </t>
    </r>
    <r>
      <rPr>
        <sz val="11"/>
        <rFont val="Calibri"/>
        <family val="2"/>
        <scheme val="minor"/>
      </rPr>
      <t>- Innovasjon er kun tilgjengelig når Hea 14 er tilgjengelig</t>
    </r>
  </si>
  <si>
    <r>
      <rPr>
        <b/>
        <sz val="11"/>
        <rFont val="Calibri"/>
        <family val="2"/>
        <scheme val="minor"/>
      </rPr>
      <t>ENE 7</t>
    </r>
    <r>
      <rPr>
        <sz val="11"/>
        <rFont val="Calibri"/>
        <family val="2"/>
        <scheme val="minor"/>
      </rPr>
      <t xml:space="preserve"> filtreres bort som tilgjengelig poeng hvis prosjektet ikke har fryseri og kabinetter (kjølelager for mat), i samsvar med</t>
    </r>
    <r>
      <rPr>
        <b/>
        <sz val="11"/>
        <rFont val="Calibri"/>
        <family val="2"/>
        <scheme val="minor"/>
      </rPr>
      <t xml:space="preserve"> POL3</t>
    </r>
  </si>
  <si>
    <r>
      <rPr>
        <b/>
        <sz val="11"/>
        <rFont val="Calibri"/>
        <family val="2"/>
        <scheme val="minor"/>
      </rPr>
      <t>ENE 11:</t>
    </r>
    <r>
      <rPr>
        <sz val="11"/>
        <rFont val="Calibri"/>
        <family val="2"/>
        <scheme val="minor"/>
      </rPr>
      <t xml:space="preserve"> Gjelder for videregående og høyere utdanning, filtreres bort for grunnskole og barneskole</t>
    </r>
  </si>
  <si>
    <r>
      <rPr>
        <b/>
        <sz val="11"/>
        <rFont val="Calibri"/>
        <family val="2"/>
        <scheme val="minor"/>
      </rPr>
      <t>ENE 19:</t>
    </r>
    <r>
      <rPr>
        <sz val="11"/>
        <rFont val="Calibri"/>
        <family val="2"/>
        <scheme val="minor"/>
      </rPr>
      <t xml:space="preserve"> Gjelder for høyere utdanning, filtreres bort for grunnskole, barneskole og videregående</t>
    </r>
  </si>
  <si>
    <r>
      <rPr>
        <b/>
        <sz val="11"/>
        <rFont val="Calibri"/>
        <family val="2"/>
        <scheme val="minor"/>
      </rPr>
      <t>ENE 11</t>
    </r>
    <r>
      <rPr>
        <sz val="11"/>
        <rFont val="Calibri"/>
        <family val="2"/>
        <scheme val="minor"/>
      </rPr>
      <t xml:space="preserve"> Gjelder KUN for Skoler opp til og med videregående. Altså er det barnehager og/eller høyere utdanning filtreres dette bort</t>
    </r>
  </si>
  <si>
    <r>
      <rPr>
        <b/>
        <sz val="11"/>
        <rFont val="Calibri"/>
        <family val="2"/>
        <scheme val="minor"/>
      </rPr>
      <t>ENE 19:</t>
    </r>
    <r>
      <rPr>
        <sz val="11"/>
        <rFont val="Calibri"/>
        <family val="2"/>
        <scheme val="minor"/>
      </rPr>
      <t xml:space="preserve"> Gjelder kun for høyere utdanning, altså filtreres bort dersom det er lavere utdanning og/eller barnehage</t>
    </r>
  </si>
  <si>
    <r>
      <t>Rettet opp</t>
    </r>
    <r>
      <rPr>
        <b/>
        <sz val="11"/>
        <rFont val="Calibri"/>
        <family val="2"/>
        <scheme val="minor"/>
      </rPr>
      <t xml:space="preserve"> ENE 6</t>
    </r>
    <r>
      <rPr>
        <sz val="11"/>
        <rFont val="Calibri"/>
        <family val="2"/>
        <scheme val="minor"/>
      </rPr>
      <t>: Gjelder både videregående skoler, høyskoler og universitet</t>
    </r>
  </si>
  <si>
    <r>
      <t xml:space="preserve">Rettet opp </t>
    </r>
    <r>
      <rPr>
        <b/>
        <sz val="11"/>
        <rFont val="Calibri"/>
        <family val="2"/>
        <scheme val="minor"/>
      </rPr>
      <t>LE 7:</t>
    </r>
    <r>
      <rPr>
        <sz val="11"/>
        <rFont val="Calibri"/>
        <family val="2"/>
        <scheme val="minor"/>
      </rPr>
      <t xml:space="preserve"> Gjelder kun barnehage og grunnskole</t>
    </r>
  </si>
  <si>
    <r>
      <t xml:space="preserve">ENE 6 blir filtrert bort ved å velge «ikke varelevering», dvs tilsvarende </t>
    </r>
    <r>
      <rPr>
        <b/>
        <sz val="11"/>
        <rFont val="Calibri"/>
        <family val="2"/>
        <scheme val="minor"/>
      </rPr>
      <t xml:space="preserve">TRA 8. </t>
    </r>
  </si>
  <si>
    <r>
      <rPr>
        <b/>
        <sz val="11"/>
        <rFont val="Calibri"/>
        <family val="2"/>
        <scheme val="minor"/>
      </rPr>
      <t>ENE 19</t>
    </r>
    <r>
      <rPr>
        <sz val="11"/>
        <rFont val="Calibri"/>
        <family val="2"/>
        <scheme val="minor"/>
      </rPr>
      <t xml:space="preserve"> blir filtrert bort ved høyere utdanning uten avtrekksskap</t>
    </r>
  </si>
  <si>
    <r>
      <rPr>
        <b/>
        <sz val="11"/>
        <rFont val="Calibri"/>
        <family val="2"/>
        <scheme val="minor"/>
      </rPr>
      <t>HEA 5</t>
    </r>
    <r>
      <rPr>
        <sz val="11"/>
        <rFont val="Calibri"/>
        <family val="2"/>
        <scheme val="minor"/>
      </rPr>
      <t xml:space="preserve"> omfattes av "Grønne leieavtaler" ved uinnredet bygg</t>
    </r>
  </si>
  <si>
    <r>
      <rPr>
        <b/>
        <sz val="11"/>
        <rFont val="Calibri"/>
        <family val="2"/>
        <scheme val="minor"/>
      </rPr>
      <t>Wat 6</t>
    </r>
    <r>
      <rPr>
        <sz val="11"/>
        <rFont val="Calibri"/>
        <family val="2"/>
        <scheme val="minor"/>
      </rPr>
      <t xml:space="preserve"> - "Uteanlegg på området" tilgjengelig for industriprosjekter</t>
    </r>
  </si>
  <si>
    <r>
      <rPr>
        <b/>
        <sz val="11"/>
        <rFont val="Calibri"/>
        <family val="2"/>
        <scheme val="minor"/>
      </rPr>
      <t>Man 3 - Inn 1:</t>
    </r>
    <r>
      <rPr>
        <sz val="11"/>
        <rFont val="Calibri"/>
        <family val="2"/>
        <scheme val="minor"/>
      </rPr>
      <t xml:space="preserve"> ikke tilgjengelig ved kun innredningasarbeider</t>
    </r>
  </si>
  <si>
    <t>Versjon 1.8</t>
  </si>
  <si>
    <r>
      <t xml:space="preserve">Tra 4: </t>
    </r>
    <r>
      <rPr>
        <sz val="11"/>
        <rFont val="Calibri"/>
        <family val="2"/>
        <scheme val="minor"/>
      </rPr>
      <t>Tra 4 - Utdanning skal ha 2 tilgjengelige poeng, ref merknad 2 side 194 BREEMA-NOR manual 1.0</t>
    </r>
  </si>
  <si>
    <r>
      <rPr>
        <b/>
        <sz val="11"/>
        <rFont val="Calibri"/>
        <family val="2"/>
        <scheme val="minor"/>
      </rPr>
      <t>Man 3</t>
    </r>
    <r>
      <rPr>
        <sz val="11"/>
        <rFont val="Calibri"/>
        <family val="2"/>
        <scheme val="minor"/>
      </rPr>
      <t>: Kun 3 poeng tilgjengelig ved innredningsarbeider</t>
    </r>
  </si>
  <si>
    <r>
      <rPr>
        <b/>
        <sz val="11"/>
        <rFont val="Calibri"/>
        <family val="2"/>
        <scheme val="minor"/>
      </rPr>
      <t>Mat 5</t>
    </r>
    <r>
      <rPr>
        <sz val="11"/>
        <rFont val="Calibri"/>
        <family val="2"/>
        <scheme val="minor"/>
      </rPr>
      <t>: Kun 1 poeng tilgjengelig ved innredningsarbeider</t>
    </r>
  </si>
  <si>
    <r>
      <rPr>
        <b/>
        <sz val="11"/>
        <rFont val="Calibri"/>
        <family val="2"/>
        <scheme val="minor"/>
      </rPr>
      <t>Wst 5:</t>
    </r>
    <r>
      <rPr>
        <sz val="11"/>
        <rFont val="Calibri"/>
        <family val="2"/>
        <scheme val="minor"/>
      </rPr>
      <t xml:space="preserve"> Matlaging/servering/spiseområder er tilgjengelig for industribygg</t>
    </r>
  </si>
  <si>
    <t>Versjon 1.9</t>
  </si>
  <si>
    <t>Versjon 1.9.1</t>
  </si>
  <si>
    <r>
      <rPr>
        <b/>
        <sz val="11"/>
        <rFont val="Calibri"/>
        <family val="2"/>
        <scheme val="minor"/>
      </rPr>
      <t>Hea 13:</t>
    </r>
    <r>
      <rPr>
        <sz val="11"/>
        <rFont val="Calibri"/>
        <family val="2"/>
        <scheme val="minor"/>
      </rPr>
      <t xml:space="preserve"> Hea 13 - Industri har nå 2 poeng tilgjengelig (ved kontor over 500 m2) istedenfor 1 poeng. (Iht BREEAM-NOR v 1.1).
I arkbladet Pre-analyse er celler og rader åpnet for redigering.</t>
    </r>
  </si>
  <si>
    <t>Versjon 1.9.2</t>
  </si>
  <si>
    <r>
      <rPr>
        <b/>
        <sz val="11"/>
        <rFont val="Calibri"/>
        <family val="2"/>
        <scheme val="minor"/>
      </rPr>
      <t>Hea 13:</t>
    </r>
    <r>
      <rPr>
        <sz val="11"/>
        <rFont val="Calibri"/>
        <family val="2"/>
        <scheme val="minor"/>
      </rPr>
      <t xml:space="preserve"> Hea 13 - Industri har nå 1 poeng tilgjengelig (ved kontor over 500 m2), iht BREEAM-NOR v 1.1.</t>
    </r>
  </si>
  <si>
    <r>
      <t xml:space="preserve">dette pre-analyseverktøyet har blitt utviklet for å hjelpe alle som er involvert i BREEAM prosessen til å ha en klar idé om hvert trinn som skal gjennomføres for å oppnå best resultat i vurderingsprosessen, dvs. minst mulig miljøpåvirkning, lave investeringskostnader, lave livsløps kostnader og høyere BREEAM-rangeringer. 
Før du bruker regnearket trenger du å ha litt grunnleggende informasjon om bygningen som skal vurderes: 
- Type BREEAM skjema som bygningen vil bli vurdert etter (f.eks. utdanning, kontorer, varehandel, industri) 
- Bygningstype (f.eks. industriell enhet med ingen kontorer) 
- Brutto gulvareal av taksten prosjektet som skal klassifiseres (i m2) og gulvarealet om det er noen ombygginger 
- Hovedfunksjonensarealer og byggfunksjoner (f.eks. heiser, avtrekksskap, avfallshåndteringsområde) 
Denne informasjonen må legges inn under arkbladet prosjektdetaljer (regnearkets filtreringsvindu) for å inkludere i tabellen kun BREEAM miljøspørsmål som gjelder for den spesifikke utviklingen. 
Under prosjektdetaljer skrives opplysninger om prosjektet inn. Brukeren må velge de alternativene som gjelder for det spesifikke prosjektet. 
Filtreringssystemet forutsetter som standard at alle potensielle funksjoner / områder innenfor en bestemt bygningstype er inkludert. Derfor er det brukerens ansvar å fjerne funksjoner / områder som evt. ikke er aktuelle. 
Når alle valg har blitt valgt, vil regnearket filtrere alle relevante problemstillinger og beregne den spesifikke vekting for hvert gjeldende punkt. 
Det er åtte arkblader (TAB'er) i dette regnearket: 
Tab 1: Instruksjoner 
Tab 2: Ord og uttrykk brukt i tabellen 
Tab 3: Prosjektdetaljer (brukeren kan legge inn detaljer om konkret vurdering etter behov) 
Tab 4: Pre-analyse tabell
Tab 5: Resultater
Tab 6: Revisjonslogg
Tab 7: Redigerbar (åpen) 1
Tab 8: Redigerbar (åpen) 2
Merk: Pre-analyse verktøyet dekker de fleste, men ikke alle, BREEAM ordninger og bygningshistorie.
</t>
    </r>
    <r>
      <rPr>
        <b/>
        <sz val="11"/>
        <rFont val="Calibri"/>
        <family val="2"/>
        <scheme val="minor"/>
      </rPr>
      <t xml:space="preserve">Kontakt utgiver hvis det oppdages feil eller mangler.
</t>
    </r>
    <r>
      <rPr>
        <sz val="11"/>
        <rFont val="Calibri"/>
        <family val="2"/>
        <scheme val="minor"/>
      </rPr>
      <t xml:space="preserve">
</t>
    </r>
  </si>
  <si>
    <t xml:space="preserve">REVISJONSLOGG </t>
  </si>
  <si>
    <t>Versjon 1.9.3</t>
  </si>
  <si>
    <r>
      <rPr>
        <b/>
        <sz val="11"/>
        <rFont val="Calibri"/>
        <family val="2"/>
        <scheme val="minor"/>
      </rPr>
      <t>Ene 12:</t>
    </r>
    <r>
      <rPr>
        <sz val="11"/>
        <rFont val="Calibri"/>
        <family val="2"/>
        <scheme val="minor"/>
      </rPr>
      <t xml:space="preserve"> Ener 12 - Gjelder nå all type utdanning, iht BREEAM-NOR v 1.1.</t>
    </r>
  </si>
  <si>
    <t>Ta bort 1 poeng for universitet</t>
  </si>
  <si>
    <t>Versjon 1.9.4</t>
  </si>
  <si>
    <r>
      <rPr>
        <b/>
        <sz val="11"/>
        <rFont val="Calibri"/>
        <family val="2"/>
        <scheme val="minor"/>
      </rPr>
      <t>Wst 3:</t>
    </r>
    <r>
      <rPr>
        <sz val="11"/>
        <rFont val="Calibri"/>
        <family val="2"/>
        <scheme val="minor"/>
      </rPr>
      <t xml:space="preserve"> Utdanning, kun 1 poeng tilgjengelig for høyere utdanning.</t>
    </r>
  </si>
  <si>
    <t>Dato: 17.03.2016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</si>
</sst>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
  </numFmts>
  <fonts count="72" x14ac:knownFonts="1">
    <font>
      <sz val="11"/>
      <color theme="1"/>
      <name val="Calibri"/>
      <family val="2"/>
      <scheme val="minor"/>
    </font>
    <font>
      <sz val="10"/>
      <name val="Arial"/>
      <family val="2"/>
    </font>
    <font>
      <b/>
      <sz val="10"/>
      <name val="Arial"/>
      <family val="2"/>
    </font>
    <font>
      <b/>
      <sz val="9"/>
      <name val="Arial"/>
      <family val="2"/>
    </font>
    <font>
      <sz val="9"/>
      <name val="Arial"/>
      <family val="2"/>
    </font>
    <font>
      <sz val="9"/>
      <name val="Arial"/>
      <family val="2"/>
    </font>
    <font>
      <sz val="10"/>
      <name val="Arial"/>
      <family val="2"/>
    </font>
    <font>
      <sz val="10"/>
      <color indexed="12"/>
      <name val="Arial"/>
      <family val="2"/>
    </font>
    <font>
      <sz val="11"/>
      <name val="Arial"/>
      <family val="2"/>
    </font>
    <font>
      <sz val="11"/>
      <color theme="1"/>
      <name val="Calibri"/>
      <family val="2"/>
      <scheme val="minor"/>
    </font>
    <font>
      <b/>
      <sz val="10"/>
      <color indexed="12"/>
      <name val="Arial"/>
      <family val="2"/>
    </font>
    <font>
      <vertAlign val="subscript"/>
      <sz val="10"/>
      <name val="Arial"/>
      <family val="2"/>
    </font>
    <font>
      <sz val="10"/>
      <color theme="1"/>
      <name val="Calibri"/>
      <family val="2"/>
      <scheme val="minor"/>
    </font>
    <font>
      <sz val="10"/>
      <name val="Wingdings 2"/>
      <family val="1"/>
      <charset val="2"/>
    </font>
    <font>
      <b/>
      <sz val="10"/>
      <color indexed="55"/>
      <name val="Arial"/>
      <family val="2"/>
    </font>
    <font>
      <b/>
      <sz val="10"/>
      <color indexed="10"/>
      <name val="Arial"/>
      <family val="2"/>
    </font>
    <font>
      <b/>
      <vertAlign val="superscript"/>
      <sz val="10"/>
      <name val="Arial"/>
      <family val="2"/>
    </font>
    <font>
      <b/>
      <sz val="10"/>
      <color indexed="10"/>
      <name val="Wingdings 2"/>
      <family val="1"/>
      <charset val="2"/>
    </font>
    <font>
      <b/>
      <sz val="10"/>
      <name val="Wingdings 2"/>
      <family val="1"/>
      <charset val="2"/>
    </font>
    <font>
      <b/>
      <sz val="10"/>
      <color theme="1"/>
      <name val="Calibri"/>
      <family val="2"/>
      <scheme val="minor"/>
    </font>
    <font>
      <sz val="8"/>
      <name val="Verdana"/>
      <family val="2"/>
    </font>
    <font>
      <sz val="10"/>
      <color indexed="8"/>
      <name val="Calibri"/>
      <family val="2"/>
    </font>
    <font>
      <b/>
      <sz val="12"/>
      <name val="Arial"/>
      <family val="2"/>
    </font>
    <font>
      <sz val="11"/>
      <color rgb="FF006100"/>
      <name val="Calibri"/>
      <family val="2"/>
      <scheme val="minor"/>
    </font>
    <font>
      <b/>
      <sz val="11"/>
      <color theme="0"/>
      <name val="Calibri"/>
      <family val="2"/>
      <scheme val="minor"/>
    </font>
    <font>
      <sz val="10"/>
      <color theme="1"/>
      <name val="Arial"/>
      <family val="2"/>
    </font>
    <font>
      <b/>
      <sz val="11"/>
      <color theme="1"/>
      <name val="Calibri"/>
      <family val="2"/>
      <scheme val="minor"/>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0"/>
      <name val="Calibri"/>
      <family val="2"/>
      <scheme val="minor"/>
    </font>
    <font>
      <sz val="9"/>
      <color indexed="81"/>
      <name val="Tahoma"/>
      <family val="2"/>
    </font>
    <font>
      <b/>
      <sz val="9"/>
      <color indexed="81"/>
      <name val="Tahoma"/>
      <family val="2"/>
    </font>
    <font>
      <i/>
      <sz val="11"/>
      <color theme="1"/>
      <name val="Calibri"/>
      <family val="2"/>
      <scheme val="minor"/>
    </font>
    <font>
      <sz val="11"/>
      <color theme="1"/>
      <name val="Arial"/>
      <family val="2"/>
    </font>
    <font>
      <b/>
      <sz val="11"/>
      <color theme="0"/>
      <name val="Arial"/>
      <family val="2"/>
    </font>
    <font>
      <sz val="12"/>
      <color theme="1"/>
      <name val="Arial"/>
      <family val="2"/>
    </font>
    <font>
      <sz val="11"/>
      <color theme="0"/>
      <name val="Arial"/>
      <family val="2"/>
    </font>
    <font>
      <b/>
      <sz val="14"/>
      <color theme="0"/>
      <name val="Arial"/>
      <family val="2"/>
    </font>
    <font>
      <sz val="11"/>
      <name val="Calibri"/>
      <family val="2"/>
      <scheme val="minor"/>
    </font>
    <font>
      <b/>
      <sz val="11"/>
      <name val="Calibri"/>
      <family val="2"/>
      <scheme val="minor"/>
    </font>
    <font>
      <sz val="11"/>
      <color indexed="8"/>
      <name val="Calibri"/>
      <family val="2"/>
      <scheme val="minor"/>
    </font>
    <font>
      <sz val="11"/>
      <color rgb="FF000000"/>
      <name val="Calibri"/>
      <family val="2"/>
      <scheme val="minor"/>
    </font>
    <font>
      <sz val="11"/>
      <color indexed="23"/>
      <name val="Calibri"/>
      <family val="2"/>
      <scheme val="minor"/>
    </font>
    <font>
      <b/>
      <i/>
      <sz val="11"/>
      <color theme="1"/>
      <name val="Calibri"/>
      <family val="2"/>
      <scheme val="minor"/>
    </font>
    <font>
      <sz val="26"/>
      <color theme="1"/>
      <name val="Calibri"/>
      <family val="2"/>
      <scheme val="minor"/>
    </font>
    <font>
      <b/>
      <sz val="11"/>
      <name val="Arial"/>
      <family val="2"/>
    </font>
    <font>
      <sz val="11"/>
      <color theme="6" tint="0.59999389629810485"/>
      <name val="Calibri"/>
      <family val="2"/>
      <scheme val="minor"/>
    </font>
    <font>
      <b/>
      <u/>
      <sz val="11"/>
      <name val="Calibri"/>
      <family val="2"/>
      <scheme val="minor"/>
    </font>
    <font>
      <b/>
      <i/>
      <sz val="11"/>
      <name val="Calibri"/>
      <family val="2"/>
      <scheme val="minor"/>
    </font>
    <font>
      <b/>
      <sz val="12"/>
      <name val="Calibri"/>
      <family val="2"/>
      <scheme val="minor"/>
    </font>
    <font>
      <b/>
      <sz val="16"/>
      <color theme="0"/>
      <name val="Calibri"/>
      <family val="2"/>
      <scheme val="minor"/>
    </font>
    <font>
      <b/>
      <i/>
      <sz val="11"/>
      <color theme="0"/>
      <name val="Calibri"/>
      <family val="2"/>
      <scheme val="minor"/>
    </font>
    <font>
      <i/>
      <sz val="11"/>
      <color theme="6" tint="0.59999389629810485"/>
      <name val="Calibri"/>
      <family val="2"/>
      <scheme val="minor"/>
    </font>
    <font>
      <i/>
      <sz val="11"/>
      <color theme="0"/>
      <name val="Calibri"/>
      <family val="2"/>
      <scheme val="minor"/>
    </font>
    <font>
      <sz val="16"/>
      <color theme="0"/>
      <name val="Calibri"/>
      <family val="2"/>
      <scheme val="minor"/>
    </font>
  </fonts>
  <fills count="70">
    <fill>
      <patternFill patternType="none"/>
    </fill>
    <fill>
      <patternFill patternType="gray125"/>
    </fill>
    <fill>
      <patternFill patternType="solid">
        <fgColor indexed="58"/>
        <bgColor indexed="64"/>
      </patternFill>
    </fill>
    <fill>
      <patternFill patternType="solid">
        <fgColor indexed="9"/>
        <bgColor indexed="64"/>
      </patternFill>
    </fill>
    <fill>
      <patternFill patternType="solid">
        <fgColor indexed="50"/>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45"/>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1"/>
        <bgColor indexed="64"/>
      </patternFill>
    </fill>
    <fill>
      <patternFill patternType="solid">
        <fgColor indexed="63"/>
        <bgColor indexed="64"/>
      </patternFill>
    </fill>
    <fill>
      <patternFill patternType="solid">
        <fgColor indexed="10"/>
        <bgColor indexed="64"/>
      </patternFill>
    </fill>
    <fill>
      <patternFill patternType="solid">
        <fgColor indexed="52"/>
        <bgColor indexed="64"/>
      </patternFill>
    </fill>
    <fill>
      <patternFill patternType="solid">
        <fgColor indexed="23"/>
        <bgColor indexed="64"/>
      </patternFill>
    </fill>
    <fill>
      <patternFill patternType="solid">
        <fgColor indexed="48"/>
        <bgColor indexed="64"/>
      </patternFill>
    </fill>
    <fill>
      <patternFill patternType="solid">
        <fgColor indexed="14"/>
        <bgColor indexed="64"/>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theme="3" tint="0.59999389629810485"/>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theme="1"/>
        <bgColor indexed="64"/>
      </patternFill>
    </fill>
    <fill>
      <patternFill patternType="solid">
        <fgColor theme="3"/>
        <bgColor indexed="64"/>
      </patternFill>
    </fill>
    <fill>
      <patternFill patternType="solid">
        <fgColor theme="1" tint="0.49998474074526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000000"/>
        <bgColor indexed="64"/>
      </patternFill>
    </fill>
    <fill>
      <patternFill patternType="solid">
        <fgColor theme="6" tint="0.59999389629810485"/>
        <bgColor indexed="64"/>
      </patternFill>
    </fill>
    <fill>
      <patternFill patternType="solid">
        <fgColor rgb="FFFFFFFF"/>
        <bgColor indexed="64"/>
      </patternFill>
    </fill>
    <fill>
      <patternFill patternType="solid">
        <fgColor rgb="FF8DB4E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6"/>
        <bgColor indexed="64"/>
      </patternFill>
    </fill>
    <fill>
      <patternFill patternType="solid">
        <fgColor rgb="FF5EA84A"/>
        <bgColor indexed="64"/>
      </patternFill>
    </fill>
    <fill>
      <patternFill patternType="solid">
        <fgColor theme="0" tint="-0.499984740745262"/>
        <bgColor indexed="64"/>
      </patternFill>
    </fill>
    <fill>
      <patternFill patternType="solid">
        <fgColor theme="9"/>
        <bgColor indexed="64"/>
      </patternFill>
    </fill>
    <fill>
      <patternFill patternType="solid">
        <fgColor theme="3" tint="0.79998168889431442"/>
        <bgColor indexed="64"/>
      </patternFill>
    </fill>
  </fills>
  <borders count="136">
    <border>
      <left/>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style="medium">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Dashed">
        <color indexed="64"/>
      </left>
      <right style="mediumDashed">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style="mediumDashed">
        <color indexed="64"/>
      </left>
      <right style="mediumDashed">
        <color indexed="64"/>
      </right>
      <top/>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top/>
      <bottom style="mediumDashed">
        <color indexed="10"/>
      </bottom>
      <diagonal/>
    </border>
    <border>
      <left style="mediumDashed">
        <color indexed="64"/>
      </left>
      <right style="mediumDashed">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right style="thick">
        <color indexed="64"/>
      </right>
      <top/>
      <bottom style="thick">
        <color indexed="64"/>
      </bottom>
      <diagonal/>
    </border>
    <border>
      <left/>
      <right/>
      <top/>
      <bottom style="thick">
        <color indexed="64"/>
      </bottom>
      <diagonal/>
    </border>
    <border>
      <left style="thick">
        <color indexed="64"/>
      </left>
      <right/>
      <top/>
      <bottom style="thick">
        <color indexed="64"/>
      </bottom>
      <diagonal/>
    </border>
    <border>
      <left/>
      <right style="thick">
        <color indexed="64"/>
      </right>
      <top/>
      <bottom/>
      <diagonal/>
    </border>
    <border>
      <left style="thick">
        <color indexed="64"/>
      </left>
      <right/>
      <top/>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style="medium">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double">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theme="0"/>
      </left>
      <right/>
      <top style="medium">
        <color indexed="64"/>
      </top>
      <bottom/>
      <diagonal/>
    </border>
    <border>
      <left style="medium">
        <color theme="0"/>
      </left>
      <right style="medium">
        <color indexed="64"/>
      </right>
      <top/>
      <bottom style="medium">
        <color indexed="64"/>
      </bottom>
      <diagonal/>
    </border>
    <border>
      <left/>
      <right style="medium">
        <color theme="0"/>
      </right>
      <top style="medium">
        <color indexed="64"/>
      </top>
      <bottom/>
      <diagonal/>
    </border>
    <border>
      <left style="medium">
        <color indexed="64"/>
      </left>
      <right style="medium">
        <color theme="0"/>
      </right>
      <top/>
      <bottom style="medium">
        <color indexed="64"/>
      </bottom>
      <diagonal/>
    </border>
    <border>
      <left style="medium">
        <color theme="0"/>
      </left>
      <right style="medium">
        <color theme="0"/>
      </right>
      <top style="medium">
        <color indexed="64"/>
      </top>
      <bottom/>
      <diagonal/>
    </border>
    <border>
      <left style="medium">
        <color theme="0"/>
      </left>
      <right style="medium">
        <color theme="0"/>
      </right>
      <top/>
      <bottom style="medium">
        <color indexed="64"/>
      </bottom>
      <diagonal/>
    </border>
    <border>
      <left style="medium">
        <color theme="0"/>
      </left>
      <right/>
      <top/>
      <bottom style="medium">
        <color indexed="64"/>
      </bottom>
      <diagonal/>
    </border>
    <border>
      <left style="double">
        <color auto="1"/>
      </left>
      <right style="double">
        <color auto="1"/>
      </right>
      <top/>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style="medium">
        <color indexed="64"/>
      </left>
      <right/>
      <top style="thin">
        <color theme="0"/>
      </top>
      <bottom style="thin">
        <color theme="0"/>
      </bottom>
      <diagonal/>
    </border>
    <border>
      <left/>
      <right/>
      <top style="thin">
        <color theme="0"/>
      </top>
      <bottom style="thin">
        <color theme="0"/>
      </bottom>
      <diagonal/>
    </border>
    <border>
      <left style="double">
        <color indexed="64"/>
      </left>
      <right/>
      <top/>
      <bottom style="thin">
        <color theme="0"/>
      </bottom>
      <diagonal/>
    </border>
    <border>
      <left style="medium">
        <color indexed="64"/>
      </left>
      <right/>
      <top/>
      <bottom style="thin">
        <color indexed="64"/>
      </bottom>
      <diagonal/>
    </border>
  </borders>
  <cellStyleXfs count="68">
    <xf numFmtId="0" fontId="0" fillId="0" borderId="0"/>
    <xf numFmtId="9" fontId="9" fillId="0" borderId="0" applyFont="0" applyFill="0" applyBorder="0" applyAlignment="0" applyProtection="0"/>
    <xf numFmtId="0" fontId="23" fillId="21" borderId="0" applyNumberFormat="0" applyBorder="0" applyAlignment="0" applyProtection="0"/>
    <xf numFmtId="0" fontId="27" fillId="0" borderId="0"/>
    <xf numFmtId="0" fontId="29"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27" borderId="0" applyNumberFormat="0" applyBorder="0" applyAlignment="0" applyProtection="0"/>
    <xf numFmtId="0" fontId="29" fillId="30" borderId="0" applyNumberFormat="0" applyBorder="0" applyAlignment="0" applyProtection="0"/>
    <xf numFmtId="0" fontId="29" fillId="33" borderId="0" applyNumberFormat="0" applyBorder="0" applyAlignment="0" applyProtection="0"/>
    <xf numFmtId="0" fontId="30" fillId="34" borderId="0" applyNumberFormat="0" applyBorder="0" applyAlignment="0" applyProtection="0"/>
    <xf numFmtId="0" fontId="30" fillId="31" borderId="0" applyNumberFormat="0" applyBorder="0" applyAlignment="0" applyProtection="0"/>
    <xf numFmtId="0" fontId="30" fillId="32" borderId="0" applyNumberFormat="0" applyBorder="0" applyAlignment="0" applyProtection="0"/>
    <xf numFmtId="0" fontId="30" fillId="35" borderId="0" applyNumberFormat="0" applyBorder="0" applyAlignment="0" applyProtection="0"/>
    <xf numFmtId="0" fontId="30" fillId="36"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1" fillId="25" borderId="0" applyNumberFormat="0" applyBorder="0" applyAlignment="0" applyProtection="0"/>
    <xf numFmtId="0" fontId="32" fillId="42" borderId="82" applyNumberFormat="0" applyAlignment="0" applyProtection="0"/>
    <xf numFmtId="0" fontId="33" fillId="43" borderId="83" applyNumberFormat="0" applyAlignment="0" applyProtection="0"/>
    <xf numFmtId="0" fontId="34" fillId="0" borderId="0" applyNumberFormat="0" applyFill="0" applyBorder="0" applyAlignment="0" applyProtection="0"/>
    <xf numFmtId="0" fontId="35" fillId="26" borderId="0" applyNumberFormat="0" applyBorder="0" applyAlignment="0" applyProtection="0"/>
    <xf numFmtId="0" fontId="36" fillId="0" borderId="84" applyNumberFormat="0" applyFill="0" applyAlignment="0" applyProtection="0"/>
    <xf numFmtId="0" fontId="37" fillId="0" borderId="85" applyNumberFormat="0" applyFill="0" applyAlignment="0" applyProtection="0"/>
    <xf numFmtId="0" fontId="38" fillId="0" borderId="86" applyNumberFormat="0" applyFill="0" applyAlignment="0" applyProtection="0"/>
    <xf numFmtId="0" fontId="38" fillId="0" borderId="0" applyNumberForma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39" fillId="29" borderId="82" applyNumberFormat="0" applyAlignment="0" applyProtection="0"/>
    <xf numFmtId="0" fontId="40" fillId="0" borderId="87" applyNumberFormat="0" applyFill="0" applyAlignment="0" applyProtection="0"/>
    <xf numFmtId="0" fontId="4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27" fillId="45" borderId="88" applyNumberFormat="0" applyFont="0" applyAlignment="0" applyProtection="0"/>
    <xf numFmtId="0" fontId="42" fillId="42" borderId="89"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3" fillId="0" borderId="0" applyNumberFormat="0" applyFill="0" applyBorder="0" applyAlignment="0" applyProtection="0"/>
    <xf numFmtId="0" fontId="44" fillId="0" borderId="90" applyNumberFormat="0" applyFill="0" applyAlignment="0" applyProtection="0"/>
    <xf numFmtId="0" fontId="45" fillId="0" borderId="0" applyNumberFormat="0" applyFill="0" applyBorder="0" applyAlignment="0" applyProtection="0"/>
    <xf numFmtId="0" fontId="1" fillId="0" borderId="0"/>
    <xf numFmtId="0" fontId="1" fillId="45" borderId="8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312">
    <xf numFmtId="0" fontId="0" fillId="0" borderId="0" xfId="0"/>
    <xf numFmtId="0" fontId="5" fillId="6" borderId="10" xfId="0" applyFont="1" applyFill="1" applyBorder="1" applyProtection="1">
      <protection locked="0"/>
    </xf>
    <xf numFmtId="0" fontId="5" fillId="6" borderId="11" xfId="0" applyFont="1" applyFill="1" applyBorder="1" applyProtection="1">
      <protection locked="0"/>
    </xf>
    <xf numFmtId="0" fontId="5" fillId="3" borderId="0" xfId="0" applyFont="1" applyFill="1" applyBorder="1" applyAlignment="1" applyProtection="1">
      <alignment horizontal="left" vertical="center" wrapText="1"/>
      <protection locked="0"/>
    </xf>
    <xf numFmtId="0" fontId="2" fillId="0" borderId="37" xfId="0" applyFont="1" applyFill="1" applyBorder="1" applyAlignment="1" applyProtection="1">
      <alignment horizontal="center" vertical="center" wrapText="1"/>
      <protection locked="0"/>
    </xf>
    <xf numFmtId="0" fontId="12" fillId="3" borderId="0" xfId="0" applyFont="1" applyFill="1" applyAlignment="1" applyProtection="1">
      <protection locked="0"/>
    </xf>
    <xf numFmtId="0" fontId="12" fillId="3" borderId="0" xfId="0" applyFont="1" applyFill="1" applyProtection="1">
      <protection locked="0"/>
    </xf>
    <xf numFmtId="0" fontId="12" fillId="3" borderId="0" xfId="0" applyFont="1" applyFill="1" applyAlignment="1" applyProtection="1">
      <alignment horizontal="left" vertical="center"/>
      <protection locked="0"/>
    </xf>
    <xf numFmtId="0" fontId="12" fillId="3" borderId="0" xfId="0" applyFont="1" applyFill="1" applyBorder="1" applyAlignment="1" applyProtection="1">
      <alignment horizontal="center" vertical="center"/>
      <protection locked="0"/>
    </xf>
    <xf numFmtId="0" fontId="12" fillId="3" borderId="0" xfId="0" applyFont="1" applyFill="1" applyBorder="1" applyAlignment="1" applyProtection="1">
      <alignment horizontal="left" vertical="center"/>
      <protection locked="0"/>
    </xf>
    <xf numFmtId="0" fontId="12" fillId="0" borderId="0" xfId="0" applyFont="1" applyProtection="1">
      <protection locked="0"/>
    </xf>
    <xf numFmtId="0" fontId="7" fillId="3" borderId="0" xfId="0" applyFont="1" applyFill="1" applyAlignment="1" applyProtection="1">
      <alignment horizontal="left" vertical="center"/>
      <protection locked="0"/>
    </xf>
    <xf numFmtId="0" fontId="13" fillId="3" borderId="0" xfId="0" applyFont="1" applyFill="1" applyBorder="1" applyAlignment="1" applyProtection="1">
      <alignment horizontal="center" vertical="center"/>
      <protection locked="0"/>
    </xf>
    <xf numFmtId="0" fontId="12" fillId="3" borderId="0" xfId="0" applyFont="1" applyFill="1" applyBorder="1" applyAlignment="1" applyProtection="1">
      <alignment vertical="center" wrapText="1"/>
      <protection locked="0"/>
    </xf>
    <xf numFmtId="0" fontId="12" fillId="0" borderId="0" xfId="0" applyFont="1" applyFill="1" applyProtection="1">
      <protection locked="0"/>
    </xf>
    <xf numFmtId="0" fontId="7" fillId="3" borderId="0" xfId="0" applyFont="1" applyFill="1" applyBorder="1" applyAlignment="1" applyProtection="1">
      <alignment horizontal="left" vertical="center"/>
      <protection locked="0"/>
    </xf>
    <xf numFmtId="0" fontId="7" fillId="3" borderId="0" xfId="0" applyFont="1" applyFill="1" applyBorder="1" applyAlignment="1" applyProtection="1">
      <alignment horizontal="center" vertical="center"/>
      <protection locked="0"/>
    </xf>
    <xf numFmtId="0" fontId="7" fillId="3" borderId="0" xfId="0" applyFont="1" applyFill="1" applyBorder="1" applyProtection="1">
      <protection locked="0"/>
    </xf>
    <xf numFmtId="0" fontId="7" fillId="3" borderId="0" xfId="0" applyFont="1" applyFill="1" applyBorder="1" applyAlignment="1" applyProtection="1">
      <alignment vertical="center"/>
      <protection locked="0"/>
    </xf>
    <xf numFmtId="0" fontId="1" fillId="3" borderId="0" xfId="0" applyFont="1" applyFill="1" applyBorder="1" applyAlignment="1" applyProtection="1">
      <alignment vertical="justify"/>
      <protection locked="0"/>
    </xf>
    <xf numFmtId="0" fontId="12" fillId="3" borderId="0" xfId="0" applyFont="1" applyFill="1" applyBorder="1" applyAlignment="1" applyProtection="1">
      <alignment vertical="center"/>
      <protection locked="0"/>
    </xf>
    <xf numFmtId="0" fontId="2" fillId="3" borderId="0" xfId="0" applyFont="1" applyFill="1" applyBorder="1" applyAlignment="1" applyProtection="1">
      <alignment horizontal="center" vertical="center"/>
      <protection locked="0"/>
    </xf>
    <xf numFmtId="0" fontId="12" fillId="3" borderId="0" xfId="0" applyFont="1" applyFill="1" applyBorder="1" applyAlignment="1" applyProtection="1">
      <protection locked="0"/>
    </xf>
    <xf numFmtId="0" fontId="12" fillId="3" borderId="0" xfId="0" applyFont="1" applyFill="1" applyBorder="1" applyProtection="1">
      <protection locked="0"/>
    </xf>
    <xf numFmtId="0" fontId="1" fillId="3" borderId="0" xfId="0" applyFont="1" applyFill="1" applyBorder="1" applyAlignment="1" applyProtection="1">
      <alignment wrapText="1"/>
      <protection locked="0"/>
    </xf>
    <xf numFmtId="0" fontId="7" fillId="3" borderId="0" xfId="0" applyFont="1" applyFill="1" applyBorder="1" applyAlignment="1" applyProtection="1">
      <alignment horizontal="center" vertical="center" wrapText="1"/>
      <protection locked="0"/>
    </xf>
    <xf numFmtId="0" fontId="12" fillId="3" borderId="0" xfId="0" applyFont="1" applyFill="1" applyBorder="1" applyAlignment="1" applyProtection="1">
      <alignment wrapText="1"/>
      <protection locked="0"/>
    </xf>
    <xf numFmtId="0" fontId="14" fillId="3" borderId="0" xfId="0" applyFont="1" applyFill="1" applyBorder="1" applyAlignment="1" applyProtection="1">
      <alignment horizontal="center" vertical="center"/>
      <protection locked="0"/>
    </xf>
    <xf numFmtId="0" fontId="12" fillId="3" borderId="0" xfId="0" applyFont="1" applyFill="1" applyBorder="1" applyAlignment="1" applyProtection="1">
      <alignment horizontal="center"/>
      <protection locked="0"/>
    </xf>
    <xf numFmtId="0" fontId="2" fillId="3" borderId="0" xfId="0" applyFont="1" applyFill="1" applyBorder="1" applyAlignment="1" applyProtection="1">
      <alignment horizontal="center" vertical="center" textRotation="90" wrapText="1"/>
      <protection locked="0"/>
    </xf>
    <xf numFmtId="0" fontId="12" fillId="0" borderId="0" xfId="0" applyFont="1" applyFill="1" applyBorder="1" applyProtection="1">
      <protection locked="0"/>
    </xf>
    <xf numFmtId="0" fontId="14" fillId="3" borderId="0" xfId="0" applyFont="1" applyFill="1" applyBorder="1" applyAlignment="1" applyProtection="1">
      <alignment horizontal="center" vertical="center" wrapText="1"/>
      <protection locked="0"/>
    </xf>
    <xf numFmtId="0" fontId="2" fillId="3" borderId="41" xfId="0" applyFont="1" applyFill="1" applyBorder="1" applyAlignment="1" applyProtection="1">
      <alignment horizontal="center" vertical="center" wrapText="1"/>
      <protection locked="0"/>
    </xf>
    <xf numFmtId="0" fontId="2" fillId="12" borderId="64" xfId="0" applyFont="1" applyFill="1" applyBorder="1" applyAlignment="1" applyProtection="1">
      <alignment horizontal="center" vertical="center" wrapText="1"/>
      <protection locked="0"/>
    </xf>
    <xf numFmtId="0" fontId="2" fillId="17" borderId="64" xfId="0" applyFont="1" applyFill="1" applyBorder="1" applyAlignment="1" applyProtection="1">
      <alignment horizontal="center" vertical="center"/>
      <protection locked="0"/>
    </xf>
    <xf numFmtId="0" fontId="12" fillId="3" borderId="0" xfId="0" applyFont="1" applyFill="1" applyAlignment="1" applyProtection="1">
      <alignment horizontal="center" vertical="center"/>
      <protection locked="0"/>
    </xf>
    <xf numFmtId="0" fontId="2" fillId="0" borderId="67" xfId="0" applyFont="1" applyFill="1" applyBorder="1" applyAlignment="1" applyProtection="1">
      <alignment horizontal="center" vertical="center" textRotation="90" wrapText="1"/>
      <protection locked="0"/>
    </xf>
    <xf numFmtId="0" fontId="2" fillId="0" borderId="66" xfId="0" applyFont="1" applyFill="1" applyBorder="1" applyAlignment="1" applyProtection="1">
      <alignment horizontal="center" vertical="center" textRotation="90" wrapText="1"/>
      <protection locked="0"/>
    </xf>
    <xf numFmtId="0" fontId="2" fillId="0" borderId="65" xfId="0" applyFont="1" applyFill="1" applyBorder="1" applyAlignment="1" applyProtection="1">
      <alignment horizontal="center" vertical="center" textRotation="90" wrapText="1"/>
      <protection locked="0"/>
    </xf>
    <xf numFmtId="0" fontId="12" fillId="3" borderId="0" xfId="0" applyFont="1" applyFill="1" applyAlignment="1" applyProtection="1">
      <alignment horizontal="center" vertical="center" textRotation="90"/>
      <protection locked="0"/>
    </xf>
    <xf numFmtId="0" fontId="12" fillId="0" borderId="0" xfId="0" applyFont="1" applyAlignment="1" applyProtection="1">
      <alignment horizontal="center" vertical="center"/>
      <protection locked="0"/>
    </xf>
    <xf numFmtId="0" fontId="2" fillId="12" borderId="0" xfId="0" applyFont="1" applyFill="1" applyAlignment="1" applyProtection="1">
      <alignment horizontal="left" vertical="center"/>
      <protection locked="0"/>
    </xf>
    <xf numFmtId="0" fontId="2" fillId="11" borderId="18" xfId="0" applyFont="1" applyFill="1" applyBorder="1" applyAlignment="1" applyProtection="1">
      <alignment horizontal="left" vertical="center"/>
      <protection locked="0"/>
    </xf>
    <xf numFmtId="0" fontId="2" fillId="11" borderId="0" xfId="0" applyFont="1" applyFill="1" applyBorder="1" applyAlignment="1" applyProtection="1">
      <alignment horizontal="left" vertical="center"/>
      <protection locked="0"/>
    </xf>
    <xf numFmtId="0" fontId="1" fillId="11" borderId="0" xfId="0" applyFont="1" applyFill="1" applyProtection="1">
      <protection locked="0"/>
    </xf>
    <xf numFmtId="0" fontId="12" fillId="11" borderId="18" xfId="0" applyFont="1" applyFill="1" applyBorder="1" applyAlignment="1" applyProtection="1">
      <alignment horizontal="center" vertical="center"/>
      <protection locked="0"/>
    </xf>
    <xf numFmtId="0" fontId="1" fillId="11" borderId="0" xfId="0" applyFont="1" applyFill="1" applyBorder="1" applyAlignment="1" applyProtection="1">
      <alignment horizontal="center"/>
      <protection locked="0"/>
    </xf>
    <xf numFmtId="0" fontId="2" fillId="10" borderId="18" xfId="0" applyFont="1" applyFill="1" applyBorder="1" applyAlignment="1" applyProtection="1">
      <alignment horizontal="left" vertical="center"/>
      <protection locked="0"/>
    </xf>
    <xf numFmtId="0" fontId="2" fillId="10" borderId="0" xfId="0" applyFont="1" applyFill="1" applyBorder="1" applyAlignment="1" applyProtection="1">
      <alignment horizontal="left" vertical="center"/>
      <protection locked="0"/>
    </xf>
    <xf numFmtId="0" fontId="12" fillId="10" borderId="18" xfId="0" applyFont="1" applyFill="1" applyBorder="1" applyAlignment="1" applyProtection="1">
      <alignment horizontal="center" vertical="center"/>
      <protection locked="0"/>
    </xf>
    <xf numFmtId="0" fontId="1" fillId="10" borderId="0" xfId="0" applyFont="1" applyFill="1" applyProtection="1">
      <protection locked="0"/>
    </xf>
    <xf numFmtId="0" fontId="2" fillId="4" borderId="18" xfId="0" applyFont="1" applyFill="1" applyBorder="1" applyAlignment="1" applyProtection="1">
      <alignment horizontal="left" vertical="center"/>
      <protection locked="0"/>
    </xf>
    <xf numFmtId="0" fontId="2" fillId="4" borderId="0" xfId="0" applyFont="1" applyFill="1" applyBorder="1" applyAlignment="1" applyProtection="1">
      <alignment horizontal="left" vertical="center"/>
      <protection locked="0"/>
    </xf>
    <xf numFmtId="0" fontId="12" fillId="4" borderId="18" xfId="0" applyFont="1" applyFill="1" applyBorder="1" applyAlignment="1" applyProtection="1">
      <alignment horizontal="center" vertical="center"/>
      <protection locked="0"/>
    </xf>
    <xf numFmtId="0" fontId="1" fillId="4" borderId="0" xfId="0" applyFont="1" applyFill="1" applyProtection="1">
      <protection locked="0"/>
    </xf>
    <xf numFmtId="0" fontId="2" fillId="9" borderId="18" xfId="0" applyFont="1" applyFill="1" applyBorder="1" applyAlignment="1" applyProtection="1">
      <alignment horizontal="left" vertical="center"/>
      <protection locked="0"/>
    </xf>
    <xf numFmtId="0" fontId="2" fillId="9" borderId="0" xfId="0" applyFont="1" applyFill="1" applyBorder="1" applyAlignment="1" applyProtection="1">
      <alignment horizontal="left" vertical="center"/>
      <protection locked="0"/>
    </xf>
    <xf numFmtId="0" fontId="12" fillId="9" borderId="18" xfId="0" applyFont="1" applyFill="1" applyBorder="1" applyAlignment="1" applyProtection="1">
      <alignment horizontal="center" vertical="center"/>
      <protection locked="0"/>
    </xf>
    <xf numFmtId="0" fontId="1" fillId="9" borderId="0" xfId="0" applyFont="1" applyFill="1" applyProtection="1">
      <protection locked="0"/>
    </xf>
    <xf numFmtId="0" fontId="2" fillId="8" borderId="18" xfId="0" applyFont="1" applyFill="1" applyBorder="1" applyAlignment="1" applyProtection="1">
      <alignment horizontal="left" vertical="center"/>
      <protection locked="0"/>
    </xf>
    <xf numFmtId="0" fontId="2" fillId="8" borderId="0" xfId="0" applyFont="1" applyFill="1" applyBorder="1" applyAlignment="1" applyProtection="1">
      <alignment horizontal="left" vertical="center"/>
      <protection locked="0"/>
    </xf>
    <xf numFmtId="0" fontId="12" fillId="8" borderId="18" xfId="0" applyFont="1" applyFill="1" applyBorder="1" applyAlignment="1" applyProtection="1">
      <alignment horizontal="center" vertical="center"/>
      <protection locked="0"/>
    </xf>
    <xf numFmtId="0" fontId="1" fillId="8" borderId="0" xfId="0" applyFont="1" applyFill="1" applyProtection="1">
      <protection locked="0"/>
    </xf>
    <xf numFmtId="0" fontId="12" fillId="0" borderId="0" xfId="0" applyFont="1" applyAlignment="1" applyProtection="1">
      <alignment vertical="distributed"/>
      <protection locked="0"/>
    </xf>
    <xf numFmtId="14" fontId="15" fillId="0" borderId="15" xfId="0" applyNumberFormat="1" applyFont="1" applyFill="1" applyBorder="1" applyAlignment="1" applyProtection="1">
      <alignment horizontal="center" vertical="center" wrapText="1"/>
      <protection locked="0"/>
    </xf>
    <xf numFmtId="0" fontId="2" fillId="5" borderId="64" xfId="0" applyFont="1" applyFill="1" applyBorder="1" applyAlignment="1" applyProtection="1">
      <alignment horizontal="center" vertical="center" wrapText="1"/>
      <protection locked="0"/>
    </xf>
    <xf numFmtId="0" fontId="2" fillId="12" borderId="14" xfId="0" applyFont="1" applyFill="1" applyBorder="1" applyAlignment="1" applyProtection="1">
      <alignment horizontal="center" vertical="center"/>
      <protection locked="0"/>
    </xf>
    <xf numFmtId="2" fontId="2" fillId="12" borderId="14" xfId="0" applyNumberFormat="1" applyFont="1" applyFill="1" applyBorder="1" applyAlignment="1" applyProtection="1">
      <alignment horizontal="center" vertical="center" wrapText="1"/>
      <protection locked="0"/>
    </xf>
    <xf numFmtId="0" fontId="2" fillId="12" borderId="0" xfId="0" applyFont="1" applyFill="1" applyAlignment="1" applyProtection="1">
      <alignment horizontal="center" vertical="center" wrapText="1"/>
      <protection locked="0"/>
    </xf>
    <xf numFmtId="2" fontId="2" fillId="12" borderId="5" xfId="0" applyNumberFormat="1" applyFont="1" applyFill="1" applyBorder="1" applyAlignment="1" applyProtection="1">
      <alignment horizontal="center" vertical="center" wrapText="1"/>
      <protection locked="0"/>
    </xf>
    <xf numFmtId="2" fontId="2" fillId="12" borderId="13" xfId="0" applyNumberFormat="1" applyFont="1" applyFill="1" applyBorder="1" applyAlignment="1" applyProtection="1">
      <alignment horizontal="center" vertical="center" wrapText="1"/>
      <protection locked="0"/>
    </xf>
    <xf numFmtId="0" fontId="2" fillId="11" borderId="14" xfId="0" applyFont="1" applyFill="1" applyBorder="1" applyAlignment="1" applyProtection="1">
      <alignment horizontal="center" vertical="center"/>
      <protection locked="0"/>
    </xf>
    <xf numFmtId="0" fontId="2" fillId="11" borderId="14" xfId="0" applyFont="1" applyFill="1" applyBorder="1" applyAlignment="1" applyProtection="1">
      <alignment horizontal="center" vertical="center" wrapText="1"/>
      <protection locked="0"/>
    </xf>
    <xf numFmtId="0" fontId="2" fillId="11" borderId="0" xfId="0" applyFont="1" applyFill="1" applyAlignment="1" applyProtection="1">
      <alignment horizontal="center" vertical="center" wrapText="1"/>
      <protection locked="0"/>
    </xf>
    <xf numFmtId="2" fontId="2" fillId="11" borderId="14" xfId="0" applyNumberFormat="1" applyFont="1" applyFill="1" applyBorder="1" applyAlignment="1" applyProtection="1">
      <alignment horizontal="center" vertical="center" wrapText="1"/>
      <protection locked="0"/>
    </xf>
    <xf numFmtId="0" fontId="2" fillId="11" borderId="0" xfId="0" applyFont="1" applyFill="1" applyBorder="1" applyAlignment="1" applyProtection="1">
      <alignment horizontal="center" vertical="center" wrapText="1"/>
      <protection locked="0"/>
    </xf>
    <xf numFmtId="0" fontId="2" fillId="10" borderId="14" xfId="0" applyFont="1" applyFill="1" applyBorder="1" applyAlignment="1" applyProtection="1">
      <alignment horizontal="center" vertical="center"/>
      <protection locked="0"/>
    </xf>
    <xf numFmtId="0" fontId="2" fillId="10" borderId="14" xfId="0" applyFont="1" applyFill="1" applyBorder="1" applyAlignment="1" applyProtection="1">
      <alignment horizontal="center" vertical="center" wrapText="1"/>
      <protection locked="0"/>
    </xf>
    <xf numFmtId="2" fontId="2" fillId="10" borderId="14" xfId="0" applyNumberFormat="1" applyFont="1" applyFill="1" applyBorder="1" applyAlignment="1" applyProtection="1">
      <alignment horizontal="center" vertical="center" wrapText="1"/>
      <protection locked="0"/>
    </xf>
    <xf numFmtId="0" fontId="2" fillId="4" borderId="14" xfId="0" applyFont="1" applyFill="1" applyBorder="1" applyAlignment="1" applyProtection="1">
      <alignment horizontal="center" vertical="center"/>
      <protection locked="0"/>
    </xf>
    <xf numFmtId="0" fontId="2" fillId="4" borderId="14" xfId="0" applyFont="1" applyFill="1" applyBorder="1" applyAlignment="1" applyProtection="1">
      <alignment horizontal="center" vertical="center" wrapText="1"/>
      <protection locked="0"/>
    </xf>
    <xf numFmtId="2" fontId="2" fillId="4" borderId="14" xfId="0" applyNumberFormat="1" applyFont="1" applyFill="1" applyBorder="1" applyAlignment="1" applyProtection="1">
      <alignment horizontal="center" vertical="center" wrapText="1"/>
      <protection locked="0"/>
    </xf>
    <xf numFmtId="0" fontId="2" fillId="9" borderId="14" xfId="0" applyFont="1" applyFill="1" applyBorder="1" applyAlignment="1" applyProtection="1">
      <alignment horizontal="center" vertical="center"/>
      <protection locked="0"/>
    </xf>
    <xf numFmtId="0" fontId="2" fillId="9" borderId="14" xfId="0" applyFont="1" applyFill="1" applyBorder="1" applyAlignment="1" applyProtection="1">
      <alignment horizontal="center" vertical="center" wrapText="1"/>
      <protection locked="0"/>
    </xf>
    <xf numFmtId="2" fontId="2" fillId="9" borderId="14" xfId="0" applyNumberFormat="1" applyFont="1" applyFill="1" applyBorder="1" applyAlignment="1" applyProtection="1">
      <alignment horizontal="center" vertical="center" wrapText="1"/>
      <protection locked="0"/>
    </xf>
    <xf numFmtId="0" fontId="2" fillId="4" borderId="0" xfId="0" applyFont="1" applyFill="1" applyBorder="1" applyAlignment="1" applyProtection="1">
      <alignment horizontal="center" vertical="center"/>
      <protection locked="0"/>
    </xf>
    <xf numFmtId="0" fontId="2" fillId="8" borderId="14" xfId="0" applyFont="1" applyFill="1" applyBorder="1" applyAlignment="1" applyProtection="1">
      <alignment horizontal="center" vertical="center"/>
      <protection locked="0"/>
    </xf>
    <xf numFmtId="0" fontId="2" fillId="8" borderId="14" xfId="0" applyFont="1" applyFill="1" applyBorder="1" applyAlignment="1" applyProtection="1">
      <alignment horizontal="center" vertical="center" wrapText="1"/>
      <protection locked="0"/>
    </xf>
    <xf numFmtId="2" fontId="2" fillId="8" borderId="14" xfId="0" applyNumberFormat="1" applyFont="1" applyFill="1" applyBorder="1" applyAlignment="1" applyProtection="1">
      <alignment horizontal="center" vertical="center" wrapText="1"/>
      <protection locked="0"/>
    </xf>
    <xf numFmtId="0" fontId="12" fillId="3" borderId="0" xfId="0" applyFont="1" applyFill="1" applyAlignment="1" applyProtection="1">
      <alignment vertical="distributed"/>
      <protection locked="0"/>
    </xf>
    <xf numFmtId="0" fontId="2" fillId="5" borderId="37" xfId="0" applyFont="1" applyFill="1" applyBorder="1" applyAlignment="1" applyProtection="1">
      <alignment horizontal="center" vertical="center" textRotation="90" wrapText="1"/>
      <protection locked="0"/>
    </xf>
    <xf numFmtId="0" fontId="2" fillId="0" borderId="0" xfId="0" applyFont="1" applyFill="1" applyBorder="1" applyAlignment="1" applyProtection="1">
      <alignment horizontal="center" vertical="distributed"/>
      <protection locked="0"/>
    </xf>
    <xf numFmtId="0" fontId="2" fillId="0" borderId="46" xfId="0" applyFont="1" applyFill="1" applyBorder="1" applyAlignment="1" applyProtection="1">
      <alignment horizontal="center" vertical="distributed"/>
      <protection locked="0"/>
    </xf>
    <xf numFmtId="0" fontId="2" fillId="5" borderId="49" xfId="0" applyFont="1" applyFill="1" applyBorder="1" applyAlignment="1" applyProtection="1">
      <alignment horizontal="center" vertical="center" wrapText="1"/>
      <protection locked="0"/>
    </xf>
    <xf numFmtId="0" fontId="2" fillId="5" borderId="0" xfId="0" applyFont="1" applyFill="1" applyBorder="1" applyAlignment="1" applyProtection="1">
      <alignment horizontal="center" vertical="center" wrapText="1"/>
      <protection locked="0"/>
    </xf>
    <xf numFmtId="0" fontId="12" fillId="12" borderId="14" xfId="0" applyFont="1" applyFill="1" applyBorder="1" applyAlignment="1" applyProtection="1">
      <alignment horizontal="center" vertical="center"/>
      <protection locked="0"/>
    </xf>
    <xf numFmtId="0" fontId="12" fillId="12" borderId="5" xfId="0" applyFont="1" applyFill="1" applyBorder="1" applyAlignment="1" applyProtection="1">
      <alignment horizontal="center" vertical="center"/>
      <protection locked="0"/>
    </xf>
    <xf numFmtId="0" fontId="12" fillId="12" borderId="13" xfId="0" applyFont="1" applyFill="1" applyBorder="1" applyAlignment="1" applyProtection="1">
      <alignment horizontal="center" vertical="center"/>
      <protection locked="0"/>
    </xf>
    <xf numFmtId="0" fontId="12" fillId="11" borderId="14" xfId="0" applyFont="1" applyFill="1" applyBorder="1" applyAlignment="1" applyProtection="1">
      <alignment horizontal="center" vertical="center"/>
      <protection locked="0"/>
    </xf>
    <xf numFmtId="0" fontId="1" fillId="11" borderId="14" xfId="0" applyFont="1" applyFill="1" applyBorder="1" applyAlignment="1" applyProtection="1">
      <alignment horizontal="center"/>
      <protection locked="0"/>
    </xf>
    <xf numFmtId="0" fontId="12" fillId="10" borderId="14" xfId="0" applyFont="1" applyFill="1" applyBorder="1" applyAlignment="1" applyProtection="1">
      <alignment horizontal="center" vertical="center"/>
      <protection locked="0"/>
    </xf>
    <xf numFmtId="0" fontId="12" fillId="4" borderId="14" xfId="0" applyFont="1" applyFill="1" applyBorder="1" applyAlignment="1" applyProtection="1">
      <alignment horizontal="center" vertical="center"/>
      <protection locked="0"/>
    </xf>
    <xf numFmtId="0" fontId="12" fillId="9" borderId="14" xfId="0" applyFont="1" applyFill="1" applyBorder="1" applyAlignment="1" applyProtection="1">
      <alignment horizontal="center" vertical="center"/>
      <protection locked="0"/>
    </xf>
    <xf numFmtId="0" fontId="12" fillId="4" borderId="0" xfId="0" applyFont="1" applyFill="1" applyBorder="1" applyAlignment="1" applyProtection="1">
      <alignment horizontal="center" vertical="center"/>
      <protection locked="0"/>
    </xf>
    <xf numFmtId="0" fontId="12" fillId="8" borderId="14" xfId="0" applyFont="1" applyFill="1" applyBorder="1" applyAlignment="1" applyProtection="1">
      <alignment horizontal="center" vertical="center"/>
      <protection locked="0"/>
    </xf>
    <xf numFmtId="0" fontId="1" fillId="11" borderId="14" xfId="0" applyFont="1" applyFill="1" applyBorder="1" applyAlignment="1" applyProtection="1">
      <alignment horizontal="right"/>
      <protection locked="0"/>
    </xf>
    <xf numFmtId="0" fontId="12" fillId="12" borderId="14" xfId="0" applyFont="1" applyFill="1" applyBorder="1" applyAlignment="1" applyProtection="1">
      <alignment horizontal="center" vertical="center" wrapText="1"/>
      <protection locked="0"/>
    </xf>
    <xf numFmtId="0" fontId="1" fillId="11" borderId="14" xfId="0" applyFont="1" applyFill="1" applyBorder="1" applyAlignment="1" applyProtection="1">
      <alignment vertical="top"/>
      <protection locked="0"/>
    </xf>
    <xf numFmtId="2" fontId="1" fillId="11" borderId="0" xfId="0" applyNumberFormat="1" applyFont="1" applyFill="1" applyBorder="1" applyAlignment="1" applyProtection="1">
      <alignment horizontal="center" vertical="center"/>
      <protection locked="0"/>
    </xf>
    <xf numFmtId="0" fontId="1" fillId="10" borderId="0" xfId="0" applyFont="1" applyFill="1" applyAlignment="1" applyProtection="1">
      <alignment vertical="top"/>
      <protection locked="0"/>
    </xf>
    <xf numFmtId="0" fontId="1" fillId="8" borderId="0" xfId="0" applyFont="1" applyFill="1" applyAlignment="1" applyProtection="1">
      <alignment vertical="top"/>
      <protection locked="0"/>
    </xf>
    <xf numFmtId="0" fontId="1" fillId="11" borderId="14" xfId="0" applyFont="1" applyFill="1" applyBorder="1" applyProtection="1">
      <protection locked="0"/>
    </xf>
    <xf numFmtId="0" fontId="1" fillId="11" borderId="14" xfId="0" applyFont="1" applyFill="1" applyBorder="1" applyAlignment="1" applyProtection="1">
      <alignment vertical="center"/>
      <protection locked="0"/>
    </xf>
    <xf numFmtId="0" fontId="1" fillId="10" borderId="0" xfId="0" applyFont="1" applyFill="1" applyAlignment="1" applyProtection="1">
      <alignment vertical="center"/>
      <protection locked="0"/>
    </xf>
    <xf numFmtId="0" fontId="1" fillId="8" borderId="0" xfId="0" applyFont="1" applyFill="1" applyAlignment="1" applyProtection="1">
      <alignment vertical="center"/>
      <protection locked="0"/>
    </xf>
    <xf numFmtId="2" fontId="1" fillId="11" borderId="0" xfId="0" applyNumberFormat="1" applyFont="1" applyFill="1" applyBorder="1" applyAlignment="1" applyProtection="1">
      <alignment horizontal="center"/>
      <protection locked="0"/>
    </xf>
    <xf numFmtId="0" fontId="12" fillId="0" borderId="36" xfId="0" applyFont="1" applyBorder="1" applyAlignment="1" applyProtection="1">
      <alignment horizontal="center"/>
      <protection locked="0"/>
    </xf>
    <xf numFmtId="0" fontId="12" fillId="0" borderId="37" xfId="0" applyFont="1" applyBorder="1" applyAlignment="1" applyProtection="1">
      <alignment horizontal="center"/>
      <protection locked="0"/>
    </xf>
    <xf numFmtId="0" fontId="12" fillId="0" borderId="0" xfId="0" applyFont="1" applyBorder="1" applyProtection="1">
      <protection locked="0"/>
    </xf>
    <xf numFmtId="0" fontId="12" fillId="0" borderId="60" xfId="0" applyFont="1" applyBorder="1" applyProtection="1">
      <protection locked="0"/>
    </xf>
    <xf numFmtId="0" fontId="12" fillId="12" borderId="20" xfId="0" applyFont="1" applyFill="1" applyBorder="1" applyAlignment="1" applyProtection="1">
      <alignment horizontal="center" vertical="center"/>
      <protection locked="0"/>
    </xf>
    <xf numFmtId="0" fontId="12" fillId="12" borderId="14" xfId="0" applyFont="1" applyFill="1" applyBorder="1" applyAlignment="1" applyProtection="1">
      <alignment horizontal="center"/>
      <protection locked="0"/>
    </xf>
    <xf numFmtId="0" fontId="12" fillId="12" borderId="7" xfId="0" applyFont="1" applyFill="1" applyBorder="1" applyAlignment="1" applyProtection="1">
      <alignment horizontal="center" vertical="center"/>
      <protection locked="0"/>
    </xf>
    <xf numFmtId="0" fontId="12" fillId="11" borderId="14" xfId="0" applyFont="1" applyFill="1" applyBorder="1" applyAlignment="1" applyProtection="1">
      <alignment horizontal="center"/>
      <protection locked="0"/>
    </xf>
    <xf numFmtId="0" fontId="12" fillId="10" borderId="14" xfId="0" applyFont="1" applyFill="1" applyBorder="1" applyAlignment="1" applyProtection="1">
      <alignment horizontal="center"/>
      <protection locked="0"/>
    </xf>
    <xf numFmtId="0" fontId="12" fillId="4" borderId="14" xfId="0" applyFont="1" applyFill="1" applyBorder="1" applyAlignment="1" applyProtection="1">
      <alignment horizontal="center"/>
      <protection locked="0"/>
    </xf>
    <xf numFmtId="0" fontId="12" fillId="9" borderId="14" xfId="0" applyFont="1" applyFill="1" applyBorder="1" applyAlignment="1" applyProtection="1">
      <alignment horizontal="center"/>
      <protection locked="0"/>
    </xf>
    <xf numFmtId="0" fontId="12" fillId="8" borderId="14" xfId="0" applyFont="1" applyFill="1" applyBorder="1" applyAlignment="1" applyProtection="1">
      <alignment horizontal="center"/>
      <protection locked="0"/>
    </xf>
    <xf numFmtId="0" fontId="12" fillId="3" borderId="10" xfId="0" applyFont="1" applyFill="1" applyBorder="1" applyAlignment="1" applyProtection="1">
      <alignment horizontal="center" vertical="center"/>
      <protection locked="0"/>
    </xf>
    <xf numFmtId="0" fontId="12" fillId="0" borderId="0" xfId="0" applyFont="1" applyAlignment="1" applyProtection="1">
      <protection locked="0"/>
    </xf>
    <xf numFmtId="0" fontId="12" fillId="0" borderId="0" xfId="0" applyFont="1" applyAlignment="1" applyProtection="1">
      <alignment horizontal="left" vertical="center"/>
      <protection locked="0"/>
    </xf>
    <xf numFmtId="0" fontId="12"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left" vertical="center"/>
      <protection locked="0"/>
    </xf>
    <xf numFmtId="0" fontId="12" fillId="0" borderId="32" xfId="0" applyFont="1" applyFill="1" applyBorder="1" applyAlignment="1" applyProtection="1">
      <alignment horizontal="center" vertical="center"/>
      <protection locked="0"/>
    </xf>
    <xf numFmtId="0" fontId="12" fillId="0" borderId="32" xfId="0" applyFont="1" applyFill="1" applyBorder="1" applyAlignment="1" applyProtection="1">
      <alignment horizontal="left" vertical="center"/>
      <protection locked="0"/>
    </xf>
    <xf numFmtId="0" fontId="12" fillId="3" borderId="0" xfId="0" applyFont="1" applyFill="1" applyAlignment="1" applyProtection="1">
      <alignment horizontal="center" vertical="center"/>
    </xf>
    <xf numFmtId="0" fontId="12" fillId="0" borderId="0" xfId="0" applyFont="1" applyAlignment="1" applyProtection="1">
      <alignment vertical="distributed"/>
    </xf>
    <xf numFmtId="0" fontId="2" fillId="5" borderId="0" xfId="0" applyFont="1" applyFill="1" applyBorder="1" applyAlignment="1" applyProtection="1">
      <alignment horizontal="center" vertical="center"/>
    </xf>
    <xf numFmtId="0" fontId="2" fillId="5" borderId="62" xfId="0" applyFont="1" applyFill="1" applyBorder="1" applyAlignment="1" applyProtection="1">
      <alignment horizontal="center" vertical="center"/>
    </xf>
    <xf numFmtId="0" fontId="2" fillId="5" borderId="37" xfId="0" applyFont="1" applyFill="1" applyBorder="1" applyAlignment="1" applyProtection="1">
      <alignment horizontal="center" vertical="center" textRotation="90" wrapText="1"/>
    </xf>
    <xf numFmtId="0" fontId="1" fillId="5" borderId="55" xfId="0" applyFont="1" applyFill="1" applyBorder="1" applyAlignment="1" applyProtection="1">
      <alignment horizontal="left" vertical="center" wrapText="1"/>
    </xf>
    <xf numFmtId="0" fontId="1" fillId="5" borderId="46" xfId="0" applyFont="1" applyFill="1" applyBorder="1" applyAlignment="1" applyProtection="1">
      <alignment horizontal="left" vertical="center" wrapText="1"/>
    </xf>
    <xf numFmtId="0" fontId="1" fillId="5" borderId="39" xfId="0" applyFont="1" applyFill="1" applyBorder="1" applyAlignment="1" applyProtection="1">
      <alignment horizontal="left" vertical="center" wrapText="1"/>
    </xf>
    <xf numFmtId="0" fontId="12" fillId="4" borderId="37" xfId="0" applyFont="1" applyFill="1" applyBorder="1" applyAlignment="1" applyProtection="1"/>
    <xf numFmtId="0" fontId="2" fillId="4" borderId="37" xfId="0" applyFont="1" applyFill="1" applyBorder="1" applyAlignment="1" applyProtection="1">
      <alignment horizontal="center" vertical="center" wrapText="1"/>
    </xf>
    <xf numFmtId="0" fontId="12" fillId="4" borderId="38" xfId="0" applyFont="1" applyFill="1" applyBorder="1" applyAlignment="1" applyProtection="1"/>
    <xf numFmtId="0" fontId="12" fillId="3" borderId="0" xfId="0" applyFont="1" applyFill="1" applyAlignment="1" applyProtection="1"/>
    <xf numFmtId="0" fontId="12" fillId="3" borderId="0" xfId="0" applyFont="1" applyFill="1" applyProtection="1"/>
    <xf numFmtId="0" fontId="7" fillId="3" borderId="0" xfId="0" applyFont="1" applyFill="1" applyAlignment="1" applyProtection="1">
      <alignment horizontal="left" vertical="center"/>
    </xf>
    <xf numFmtId="0" fontId="7" fillId="3" borderId="0" xfId="0" applyFont="1" applyFill="1" applyBorder="1" applyAlignment="1" applyProtection="1">
      <alignment horizontal="left" vertical="center"/>
    </xf>
    <xf numFmtId="0" fontId="7" fillId="3" borderId="0" xfId="0" applyFont="1" applyFill="1" applyBorder="1" applyAlignment="1" applyProtection="1">
      <alignment vertical="center"/>
    </xf>
    <xf numFmtId="0" fontId="12" fillId="3" borderId="0" xfId="0" applyFont="1" applyFill="1" applyBorder="1" applyAlignment="1" applyProtection="1">
      <alignment horizontal="left" vertical="center"/>
    </xf>
    <xf numFmtId="0" fontId="2" fillId="3" borderId="0" xfId="0" applyFont="1" applyFill="1" applyProtection="1"/>
    <xf numFmtId="9" fontId="1" fillId="3" borderId="0" xfId="1" applyFont="1" applyFill="1" applyProtection="1"/>
    <xf numFmtId="0" fontId="2" fillId="3" borderId="35" xfId="0" applyFont="1" applyFill="1" applyBorder="1" applyAlignment="1" applyProtection="1">
      <alignment horizontal="left" vertical="center"/>
    </xf>
    <xf numFmtId="0" fontId="1" fillId="3" borderId="0" xfId="0" applyFont="1" applyFill="1" applyAlignment="1" applyProtection="1">
      <alignment horizontal="center"/>
    </xf>
    <xf numFmtId="9" fontId="1" fillId="3" borderId="0" xfId="1" applyFont="1" applyFill="1" applyAlignment="1" applyProtection="1">
      <alignment horizontal="center"/>
    </xf>
    <xf numFmtId="10" fontId="1" fillId="3" borderId="0" xfId="1" applyNumberFormat="1" applyFont="1" applyFill="1" applyAlignment="1" applyProtection="1">
      <alignment horizontal="center"/>
    </xf>
    <xf numFmtId="10" fontId="1" fillId="3" borderId="0" xfId="0" applyNumberFormat="1" applyFont="1" applyFill="1" applyAlignment="1" applyProtection="1">
      <alignment horizontal="center"/>
    </xf>
    <xf numFmtId="0" fontId="2" fillId="3" borderId="34" xfId="0" applyFont="1" applyFill="1" applyBorder="1" applyAlignment="1" applyProtection="1">
      <alignment horizontal="left" vertical="center"/>
    </xf>
    <xf numFmtId="0" fontId="2" fillId="3" borderId="33" xfId="0" applyFont="1" applyFill="1" applyBorder="1" applyAlignment="1" applyProtection="1">
      <alignment horizontal="left" vertical="center"/>
    </xf>
    <xf numFmtId="0" fontId="12" fillId="3" borderId="0" xfId="0" applyFont="1" applyFill="1" applyAlignment="1" applyProtection="1">
      <alignment horizontal="left" vertical="center"/>
    </xf>
    <xf numFmtId="0" fontId="12" fillId="3" borderId="46" xfId="0" applyFont="1" applyFill="1" applyBorder="1" applyAlignment="1" applyProtection="1">
      <alignment horizontal="left" vertical="center"/>
    </xf>
    <xf numFmtId="0" fontId="12" fillId="3" borderId="39" xfId="0" applyFont="1" applyFill="1" applyBorder="1" applyAlignment="1" applyProtection="1">
      <alignment horizontal="left" vertical="center"/>
    </xf>
    <xf numFmtId="0" fontId="2" fillId="7" borderId="63" xfId="0" applyFont="1" applyFill="1" applyBorder="1" applyAlignment="1" applyProtection="1">
      <alignment wrapText="1"/>
    </xf>
    <xf numFmtId="0" fontId="1" fillId="15" borderId="62" xfId="0" applyFont="1" applyFill="1" applyBorder="1" applyAlignment="1" applyProtection="1">
      <alignment vertical="justify"/>
    </xf>
    <xf numFmtId="0" fontId="1" fillId="14" borderId="62" xfId="0" applyFont="1" applyFill="1" applyBorder="1" applyAlignment="1" applyProtection="1">
      <alignment vertical="justify"/>
    </xf>
    <xf numFmtId="0" fontId="1" fillId="5" borderId="62" xfId="0" applyFont="1" applyFill="1" applyBorder="1" applyAlignment="1" applyProtection="1">
      <alignment vertical="justify"/>
    </xf>
    <xf numFmtId="0" fontId="1" fillId="16" borderId="61" xfId="0" applyFont="1" applyFill="1" applyBorder="1" applyAlignment="1" applyProtection="1">
      <alignment vertical="justify"/>
    </xf>
    <xf numFmtId="0" fontId="1" fillId="13" borderId="55" xfId="0" applyFont="1" applyFill="1" applyBorder="1" applyAlignment="1" applyProtection="1">
      <alignment vertical="justify"/>
    </xf>
    <xf numFmtId="0" fontId="2" fillId="7" borderId="36" xfId="0" applyFont="1" applyFill="1" applyBorder="1" applyAlignment="1" applyProtection="1">
      <alignment vertical="distributed"/>
    </xf>
    <xf numFmtId="0" fontId="2" fillId="15" borderId="0" xfId="0" applyFont="1" applyFill="1" applyBorder="1" applyAlignment="1" applyProtection="1">
      <alignment vertical="distributed"/>
    </xf>
    <xf numFmtId="0" fontId="1" fillId="14" borderId="0" xfId="0" applyFont="1" applyFill="1" applyBorder="1" applyAlignment="1" applyProtection="1">
      <alignment vertical="justify"/>
    </xf>
    <xf numFmtId="0" fontId="1" fillId="5" borderId="0" xfId="0" applyFont="1" applyFill="1" applyBorder="1" applyAlignment="1" applyProtection="1">
      <alignment vertical="justify"/>
    </xf>
    <xf numFmtId="0" fontId="1" fillId="16" borderId="47" xfId="0" applyFont="1" applyFill="1" applyBorder="1" applyAlignment="1" applyProtection="1">
      <alignment vertical="justify"/>
    </xf>
    <xf numFmtId="0" fontId="1" fillId="13" borderId="46" xfId="0" applyFont="1" applyFill="1" applyBorder="1" applyAlignment="1" applyProtection="1">
      <alignment vertical="justify"/>
    </xf>
    <xf numFmtId="0" fontId="2" fillId="7" borderId="36" xfId="0" applyFont="1" applyFill="1" applyBorder="1" applyAlignment="1" applyProtection="1">
      <alignment wrapText="1"/>
    </xf>
    <xf numFmtId="0" fontId="1" fillId="15" borderId="0" xfId="0" applyFont="1" applyFill="1" applyBorder="1" applyAlignment="1" applyProtection="1">
      <alignment vertical="justify"/>
    </xf>
    <xf numFmtId="0" fontId="2" fillId="14" borderId="0" xfId="0" applyFont="1" applyFill="1" applyBorder="1" applyAlignment="1" applyProtection="1">
      <alignment vertical="distributed"/>
    </xf>
    <xf numFmtId="0" fontId="2" fillId="7" borderId="36" xfId="0" applyFont="1" applyFill="1" applyBorder="1" applyAlignment="1" applyProtection="1">
      <alignment horizontal="center" wrapText="1"/>
    </xf>
    <xf numFmtId="0" fontId="2" fillId="7" borderId="36" xfId="0" applyFont="1" applyFill="1" applyBorder="1" applyAlignment="1" applyProtection="1">
      <alignment vertical="top" wrapText="1"/>
    </xf>
    <xf numFmtId="0" fontId="1" fillId="7" borderId="36" xfId="0" applyFont="1" applyFill="1" applyBorder="1" applyAlignment="1" applyProtection="1">
      <alignment vertical="justify"/>
    </xf>
    <xf numFmtId="0" fontId="17" fillId="5" borderId="0" xfId="0" applyFont="1" applyFill="1" applyBorder="1" applyAlignment="1" applyProtection="1">
      <alignment horizontal="center" vertical="center"/>
    </xf>
    <xf numFmtId="0" fontId="2" fillId="7" borderId="36" xfId="0" applyFont="1" applyFill="1" applyBorder="1" applyAlignment="1" applyProtection="1">
      <alignment horizontal="center" vertical="justify"/>
    </xf>
    <xf numFmtId="0" fontId="2" fillId="15" borderId="0" xfId="0" applyFont="1" applyFill="1" applyBorder="1" applyAlignment="1" applyProtection="1">
      <alignment wrapText="1"/>
    </xf>
    <xf numFmtId="0" fontId="2" fillId="14" borderId="0" xfId="0" applyFont="1" applyFill="1" applyBorder="1" applyAlignment="1" applyProtection="1">
      <alignment wrapText="1"/>
    </xf>
    <xf numFmtId="0" fontId="1" fillId="7" borderId="0" xfId="0" applyFont="1" applyFill="1" applyBorder="1" applyAlignment="1" applyProtection="1">
      <alignment vertical="justify"/>
    </xf>
    <xf numFmtId="0" fontId="2" fillId="7" borderId="36" xfId="0" applyFont="1" applyFill="1" applyBorder="1" applyAlignment="1" applyProtection="1">
      <alignment horizontal="center" vertical="top" wrapText="1"/>
    </xf>
    <xf numFmtId="0" fontId="12" fillId="7" borderId="36" xfId="0" applyFont="1" applyFill="1" applyBorder="1" applyAlignment="1" applyProtection="1">
      <alignment vertical="top" wrapText="1"/>
    </xf>
    <xf numFmtId="0" fontId="12" fillId="16" borderId="47" xfId="0" applyFont="1" applyFill="1" applyBorder="1" applyProtection="1"/>
    <xf numFmtId="0" fontId="12" fillId="13" borderId="46" xfId="0" applyFont="1" applyFill="1" applyBorder="1" applyProtection="1"/>
    <xf numFmtId="0" fontId="2" fillId="7" borderId="36" xfId="0" applyFont="1" applyFill="1" applyBorder="1" applyAlignment="1" applyProtection="1">
      <alignment horizontal="center" vertical="distributed"/>
    </xf>
    <xf numFmtId="0" fontId="2" fillId="7" borderId="0" xfId="0" applyFont="1" applyFill="1" applyBorder="1" applyAlignment="1" applyProtection="1">
      <alignment horizontal="center" vertical="distributed"/>
    </xf>
    <xf numFmtId="0" fontId="2" fillId="14" borderId="0" xfId="0" applyFont="1" applyFill="1" applyBorder="1" applyAlignment="1" applyProtection="1">
      <alignment horizontal="center" vertical="distributed"/>
    </xf>
    <xf numFmtId="0" fontId="2" fillId="15" borderId="0" xfId="0" applyFont="1" applyFill="1" applyBorder="1" applyAlignment="1" applyProtection="1">
      <alignment horizontal="center" vertical="distributed"/>
    </xf>
    <xf numFmtId="0" fontId="2" fillId="5" borderId="0" xfId="0" applyFont="1" applyFill="1" applyBorder="1" applyAlignment="1" applyProtection="1">
      <alignment horizontal="center" vertical="distributed"/>
    </xf>
    <xf numFmtId="0" fontId="2" fillId="16" borderId="47" xfId="0" applyFont="1" applyFill="1" applyBorder="1" applyAlignment="1" applyProtection="1">
      <alignment horizontal="center" vertical="distributed"/>
    </xf>
    <xf numFmtId="0" fontId="2" fillId="13" borderId="46" xfId="0" applyFont="1" applyFill="1" applyBorder="1" applyAlignment="1" applyProtection="1">
      <alignment horizontal="center" vertical="distributed"/>
    </xf>
    <xf numFmtId="0" fontId="12" fillId="15" borderId="0" xfId="0" applyFont="1" applyFill="1" applyBorder="1" applyProtection="1"/>
    <xf numFmtId="0" fontId="2" fillId="7" borderId="42" xfId="0" applyFont="1" applyFill="1" applyBorder="1" applyAlignment="1" applyProtection="1">
      <alignment wrapText="1"/>
    </xf>
    <xf numFmtId="0" fontId="1" fillId="7" borderId="41" xfId="0" applyFont="1" applyFill="1" applyBorder="1" applyAlignment="1" applyProtection="1">
      <alignment vertical="justify"/>
    </xf>
    <xf numFmtId="0" fontId="1" fillId="15" borderId="41" xfId="0" applyFont="1" applyFill="1" applyBorder="1" applyAlignment="1" applyProtection="1">
      <alignment vertical="justify"/>
    </xf>
    <xf numFmtId="0" fontId="1" fillId="14" borderId="41" xfId="0" applyFont="1" applyFill="1" applyBorder="1" applyAlignment="1" applyProtection="1">
      <alignment vertical="justify"/>
    </xf>
    <xf numFmtId="0" fontId="1" fillId="16" borderId="40" xfId="0" applyFont="1" applyFill="1" applyBorder="1" applyAlignment="1" applyProtection="1">
      <alignment vertical="justify"/>
    </xf>
    <xf numFmtId="0" fontId="1" fillId="13" borderId="39" xfId="0" applyFont="1" applyFill="1" applyBorder="1" applyAlignment="1" applyProtection="1">
      <alignment vertical="justify"/>
    </xf>
    <xf numFmtId="0" fontId="7" fillId="3" borderId="0" xfId="0" applyFont="1" applyFill="1" applyBorder="1" applyProtection="1"/>
    <xf numFmtId="0" fontId="12" fillId="3" borderId="0" xfId="0" applyFont="1" applyFill="1" applyBorder="1" applyProtection="1"/>
    <xf numFmtId="0" fontId="18"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1" fillId="3" borderId="0" xfId="0" applyFont="1" applyFill="1" applyBorder="1" applyProtection="1"/>
    <xf numFmtId="0" fontId="2" fillId="3" borderId="0" xfId="0"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0" fontId="7" fillId="3" borderId="0" xfId="0" applyFont="1" applyFill="1" applyProtection="1"/>
    <xf numFmtId="0" fontId="0" fillId="2" borderId="0" xfId="0" applyFill="1" applyProtection="1">
      <protection locked="0"/>
    </xf>
    <xf numFmtId="0" fontId="6" fillId="2" borderId="0" xfId="0" applyFont="1" applyFill="1" applyBorder="1" applyAlignment="1" applyProtection="1">
      <alignment horizontal="right"/>
      <protection locked="0"/>
    </xf>
    <xf numFmtId="0" fontId="0" fillId="2" borderId="0" xfId="0" applyFill="1" applyAlignment="1" applyProtection="1">
      <alignment wrapText="1"/>
      <protection locked="0"/>
    </xf>
    <xf numFmtId="0" fontId="0" fillId="3" borderId="0" xfId="0" applyFill="1" applyProtection="1">
      <protection locked="0"/>
    </xf>
    <xf numFmtId="0" fontId="0" fillId="0" borderId="0" xfId="0" applyProtection="1">
      <protection locked="0"/>
    </xf>
    <xf numFmtId="0" fontId="2" fillId="3" borderId="2" xfId="0" applyFont="1" applyFill="1" applyBorder="1" applyAlignment="1" applyProtection="1">
      <alignment horizontal="left"/>
      <protection locked="0"/>
    </xf>
    <xf numFmtId="0" fontId="6" fillId="3" borderId="3" xfId="0" applyFont="1" applyFill="1" applyBorder="1" applyAlignment="1" applyProtection="1">
      <alignment horizontal="right"/>
      <protection locked="0"/>
    </xf>
    <xf numFmtId="0" fontId="0" fillId="3" borderId="3" xfId="0" applyFill="1" applyBorder="1" applyAlignment="1" applyProtection="1">
      <alignment wrapText="1"/>
      <protection locked="0"/>
    </xf>
    <xf numFmtId="0" fontId="0" fillId="3" borderId="3" xfId="0" applyFill="1" applyBorder="1" applyProtection="1">
      <protection locked="0"/>
    </xf>
    <xf numFmtId="0" fontId="0" fillId="3" borderId="0" xfId="0" applyFill="1" applyBorder="1" applyProtection="1">
      <protection locked="0"/>
    </xf>
    <xf numFmtId="0" fontId="0" fillId="2" borderId="0" xfId="0" applyFill="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2" fillId="5" borderId="5" xfId="0" applyFont="1"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5" borderId="6" xfId="0" applyFill="1" applyBorder="1" applyAlignment="1" applyProtection="1">
      <alignment horizontal="left" vertical="center"/>
      <protection locked="0"/>
    </xf>
    <xf numFmtId="0" fontId="0" fillId="5" borderId="7" xfId="0" applyFill="1" applyBorder="1" applyAlignment="1" applyProtection="1">
      <alignment horizontal="left" vertical="center"/>
      <protection locked="0"/>
    </xf>
    <xf numFmtId="0" fontId="0" fillId="3" borderId="10" xfId="0" applyFill="1" applyBorder="1" applyAlignment="1" applyProtection="1">
      <alignment horizontal="left" vertical="center" wrapText="1"/>
      <protection locked="0"/>
    </xf>
    <xf numFmtId="0" fontId="0" fillId="3" borderId="0" xfId="0" applyFill="1" applyBorder="1" applyAlignment="1" applyProtection="1">
      <alignment horizontal="left" vertical="center" wrapText="1"/>
      <protection locked="0"/>
    </xf>
    <xf numFmtId="0" fontId="2" fillId="3" borderId="6" xfId="0" applyFont="1" applyFill="1" applyBorder="1" applyAlignment="1" applyProtection="1">
      <alignment horizontal="left" vertical="center"/>
      <protection locked="0"/>
    </xf>
    <xf numFmtId="0" fontId="0" fillId="3" borderId="6" xfId="0" applyFill="1" applyBorder="1" applyAlignment="1" applyProtection="1">
      <alignment horizontal="left" vertical="center"/>
      <protection locked="0"/>
    </xf>
    <xf numFmtId="0" fontId="0" fillId="3" borderId="4" xfId="0" applyFill="1" applyBorder="1" applyProtection="1">
      <protection locked="0"/>
    </xf>
    <xf numFmtId="0" fontId="0" fillId="6" borderId="9" xfId="0" applyFill="1" applyBorder="1" applyProtection="1">
      <protection locked="0"/>
    </xf>
    <xf numFmtId="0" fontId="0" fillId="6" borderId="10" xfId="0" applyFill="1" applyBorder="1" applyProtection="1">
      <protection locked="0"/>
    </xf>
    <xf numFmtId="0" fontId="0" fillId="6" borderId="11" xfId="0" applyFill="1" applyBorder="1" applyProtection="1">
      <protection locked="0"/>
    </xf>
    <xf numFmtId="2" fontId="3" fillId="6" borderId="13" xfId="0" applyNumberFormat="1" applyFont="1" applyFill="1" applyBorder="1" applyAlignment="1" applyProtection="1">
      <alignment horizontal="right" wrapText="1"/>
      <protection locked="0"/>
    </xf>
    <xf numFmtId="0" fontId="5" fillId="3" borderId="14" xfId="0" applyFont="1" applyFill="1" applyBorder="1" applyProtection="1">
      <protection locked="0"/>
    </xf>
    <xf numFmtId="0" fontId="5" fillId="6" borderId="15" xfId="0" applyFont="1" applyFill="1" applyBorder="1" applyProtection="1">
      <protection locked="0"/>
    </xf>
    <xf numFmtId="0" fontId="0" fillId="6" borderId="15" xfId="0" applyFill="1" applyBorder="1" applyProtection="1">
      <protection locked="0"/>
    </xf>
    <xf numFmtId="0" fontId="5" fillId="3" borderId="14" xfId="0" applyFont="1" applyFill="1" applyBorder="1" applyAlignment="1" applyProtection="1">
      <alignment horizontal="left"/>
      <protection locked="0"/>
    </xf>
    <xf numFmtId="0" fontId="6" fillId="3" borderId="0" xfId="0" applyFont="1" applyFill="1" applyBorder="1" applyProtection="1">
      <protection locked="0"/>
    </xf>
    <xf numFmtId="0" fontId="0" fillId="6" borderId="17" xfId="0" applyFill="1" applyBorder="1" applyProtection="1">
      <protection locked="0"/>
    </xf>
    <xf numFmtId="0" fontId="0" fillId="6" borderId="18" xfId="0" applyFill="1" applyBorder="1" applyProtection="1">
      <protection locked="0"/>
    </xf>
    <xf numFmtId="0" fontId="0" fillId="6" borderId="19" xfId="0" applyFill="1" applyBorder="1" applyProtection="1">
      <protection locked="0"/>
    </xf>
    <xf numFmtId="0" fontId="3" fillId="6" borderId="9" xfId="0" applyFont="1" applyFill="1" applyBorder="1" applyProtection="1">
      <protection locked="0"/>
    </xf>
    <xf numFmtId="2" fontId="3" fillId="6" borderId="13" xfId="0" applyNumberFormat="1" applyFont="1" applyFill="1" applyBorder="1" applyAlignment="1" applyProtection="1">
      <alignment horizontal="right"/>
      <protection locked="0"/>
    </xf>
    <xf numFmtId="2" fontId="6" fillId="3" borderId="0" xfId="0" applyNumberFormat="1" applyFont="1" applyFill="1" applyBorder="1" applyAlignment="1" applyProtection="1">
      <alignment horizontal="right"/>
      <protection locked="0"/>
    </xf>
    <xf numFmtId="2" fontId="6" fillId="3" borderId="0" xfId="0" applyNumberFormat="1" applyFont="1" applyFill="1" applyBorder="1" applyAlignment="1" applyProtection="1">
      <alignment horizontal="right" wrapText="1"/>
      <protection locked="0"/>
    </xf>
    <xf numFmtId="0" fontId="6" fillId="3" borderId="0" xfId="0" applyFont="1" applyFill="1" applyBorder="1" applyAlignment="1" applyProtection="1">
      <alignment horizontal="right"/>
      <protection locked="0"/>
    </xf>
    <xf numFmtId="0" fontId="0" fillId="3" borderId="0" xfId="0" applyFill="1" applyAlignment="1" applyProtection="1">
      <alignment wrapText="1"/>
      <protection locked="0"/>
    </xf>
    <xf numFmtId="0" fontId="2" fillId="3" borderId="10" xfId="0" applyFont="1" applyFill="1" applyBorder="1" applyAlignment="1" applyProtection="1">
      <alignment horizontal="left" vertical="center"/>
    </xf>
    <xf numFmtId="0" fontId="2" fillId="3" borderId="6" xfId="0" applyFont="1" applyFill="1" applyBorder="1" applyAlignment="1" applyProtection="1">
      <alignment horizontal="left" vertical="center"/>
    </xf>
    <xf numFmtId="0" fontId="2" fillId="0" borderId="37" xfId="0" applyFont="1" applyFill="1" applyBorder="1" applyAlignment="1" applyProtection="1">
      <alignment horizontal="center" vertical="center" wrapText="1"/>
      <protection locked="0"/>
    </xf>
    <xf numFmtId="0" fontId="2" fillId="0" borderId="37" xfId="0" applyFont="1" applyFill="1" applyBorder="1" applyAlignment="1" applyProtection="1">
      <alignment horizontal="center" vertical="center" wrapText="1"/>
      <protection locked="0"/>
    </xf>
    <xf numFmtId="0" fontId="22" fillId="3" borderId="0" xfId="0" applyNumberFormat="1" applyFont="1" applyFill="1" applyBorder="1" applyAlignment="1" applyProtection="1">
      <alignment horizontal="center" vertical="center" wrapText="1"/>
      <protection locked="0"/>
    </xf>
    <xf numFmtId="0" fontId="0" fillId="23" borderId="14" xfId="0" applyFont="1" applyFill="1" applyBorder="1" applyAlignment="1" applyProtection="1">
      <alignment vertical="top" wrapText="1"/>
    </xf>
    <xf numFmtId="0" fontId="0" fillId="0" borderId="0" xfId="0" applyFont="1" applyFill="1" applyBorder="1" applyAlignment="1" applyProtection="1">
      <alignment vertical="top" wrapText="1"/>
    </xf>
    <xf numFmtId="0" fontId="0" fillId="0" borderId="5" xfId="0" applyFont="1" applyFill="1" applyBorder="1" applyAlignment="1" applyProtection="1">
      <alignment vertical="top" wrapText="1"/>
    </xf>
    <xf numFmtId="0" fontId="0" fillId="0" borderId="6" xfId="0" applyFont="1" applyFill="1" applyBorder="1" applyAlignment="1" applyProtection="1">
      <alignment vertical="top" wrapText="1"/>
    </xf>
    <xf numFmtId="0" fontId="46" fillId="53" borderId="56" xfId="0" applyFont="1" applyFill="1" applyBorder="1" applyAlignment="1" applyProtection="1">
      <alignment horizontal="left" vertical="top" wrapText="1"/>
    </xf>
    <xf numFmtId="0" fontId="46" fillId="53" borderId="107" xfId="0" applyFont="1" applyFill="1" applyBorder="1" applyAlignment="1" applyProtection="1">
      <alignment horizontal="left" vertical="top" wrapText="1"/>
    </xf>
    <xf numFmtId="0" fontId="49" fillId="0" borderId="0" xfId="0" applyFont="1" applyFill="1" applyBorder="1" applyAlignment="1" applyProtection="1">
      <alignment vertical="top" wrapText="1"/>
    </xf>
    <xf numFmtId="0" fontId="46" fillId="53" borderId="111" xfId="0" applyFont="1" applyFill="1" applyBorder="1" applyAlignment="1" applyProtection="1">
      <alignment horizontal="left" vertical="top" wrapText="1"/>
    </xf>
    <xf numFmtId="0" fontId="46" fillId="53" borderId="49" xfId="0" applyFont="1" applyFill="1" applyBorder="1" applyAlignment="1" applyProtection="1">
      <alignment horizontal="left" vertical="top" wrapText="1"/>
    </xf>
    <xf numFmtId="0" fontId="46" fillId="53" borderId="105" xfId="0" applyFont="1" applyFill="1" applyBorder="1" applyAlignment="1" applyProtection="1">
      <alignment horizontal="left" vertical="top" wrapText="1"/>
    </xf>
    <xf numFmtId="0" fontId="46" fillId="53" borderId="79" xfId="0" applyFont="1" applyFill="1" applyBorder="1" applyAlignment="1" applyProtection="1">
      <alignment horizontal="left" vertical="top" wrapText="1"/>
    </xf>
    <xf numFmtId="0" fontId="0" fillId="47" borderId="64" xfId="0" applyFont="1" applyFill="1" applyBorder="1" applyAlignment="1" applyProtection="1">
      <alignment vertical="top" wrapText="1"/>
    </xf>
    <xf numFmtId="0" fontId="0" fillId="0" borderId="0" xfId="0"/>
    <xf numFmtId="0" fontId="26" fillId="0" borderId="0" xfId="0" applyFont="1"/>
    <xf numFmtId="0" fontId="0" fillId="0" borderId="0" xfId="0" applyFont="1"/>
    <xf numFmtId="0" fontId="0" fillId="2" borderId="0" xfId="0" applyFill="1" applyProtection="1">
      <protection locked="0"/>
    </xf>
    <xf numFmtId="0" fontId="24" fillId="51" borderId="13" xfId="0" applyFont="1" applyFill="1" applyBorder="1" applyAlignment="1" applyProtection="1">
      <alignment vertical="top" wrapText="1"/>
    </xf>
    <xf numFmtId="0" fontId="24" fillId="51" borderId="0" xfId="0" applyFont="1" applyFill="1" applyBorder="1" applyAlignment="1" applyProtection="1">
      <alignment vertical="top" wrapText="1"/>
    </xf>
    <xf numFmtId="0" fontId="0" fillId="0" borderId="0" xfId="0"/>
    <xf numFmtId="0" fontId="0" fillId="47" borderId="14" xfId="0" applyFont="1" applyFill="1" applyBorder="1" applyAlignment="1" applyProtection="1">
      <alignment vertical="top" wrapText="1"/>
    </xf>
    <xf numFmtId="0" fontId="0" fillId="48" borderId="14" xfId="0" applyFont="1" applyFill="1" applyBorder="1" applyAlignment="1" applyProtection="1">
      <alignment vertical="top" wrapText="1"/>
    </xf>
    <xf numFmtId="0" fontId="0" fillId="47" borderId="66" xfId="0" applyFont="1" applyFill="1" applyBorder="1" applyAlignment="1" applyProtection="1">
      <alignment vertical="top" wrapText="1"/>
    </xf>
    <xf numFmtId="0" fontId="0" fillId="48" borderId="66" xfId="0" applyFont="1" applyFill="1" applyBorder="1" applyAlignment="1" applyProtection="1">
      <alignment vertical="top" wrapText="1"/>
    </xf>
    <xf numFmtId="0" fontId="0" fillId="47" borderId="94" xfId="0" applyFont="1" applyFill="1" applyBorder="1" applyAlignment="1" applyProtection="1">
      <alignment vertical="top" wrapText="1"/>
    </xf>
    <xf numFmtId="0" fontId="0" fillId="47" borderId="21" xfId="0" applyFont="1" applyFill="1" applyBorder="1" applyAlignment="1" applyProtection="1">
      <alignment vertical="top" wrapText="1"/>
    </xf>
    <xf numFmtId="0" fontId="0" fillId="48" borderId="21" xfId="0" applyFont="1" applyFill="1" applyBorder="1" applyAlignment="1" applyProtection="1">
      <alignment vertical="top" wrapText="1"/>
    </xf>
    <xf numFmtId="0" fontId="24" fillId="51" borderId="0" xfId="0" applyFont="1" applyFill="1" applyBorder="1" applyAlignment="1" applyProtection="1">
      <alignment horizontal="center" vertical="center" wrapText="1"/>
    </xf>
    <xf numFmtId="0" fontId="24" fillId="51" borderId="13" xfId="0" applyFont="1" applyFill="1" applyBorder="1" applyAlignment="1" applyProtection="1">
      <alignment horizontal="center" vertical="center" wrapText="1"/>
    </xf>
    <xf numFmtId="0" fontId="0" fillId="23" borderId="66" xfId="0" applyFont="1" applyFill="1" applyBorder="1" applyAlignment="1" applyProtection="1">
      <alignment vertical="top" wrapText="1"/>
    </xf>
    <xf numFmtId="0" fontId="0" fillId="48" borderId="64" xfId="0" applyFont="1" applyFill="1" applyBorder="1" applyAlignment="1" applyProtection="1">
      <alignment vertical="top" wrapText="1"/>
    </xf>
    <xf numFmtId="0" fontId="0" fillId="55" borderId="64" xfId="0" applyFont="1" applyFill="1" applyBorder="1" applyAlignment="1" applyProtection="1">
      <alignment vertical="top" wrapText="1"/>
    </xf>
    <xf numFmtId="0" fontId="0" fillId="49" borderId="64" xfId="0" applyFont="1" applyFill="1" applyBorder="1" applyAlignment="1" applyProtection="1">
      <alignment vertical="top" wrapText="1"/>
    </xf>
    <xf numFmtId="0" fontId="46" fillId="53" borderId="57" xfId="0" applyFont="1" applyFill="1" applyBorder="1" applyAlignment="1" applyProtection="1">
      <alignment horizontal="left" vertical="top" wrapText="1"/>
    </xf>
    <xf numFmtId="0" fontId="0" fillId="58" borderId="11" xfId="0" applyFill="1" applyBorder="1" applyAlignment="1" applyProtection="1">
      <alignment wrapText="1"/>
      <protection locked="0"/>
    </xf>
    <xf numFmtId="0" fontId="5" fillId="58" borderId="15" xfId="0" applyFont="1" applyFill="1" applyBorder="1" applyAlignment="1" applyProtection="1">
      <alignment horizontal="left" vertical="center" wrapText="1"/>
      <protection locked="0"/>
    </xf>
    <xf numFmtId="0" fontId="5" fillId="58" borderId="19" xfId="0" applyFont="1" applyFill="1" applyBorder="1" applyAlignment="1" applyProtection="1">
      <alignment horizontal="left" vertical="center" wrapText="1"/>
      <protection locked="0"/>
    </xf>
    <xf numFmtId="0" fontId="5" fillId="58" borderId="11" xfId="0" applyFont="1" applyFill="1" applyBorder="1" applyAlignment="1" applyProtection="1">
      <alignment horizontal="left" vertical="center" wrapText="1"/>
      <protection locked="0"/>
    </xf>
    <xf numFmtId="0" fontId="0" fillId="58" borderId="15" xfId="0" applyFill="1" applyBorder="1" applyProtection="1"/>
    <xf numFmtId="0" fontId="0" fillId="58" borderId="17" xfId="0" applyFill="1" applyBorder="1" applyProtection="1"/>
    <xf numFmtId="0" fontId="0" fillId="58" borderId="18" xfId="0" applyFill="1" applyBorder="1" applyProtection="1"/>
    <xf numFmtId="0" fontId="0" fillId="23" borderId="91" xfId="0" applyFont="1" applyFill="1" applyBorder="1" applyAlignment="1" applyProtection="1">
      <alignment vertical="top" wrapText="1"/>
    </xf>
    <xf numFmtId="0" fontId="0" fillId="23" borderId="59" xfId="0" applyFont="1" applyFill="1" applyBorder="1" applyAlignment="1" applyProtection="1">
      <alignment vertical="top" wrapText="1"/>
    </xf>
    <xf numFmtId="0" fontId="0" fillId="23" borderId="59" xfId="2" applyFont="1" applyFill="1" applyBorder="1" applyAlignment="1" applyProtection="1">
      <alignment vertical="top" wrapText="1"/>
    </xf>
    <xf numFmtId="0" fontId="0" fillId="23" borderId="14" xfId="2" applyFont="1" applyFill="1" applyBorder="1" applyAlignment="1" applyProtection="1">
      <alignment vertical="top" wrapText="1"/>
    </xf>
    <xf numFmtId="0" fontId="0" fillId="23" borderId="92" xfId="2" applyFont="1" applyFill="1" applyBorder="1" applyAlignment="1" applyProtection="1">
      <alignment vertical="top" wrapText="1"/>
    </xf>
    <xf numFmtId="0" fontId="0" fillId="23" borderId="92" xfId="0" applyFont="1" applyFill="1" applyBorder="1" applyAlignment="1" applyProtection="1">
      <alignment vertical="top" wrapText="1"/>
    </xf>
    <xf numFmtId="0" fontId="0" fillId="23" borderId="7" xfId="0" applyFont="1" applyFill="1" applyBorder="1" applyAlignment="1" applyProtection="1">
      <alignment vertical="top" wrapText="1"/>
    </xf>
    <xf numFmtId="0" fontId="0" fillId="23" borderId="65" xfId="0" applyFont="1" applyFill="1" applyBorder="1" applyAlignment="1" applyProtection="1">
      <alignment vertical="top" wrapText="1"/>
    </xf>
    <xf numFmtId="0" fontId="46" fillId="53" borderId="64" xfId="0" applyFont="1" applyFill="1" applyBorder="1" applyAlignment="1" applyProtection="1">
      <alignment horizontal="left" vertical="top" wrapText="1"/>
    </xf>
    <xf numFmtId="0" fontId="46" fillId="53" borderId="16" xfId="0" applyFont="1" applyFill="1" applyBorder="1" applyAlignment="1" applyProtection="1">
      <alignment horizontal="left" vertical="top" wrapText="1"/>
    </xf>
    <xf numFmtId="0" fontId="24" fillId="53" borderId="113" xfId="0" applyFont="1" applyFill="1" applyBorder="1" applyAlignment="1" applyProtection="1">
      <alignment vertical="top" wrapText="1"/>
    </xf>
    <xf numFmtId="0" fontId="0" fillId="23" borderId="20" xfId="0" applyFont="1" applyFill="1" applyBorder="1" applyAlignment="1" applyProtection="1">
      <alignment vertical="top" wrapText="1"/>
    </xf>
    <xf numFmtId="0" fontId="0" fillId="23" borderId="21" xfId="0" applyFont="1" applyFill="1" applyBorder="1" applyAlignment="1" applyProtection="1">
      <alignment vertical="top" wrapText="1"/>
    </xf>
    <xf numFmtId="0" fontId="0" fillId="62" borderId="101" xfId="0" applyFont="1" applyFill="1" applyBorder="1" applyAlignment="1" applyProtection="1">
      <alignment vertical="top" wrapText="1"/>
    </xf>
    <xf numFmtId="0" fontId="0" fillId="62" borderId="32" xfId="0" applyFont="1" applyFill="1" applyBorder="1" applyAlignment="1" applyProtection="1">
      <alignment vertical="top" wrapText="1"/>
    </xf>
    <xf numFmtId="0" fontId="46" fillId="53" borderId="48" xfId="0" applyFont="1" applyFill="1" applyBorder="1" applyAlignment="1" applyProtection="1">
      <alignment horizontal="left" vertical="top" wrapText="1"/>
    </xf>
    <xf numFmtId="0" fontId="46" fillId="53" borderId="119" xfId="0" applyFont="1" applyFill="1" applyBorder="1" applyAlignment="1" applyProtection="1">
      <alignment horizontal="left" vertical="top" wrapText="1"/>
    </xf>
    <xf numFmtId="0" fontId="46" fillId="53" borderId="38" xfId="0" applyFont="1" applyFill="1" applyBorder="1" applyAlignment="1" applyProtection="1">
      <alignment horizontal="left" vertical="top" wrapText="1"/>
    </xf>
    <xf numFmtId="0" fontId="46" fillId="53" borderId="37" xfId="0" applyFont="1" applyFill="1" applyBorder="1" applyAlignment="1" applyProtection="1">
      <alignment horizontal="left" vertical="top" wrapText="1"/>
    </xf>
    <xf numFmtId="0" fontId="0" fillId="58" borderId="9" xfId="0" applyFont="1" applyFill="1" applyBorder="1" applyProtection="1"/>
    <xf numFmtId="0" fontId="0" fillId="58" borderId="10" xfId="0" applyFont="1" applyFill="1" applyBorder="1" applyProtection="1"/>
    <xf numFmtId="0" fontId="0" fillId="58" borderId="10" xfId="0" applyFont="1" applyFill="1" applyBorder="1" applyAlignment="1" applyProtection="1">
      <alignment wrapText="1"/>
      <protection locked="0"/>
    </xf>
    <xf numFmtId="0" fontId="55" fillId="58" borderId="9" xfId="0" applyFont="1" applyFill="1" applyBorder="1" applyAlignment="1" applyProtection="1">
      <alignment horizontal="right"/>
    </xf>
    <xf numFmtId="0" fontId="56" fillId="58" borderId="13" xfId="0" applyFont="1" applyFill="1" applyBorder="1" applyAlignment="1" applyProtection="1">
      <alignment horizontal="right"/>
    </xf>
    <xf numFmtId="0" fontId="55" fillId="50" borderId="14" xfId="0" applyFont="1" applyFill="1" applyBorder="1" applyAlignment="1" applyProtection="1">
      <alignment horizontal="left" vertical="center" wrapText="1"/>
      <protection locked="0"/>
    </xf>
    <xf numFmtId="0" fontId="56" fillId="58" borderId="17" xfId="0" applyFont="1" applyFill="1" applyBorder="1" applyAlignment="1" applyProtection="1">
      <alignment horizontal="right"/>
    </xf>
    <xf numFmtId="0" fontId="55" fillId="58" borderId="18" xfId="0" applyFont="1" applyFill="1" applyBorder="1" applyAlignment="1" applyProtection="1">
      <alignment horizontal="left" vertical="center" wrapText="1"/>
      <protection locked="0"/>
    </xf>
    <xf numFmtId="0" fontId="56" fillId="3" borderId="0" xfId="0" applyFont="1" applyFill="1" applyBorder="1" applyAlignment="1" applyProtection="1">
      <alignment horizontal="right"/>
    </xf>
    <xf numFmtId="0" fontId="55" fillId="3" borderId="0" xfId="0" applyFont="1" applyFill="1" applyBorder="1" applyAlignment="1" applyProtection="1">
      <alignment horizontal="left" vertical="center" wrapText="1"/>
      <protection locked="0"/>
    </xf>
    <xf numFmtId="0" fontId="56" fillId="58" borderId="9" xfId="0" applyFont="1" applyFill="1" applyBorder="1" applyAlignment="1" applyProtection="1">
      <alignment horizontal="right"/>
    </xf>
    <xf numFmtId="0" fontId="55" fillId="58" borderId="10" xfId="0" applyFont="1" applyFill="1" applyBorder="1" applyAlignment="1" applyProtection="1">
      <alignment horizontal="left" vertical="center" wrapText="1"/>
      <protection locked="0"/>
    </xf>
    <xf numFmtId="0" fontId="56" fillId="3" borderId="0" xfId="0" applyFont="1" applyFill="1" applyBorder="1" applyProtection="1"/>
    <xf numFmtId="0" fontId="56" fillId="58" borderId="9" xfId="0" applyFont="1" applyFill="1" applyBorder="1" applyProtection="1"/>
    <xf numFmtId="0" fontId="56" fillId="58" borderId="13" xfId="0" applyFont="1" applyFill="1" applyBorder="1" applyAlignment="1" applyProtection="1">
      <alignment horizontal="right" wrapText="1"/>
    </xf>
    <xf numFmtId="0" fontId="56" fillId="58" borderId="17" xfId="0" applyFont="1" applyFill="1" applyBorder="1" applyProtection="1"/>
    <xf numFmtId="0" fontId="56" fillId="58" borderId="17" xfId="0" applyFont="1" applyFill="1" applyBorder="1" applyAlignment="1" applyProtection="1">
      <alignment horizontal="right" wrapText="1"/>
    </xf>
    <xf numFmtId="0" fontId="57" fillId="50" borderId="14" xfId="0" applyFont="1" applyFill="1" applyBorder="1" applyAlignment="1" applyProtection="1">
      <alignment wrapText="1"/>
      <protection locked="0"/>
    </xf>
    <xf numFmtId="0" fontId="56" fillId="58" borderId="17" xfId="0" applyFont="1" applyFill="1" applyBorder="1" applyAlignment="1" applyProtection="1">
      <alignment horizontal="right" wrapText="1"/>
      <protection locked="0"/>
    </xf>
    <xf numFmtId="0" fontId="0" fillId="62" borderId="114" xfId="0" applyFont="1" applyFill="1" applyBorder="1" applyAlignment="1" applyProtection="1">
      <alignment vertical="top" wrapText="1"/>
    </xf>
    <xf numFmtId="0" fontId="0" fillId="23" borderId="7" xfId="2" applyFont="1" applyFill="1" applyBorder="1" applyAlignment="1" applyProtection="1">
      <alignment vertical="top" wrapText="1"/>
    </xf>
    <xf numFmtId="0" fontId="0" fillId="23" borderId="11" xfId="0" applyFont="1" applyFill="1" applyBorder="1" applyAlignment="1" applyProtection="1">
      <alignment vertical="top" wrapText="1"/>
    </xf>
    <xf numFmtId="0" fontId="0" fillId="62" borderId="51" xfId="0" applyFont="1" applyFill="1" applyBorder="1" applyAlignment="1" applyProtection="1">
      <alignment vertical="top" wrapText="1"/>
    </xf>
    <xf numFmtId="0" fontId="0" fillId="23" borderId="58" xfId="0" applyFont="1" applyFill="1" applyBorder="1" applyAlignment="1" applyProtection="1">
      <alignment vertical="top" wrapText="1"/>
    </xf>
    <xf numFmtId="0" fontId="0" fillId="23" borderId="104" xfId="0" applyFont="1" applyFill="1" applyBorder="1" applyAlignment="1" applyProtection="1">
      <alignment vertical="top" wrapText="1"/>
    </xf>
    <xf numFmtId="0" fontId="0" fillId="23" borderId="19" xfId="0" applyFont="1" applyFill="1" applyBorder="1" applyAlignment="1" applyProtection="1">
      <alignment vertical="top" wrapText="1"/>
    </xf>
    <xf numFmtId="0" fontId="0" fillId="62" borderId="43" xfId="0" applyFont="1" applyFill="1" applyBorder="1" applyAlignment="1" applyProtection="1">
      <alignment vertical="top" wrapText="1"/>
    </xf>
    <xf numFmtId="0" fontId="46" fillId="53" borderId="55" xfId="0" applyFont="1" applyFill="1" applyBorder="1" applyAlignment="1" applyProtection="1">
      <alignment horizontal="left" vertical="top" wrapText="1"/>
    </xf>
    <xf numFmtId="0" fontId="24" fillId="51" borderId="42" xfId="0" applyFont="1" applyFill="1" applyBorder="1" applyAlignment="1" applyProtection="1">
      <alignment horizontal="center" vertical="center" wrapText="1"/>
    </xf>
    <xf numFmtId="0" fontId="24" fillId="51" borderId="44" xfId="0" applyFont="1" applyFill="1" applyBorder="1" applyAlignment="1" applyProtection="1">
      <alignment horizontal="center" vertical="center" wrapText="1"/>
    </xf>
    <xf numFmtId="0" fontId="24" fillId="51" borderId="120" xfId="0" applyFont="1" applyFill="1" applyBorder="1" applyAlignment="1" applyProtection="1">
      <alignment horizontal="center" vertical="center" wrapText="1"/>
    </xf>
    <xf numFmtId="0" fontId="3" fillId="6" borderId="36" xfId="0" applyFont="1" applyFill="1" applyBorder="1" applyAlignment="1" applyProtection="1">
      <alignment horizontal="left"/>
    </xf>
    <xf numFmtId="2" fontId="3" fillId="6" borderId="36" xfId="0" applyNumberFormat="1" applyFont="1" applyFill="1" applyBorder="1" applyAlignment="1" applyProtection="1">
      <alignment horizontal="right" wrapText="1"/>
    </xf>
    <xf numFmtId="2" fontId="3" fillId="6" borderId="42" xfId="0" applyNumberFormat="1" applyFont="1" applyFill="1" applyBorder="1" applyAlignment="1" applyProtection="1">
      <alignment horizontal="right" wrapText="1"/>
    </xf>
    <xf numFmtId="0" fontId="46" fillId="0" borderId="18" xfId="0" applyFont="1" applyFill="1" applyBorder="1" applyAlignment="1" applyProtection="1">
      <alignment vertical="center" wrapText="1"/>
    </xf>
    <xf numFmtId="0" fontId="0" fillId="0" borderId="6"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0" fillId="0" borderId="5" xfId="0" applyFont="1" applyFill="1" applyBorder="1" applyAlignment="1" applyProtection="1">
      <alignment horizontal="left" vertical="top" wrapText="1"/>
    </xf>
    <xf numFmtId="2" fontId="56" fillId="58" borderId="13" xfId="0" applyNumberFormat="1" applyFont="1" applyFill="1" applyBorder="1" applyAlignment="1" applyProtection="1">
      <alignment horizontal="right" wrapText="1"/>
      <protection hidden="1"/>
    </xf>
    <xf numFmtId="0" fontId="56" fillId="58" borderId="13" xfId="0" applyFont="1" applyFill="1" applyBorder="1" applyAlignment="1" applyProtection="1">
      <alignment horizontal="right"/>
      <protection hidden="1"/>
    </xf>
    <xf numFmtId="0" fontId="26" fillId="58" borderId="13" xfId="0" applyFont="1" applyFill="1" applyBorder="1" applyAlignment="1" applyProtection="1">
      <alignment horizontal="right"/>
      <protection hidden="1"/>
    </xf>
    <xf numFmtId="0" fontId="26" fillId="58" borderId="13" xfId="0" applyFont="1" applyFill="1" applyBorder="1" applyProtection="1">
      <protection hidden="1"/>
    </xf>
    <xf numFmtId="0" fontId="0" fillId="0" borderId="0" xfId="0" applyNumberFormat="1" applyFill="1" applyAlignment="1" applyProtection="1">
      <alignment vertical="top"/>
      <protection hidden="1"/>
    </xf>
    <xf numFmtId="0" fontId="0" fillId="0" borderId="0" xfId="0" applyNumberFormat="1" applyFill="1" applyProtection="1">
      <protection hidden="1"/>
    </xf>
    <xf numFmtId="0" fontId="0" fillId="0" borderId="0" xfId="0" applyProtection="1">
      <protection hidden="1"/>
    </xf>
    <xf numFmtId="0" fontId="24" fillId="52" borderId="0" xfId="0" applyFont="1" applyFill="1" applyProtection="1">
      <protection hidden="1"/>
    </xf>
    <xf numFmtId="0" fontId="51" fillId="57" borderId="42" xfId="0" applyFont="1" applyFill="1" applyBorder="1" applyAlignment="1" applyProtection="1">
      <alignment vertical="center" wrapText="1"/>
      <protection hidden="1"/>
    </xf>
    <xf numFmtId="0" fontId="53" fillId="57" borderId="39" xfId="0" applyFont="1" applyFill="1" applyBorder="1" applyAlignment="1" applyProtection="1">
      <alignment horizontal="left" vertical="center" wrapText="1"/>
      <protection hidden="1"/>
    </xf>
    <xf numFmtId="0" fontId="46" fillId="52" borderId="63" xfId="0" applyFont="1" applyFill="1" applyBorder="1" applyAlignment="1" applyProtection="1">
      <alignment horizontal="center"/>
      <protection hidden="1"/>
    </xf>
    <xf numFmtId="0" fontId="46" fillId="52" borderId="55" xfId="0" applyFont="1" applyFill="1" applyBorder="1" applyAlignment="1" applyProtection="1">
      <alignment horizontal="center"/>
      <protection hidden="1"/>
    </xf>
    <xf numFmtId="0" fontId="51" fillId="57" borderId="49" xfId="0" applyFont="1" applyFill="1" applyBorder="1" applyAlignment="1" applyProtection="1">
      <alignment horizontal="left" vertical="center" wrapText="1"/>
      <protection hidden="1"/>
    </xf>
    <xf numFmtId="0" fontId="51" fillId="57" borderId="55" xfId="0" applyFont="1" applyFill="1" applyBorder="1" applyAlignment="1" applyProtection="1">
      <alignment horizontal="left" vertical="center" wrapText="1"/>
      <protection hidden="1"/>
    </xf>
    <xf numFmtId="0" fontId="50" fillId="58" borderId="39" xfId="0" applyFont="1" applyFill="1" applyBorder="1" applyAlignment="1" applyProtection="1">
      <alignment horizontal="right" vertical="center" wrapText="1"/>
      <protection hidden="1"/>
    </xf>
    <xf numFmtId="0" fontId="52" fillId="58" borderId="39" xfId="0" applyFont="1" applyFill="1" applyBorder="1" applyAlignment="1" applyProtection="1">
      <alignment horizontal="right" vertical="center" wrapText="1"/>
      <protection hidden="1"/>
    </xf>
    <xf numFmtId="0" fontId="52" fillId="54" borderId="38" xfId="0" applyFont="1" applyFill="1" applyBorder="1" applyAlignment="1" applyProtection="1">
      <alignment vertical="center" wrapText="1"/>
      <protection hidden="1"/>
    </xf>
    <xf numFmtId="0" fontId="50" fillId="54" borderId="39" xfId="0" applyFont="1" applyFill="1" applyBorder="1" applyAlignment="1" applyProtection="1">
      <alignment horizontal="right" vertical="center" wrapText="1"/>
      <protection hidden="1"/>
    </xf>
    <xf numFmtId="0" fontId="0" fillId="0" borderId="36" xfId="0" applyBorder="1" applyProtection="1">
      <protection hidden="1"/>
    </xf>
    <xf numFmtId="0" fontId="0" fillId="0" borderId="46" xfId="0" applyBorder="1" applyProtection="1">
      <protection hidden="1"/>
    </xf>
    <xf numFmtId="0" fontId="52" fillId="0" borderId="91" xfId="0" applyFont="1" applyBorder="1" applyAlignment="1" applyProtection="1">
      <alignment vertical="center" wrapText="1"/>
      <protection hidden="1"/>
    </xf>
    <xf numFmtId="0" fontId="50" fillId="0" borderId="65" xfId="0" applyFont="1" applyBorder="1" applyAlignment="1" applyProtection="1">
      <alignment vertical="center" wrapText="1"/>
      <protection hidden="1"/>
    </xf>
    <xf numFmtId="0" fontId="52" fillId="54" borderId="39" xfId="0" applyFont="1" applyFill="1" applyBorder="1" applyAlignment="1" applyProtection="1">
      <alignment horizontal="right" vertical="center" wrapText="1"/>
      <protection hidden="1"/>
    </xf>
    <xf numFmtId="0" fontId="0" fillId="0" borderId="91" xfId="0" applyNumberFormat="1" applyFill="1" applyBorder="1" applyAlignment="1" applyProtection="1">
      <alignment vertical="top"/>
      <protection hidden="1"/>
    </xf>
    <xf numFmtId="0" fontId="0" fillId="47" borderId="101" xfId="0" applyFont="1" applyFill="1" applyBorder="1" applyAlignment="1" applyProtection="1">
      <alignment horizontal="center" vertical="top" wrapText="1"/>
      <protection hidden="1"/>
    </xf>
    <xf numFmtId="1" fontId="0" fillId="48" borderId="67" xfId="0" applyNumberFormat="1" applyFont="1" applyFill="1" applyBorder="1" applyAlignment="1" applyProtection="1">
      <alignment horizontal="center" vertical="top" wrapText="1"/>
      <protection hidden="1"/>
    </xf>
    <xf numFmtId="9" fontId="0" fillId="48" borderId="102" xfId="0" applyNumberFormat="1" applyFont="1" applyFill="1" applyBorder="1" applyAlignment="1" applyProtection="1">
      <alignment horizontal="center" vertical="top" wrapText="1"/>
      <protection hidden="1"/>
    </xf>
    <xf numFmtId="1" fontId="0" fillId="55" borderId="91" xfId="0" applyNumberFormat="1" applyFont="1" applyFill="1" applyBorder="1" applyAlignment="1" applyProtection="1">
      <alignment horizontal="center" vertical="top" wrapText="1"/>
      <protection hidden="1"/>
    </xf>
    <xf numFmtId="9" fontId="0" fillId="55" borderId="65" xfId="0" applyNumberFormat="1" applyFont="1" applyFill="1" applyBorder="1" applyAlignment="1" applyProtection="1">
      <alignment horizontal="center" vertical="top" wrapText="1"/>
      <protection hidden="1"/>
    </xf>
    <xf numFmtId="1" fontId="0" fillId="49" borderId="67" xfId="0" applyNumberFormat="1" applyFont="1" applyFill="1" applyBorder="1" applyAlignment="1" applyProtection="1">
      <alignment horizontal="center" vertical="top" wrapText="1"/>
      <protection hidden="1"/>
    </xf>
    <xf numFmtId="9" fontId="0" fillId="49" borderId="65" xfId="0" applyNumberFormat="1" applyFont="1" applyFill="1" applyBorder="1" applyAlignment="1" applyProtection="1">
      <alignment horizontal="center" vertical="top" wrapText="1"/>
      <protection hidden="1"/>
    </xf>
    <xf numFmtId="9" fontId="0" fillId="55" borderId="96" xfId="0" applyNumberFormat="1" applyFont="1" applyFill="1" applyBorder="1" applyAlignment="1" applyProtection="1">
      <alignment horizontal="center" vertical="top" wrapText="1"/>
      <protection hidden="1"/>
    </xf>
    <xf numFmtId="9" fontId="0" fillId="49" borderId="101" xfId="0" applyNumberFormat="1" applyFont="1" applyFill="1" applyBorder="1" applyAlignment="1" applyProtection="1">
      <alignment horizontal="center" vertical="top" wrapText="1"/>
      <protection hidden="1"/>
    </xf>
    <xf numFmtId="0" fontId="52" fillId="0" borderId="59" xfId="0" applyFont="1" applyBorder="1" applyAlignment="1" applyProtection="1">
      <alignment vertical="center" wrapText="1"/>
      <protection hidden="1"/>
    </xf>
    <xf numFmtId="0" fontId="50" fillId="0" borderId="92" xfId="0" applyFont="1" applyBorder="1" applyAlignment="1" applyProtection="1">
      <alignment vertical="center" wrapText="1"/>
      <protection hidden="1"/>
    </xf>
    <xf numFmtId="0" fontId="0" fillId="0" borderId="59" xfId="0" applyNumberFormat="1" applyFill="1" applyBorder="1" applyAlignment="1" applyProtection="1">
      <alignment vertical="top"/>
      <protection hidden="1"/>
    </xf>
    <xf numFmtId="0" fontId="0" fillId="47" borderId="32" xfId="0" applyFont="1" applyFill="1" applyBorder="1" applyAlignment="1" applyProtection="1">
      <alignment horizontal="center" vertical="top" wrapText="1"/>
      <protection hidden="1"/>
    </xf>
    <xf numFmtId="1" fontId="0" fillId="48" borderId="7" xfId="0" applyNumberFormat="1" applyFont="1" applyFill="1" applyBorder="1" applyAlignment="1" applyProtection="1">
      <alignment horizontal="center" vertical="top" wrapText="1"/>
      <protection hidden="1"/>
    </xf>
    <xf numFmtId="9" fontId="0" fillId="48" borderId="5" xfId="0" applyNumberFormat="1" applyFont="1" applyFill="1" applyBorder="1" applyAlignment="1" applyProtection="1">
      <alignment horizontal="center" vertical="top" wrapText="1"/>
      <protection hidden="1"/>
    </xf>
    <xf numFmtId="1" fontId="0" fillId="55" borderId="59" xfId="0" applyNumberFormat="1" applyFont="1" applyFill="1" applyBorder="1" applyAlignment="1" applyProtection="1">
      <alignment horizontal="center" vertical="top" wrapText="1"/>
      <protection hidden="1"/>
    </xf>
    <xf numFmtId="9" fontId="0" fillId="55" borderId="92" xfId="0" applyNumberFormat="1" applyFont="1" applyFill="1" applyBorder="1" applyAlignment="1" applyProtection="1">
      <alignment horizontal="center" vertical="top" wrapText="1"/>
      <protection hidden="1"/>
    </xf>
    <xf numFmtId="1" fontId="0" fillId="49" borderId="7" xfId="0" applyNumberFormat="1" applyFont="1" applyFill="1" applyBorder="1" applyAlignment="1" applyProtection="1">
      <alignment horizontal="center" vertical="top" wrapText="1"/>
      <protection hidden="1"/>
    </xf>
    <xf numFmtId="9" fontId="0" fillId="49" borderId="92" xfId="0" applyNumberFormat="1" applyFont="1" applyFill="1" applyBorder="1" applyAlignment="1" applyProtection="1">
      <alignment horizontal="center" vertical="top" wrapText="1"/>
      <protection hidden="1"/>
    </xf>
    <xf numFmtId="9" fontId="0" fillId="55" borderId="114" xfId="0" applyNumberFormat="1" applyFont="1" applyFill="1" applyBorder="1" applyAlignment="1" applyProtection="1">
      <alignment horizontal="center" vertical="top" wrapText="1"/>
      <protection hidden="1"/>
    </xf>
    <xf numFmtId="9" fontId="0" fillId="49" borderId="32" xfId="0" applyNumberFormat="1" applyFont="1" applyFill="1" applyBorder="1" applyAlignment="1" applyProtection="1">
      <alignment horizontal="center" vertical="top" wrapText="1"/>
      <protection hidden="1"/>
    </xf>
    <xf numFmtId="0" fontId="52" fillId="0" borderId="93" xfId="0" applyFont="1" applyBorder="1" applyAlignment="1" applyProtection="1">
      <alignment vertical="center" wrapText="1"/>
      <protection hidden="1"/>
    </xf>
    <xf numFmtId="0" fontId="50" fillId="0" borderId="95" xfId="0" applyFont="1" applyBorder="1" applyAlignment="1" applyProtection="1">
      <alignment vertical="center" wrapText="1"/>
      <protection hidden="1"/>
    </xf>
    <xf numFmtId="0" fontId="51" fillId="57" borderId="36" xfId="0" applyFont="1" applyFill="1" applyBorder="1" applyAlignment="1" applyProtection="1">
      <alignment vertical="center" wrapText="1"/>
      <protection hidden="1"/>
    </xf>
    <xf numFmtId="0" fontId="53" fillId="57" borderId="46" xfId="0" applyFont="1" applyFill="1" applyBorder="1" applyAlignment="1" applyProtection="1">
      <alignment horizontal="left" vertical="center" wrapText="1"/>
      <protection hidden="1"/>
    </xf>
    <xf numFmtId="0" fontId="50" fillId="0" borderId="91" xfId="0" applyFont="1" applyFill="1" applyBorder="1" applyAlignment="1" applyProtection="1">
      <alignment horizontal="right" vertical="center" wrapText="1"/>
      <protection hidden="1"/>
    </xf>
    <xf numFmtId="0" fontId="52" fillId="0" borderId="65" xfId="0" applyFont="1" applyFill="1" applyBorder="1" applyAlignment="1" applyProtection="1">
      <alignment horizontal="right" vertical="center" wrapText="1"/>
      <protection hidden="1"/>
    </xf>
    <xf numFmtId="0" fontId="0" fillId="0" borderId="42" xfId="0" applyBorder="1" applyProtection="1">
      <protection hidden="1"/>
    </xf>
    <xf numFmtId="0" fontId="0" fillId="0" borderId="39" xfId="0" applyBorder="1" applyProtection="1">
      <protection hidden="1"/>
    </xf>
    <xf numFmtId="0" fontId="52" fillId="0" borderId="59" xfId="0" applyFont="1" applyFill="1" applyBorder="1" applyAlignment="1" applyProtection="1">
      <alignment horizontal="right" vertical="center" wrapText="1"/>
      <protection hidden="1"/>
    </xf>
    <xf numFmtId="0" fontId="52" fillId="0" borderId="92" xfId="0" applyFont="1" applyFill="1" applyBorder="1" applyAlignment="1" applyProtection="1">
      <alignment horizontal="right" vertical="center" wrapText="1"/>
      <protection hidden="1"/>
    </xf>
    <xf numFmtId="0" fontId="0" fillId="0" borderId="93" xfId="0" applyNumberFormat="1" applyFill="1" applyBorder="1" applyAlignment="1" applyProtection="1">
      <alignment vertical="top"/>
      <protection hidden="1"/>
    </xf>
    <xf numFmtId="0" fontId="0" fillId="47" borderId="50" xfId="0" applyFont="1" applyFill="1" applyBorder="1" applyAlignment="1" applyProtection="1">
      <alignment horizontal="center" vertical="top" wrapText="1"/>
      <protection hidden="1"/>
    </xf>
    <xf numFmtId="1" fontId="0" fillId="48" borderId="100" xfId="0" applyNumberFormat="1" applyFont="1" applyFill="1" applyBorder="1" applyAlignment="1" applyProtection="1">
      <alignment horizontal="center" vertical="top" wrapText="1"/>
      <protection hidden="1"/>
    </xf>
    <xf numFmtId="9" fontId="0" fillId="48" borderId="103" xfId="0" applyNumberFormat="1" applyFont="1" applyFill="1" applyBorder="1" applyAlignment="1" applyProtection="1">
      <alignment horizontal="center" vertical="top" wrapText="1"/>
      <protection hidden="1"/>
    </xf>
    <xf numFmtId="1" fontId="0" fillId="55" borderId="93" xfId="0" applyNumberFormat="1" applyFont="1" applyFill="1" applyBorder="1" applyAlignment="1" applyProtection="1">
      <alignment horizontal="center" vertical="top" wrapText="1"/>
      <protection hidden="1"/>
    </xf>
    <xf numFmtId="9" fontId="0" fillId="55" borderId="95" xfId="0" applyNumberFormat="1" applyFont="1" applyFill="1" applyBorder="1" applyAlignment="1" applyProtection="1">
      <alignment horizontal="center" vertical="top" wrapText="1"/>
      <protection hidden="1"/>
    </xf>
    <xf numFmtId="1" fontId="0" fillId="49" borderId="100" xfId="0" applyNumberFormat="1" applyFont="1" applyFill="1" applyBorder="1" applyAlignment="1" applyProtection="1">
      <alignment horizontal="center" vertical="top" wrapText="1"/>
      <protection hidden="1"/>
    </xf>
    <xf numFmtId="9" fontId="0" fillId="49" borderId="95" xfId="0" applyNumberFormat="1" applyFont="1" applyFill="1" applyBorder="1" applyAlignment="1" applyProtection="1">
      <alignment horizontal="center" vertical="top" wrapText="1"/>
      <protection hidden="1"/>
    </xf>
    <xf numFmtId="9" fontId="0" fillId="55" borderId="115" xfId="0" applyNumberFormat="1" applyFont="1" applyFill="1" applyBorder="1" applyAlignment="1" applyProtection="1">
      <alignment horizontal="center" vertical="top" wrapText="1"/>
      <protection hidden="1"/>
    </xf>
    <xf numFmtId="9" fontId="0" fillId="49" borderId="50" xfId="0" applyNumberFormat="1" applyFont="1" applyFill="1" applyBorder="1" applyAlignment="1" applyProtection="1">
      <alignment horizontal="center" vertical="top" wrapText="1"/>
      <protection hidden="1"/>
    </xf>
    <xf numFmtId="0" fontId="12" fillId="0" borderId="0" xfId="0" applyNumberFormat="1" applyFont="1" applyFill="1" applyAlignment="1" applyProtection="1">
      <alignment wrapText="1"/>
      <protection hidden="1"/>
    </xf>
    <xf numFmtId="49" fontId="12" fillId="0" borderId="0" xfId="0" applyNumberFormat="1" applyFont="1" applyFill="1" applyBorder="1" applyAlignment="1" applyProtection="1">
      <alignment vertical="top" wrapText="1"/>
      <protection hidden="1"/>
    </xf>
    <xf numFmtId="0" fontId="52" fillId="0" borderId="93" xfId="0" applyFont="1" applyFill="1" applyBorder="1" applyAlignment="1" applyProtection="1">
      <alignment horizontal="right" vertical="center" wrapText="1"/>
      <protection hidden="1"/>
    </xf>
    <xf numFmtId="0" fontId="52" fillId="0" borderId="95" xfId="0" applyFont="1" applyFill="1" applyBorder="1" applyAlignment="1" applyProtection="1">
      <alignment horizontal="right" vertical="center" wrapText="1"/>
      <protection hidden="1"/>
    </xf>
    <xf numFmtId="0" fontId="50" fillId="0" borderId="91" xfId="0" applyFont="1" applyBorder="1" applyAlignment="1" applyProtection="1">
      <alignment vertical="center"/>
      <protection hidden="1"/>
    </xf>
    <xf numFmtId="0" fontId="50" fillId="0" borderId="59" xfId="0" applyFont="1" applyBorder="1" applyAlignment="1" applyProtection="1">
      <alignment vertical="center"/>
      <protection hidden="1"/>
    </xf>
    <xf numFmtId="0" fontId="50" fillId="0" borderId="93" xfId="0" applyFont="1" applyBorder="1" applyAlignment="1" applyProtection="1">
      <alignment vertical="center"/>
      <protection hidden="1"/>
    </xf>
    <xf numFmtId="49" fontId="0" fillId="0" borderId="0" xfId="0" applyNumberFormat="1" applyFill="1" applyAlignment="1" applyProtection="1">
      <alignment vertical="top"/>
      <protection hidden="1"/>
    </xf>
    <xf numFmtId="0" fontId="54" fillId="57" borderId="0" xfId="0" applyFont="1" applyFill="1" applyAlignment="1" applyProtection="1">
      <alignment vertical="center"/>
      <protection hidden="1"/>
    </xf>
    <xf numFmtId="0" fontId="51" fillId="57" borderId="0" xfId="0" applyFont="1" applyFill="1" applyAlignment="1" applyProtection="1">
      <alignment vertical="center"/>
      <protection hidden="1"/>
    </xf>
    <xf numFmtId="0" fontId="50" fillId="0" borderId="66" xfId="0" applyFont="1" applyBorder="1" applyAlignment="1" applyProtection="1">
      <alignment vertical="center"/>
      <protection hidden="1"/>
    </xf>
    <xf numFmtId="0" fontId="50" fillId="60" borderId="66" xfId="0" applyFont="1" applyFill="1" applyBorder="1" applyAlignment="1" applyProtection="1">
      <alignment horizontal="center" vertical="center"/>
      <protection hidden="1"/>
    </xf>
    <xf numFmtId="0" fontId="50" fillId="60" borderId="65" xfId="0" applyFont="1" applyFill="1" applyBorder="1" applyAlignment="1" applyProtection="1">
      <alignment horizontal="center" vertical="center"/>
      <protection hidden="1"/>
    </xf>
    <xf numFmtId="0" fontId="50" fillId="0" borderId="14" xfId="0" applyFont="1" applyBorder="1" applyAlignment="1" applyProtection="1">
      <alignment vertical="center"/>
      <protection hidden="1"/>
    </xf>
    <xf numFmtId="0" fontId="50" fillId="60" borderId="14" xfId="0" applyFont="1" applyFill="1" applyBorder="1" applyAlignment="1" applyProtection="1">
      <alignment horizontal="center" vertical="center"/>
      <protection hidden="1"/>
    </xf>
    <xf numFmtId="0" fontId="50" fillId="60" borderId="92" xfId="0" applyFont="1" applyFill="1" applyBorder="1" applyAlignment="1" applyProtection="1">
      <alignment horizontal="center" vertical="center"/>
      <protection hidden="1"/>
    </xf>
    <xf numFmtId="0" fontId="25" fillId="0" borderId="14" xfId="0" applyFont="1" applyBorder="1" applyAlignment="1" applyProtection="1">
      <alignment vertical="center"/>
      <protection hidden="1"/>
    </xf>
    <xf numFmtId="0" fontId="50" fillId="0" borderId="94" xfId="0" applyFont="1" applyBorder="1" applyAlignment="1" applyProtection="1">
      <alignment vertical="center"/>
      <protection hidden="1"/>
    </xf>
    <xf numFmtId="0" fontId="50" fillId="60" borderId="94" xfId="0" applyFont="1" applyFill="1" applyBorder="1" applyAlignment="1" applyProtection="1">
      <alignment horizontal="center" vertical="center"/>
      <protection hidden="1"/>
    </xf>
    <xf numFmtId="0" fontId="50" fillId="60" borderId="95" xfId="0" applyFont="1" applyFill="1" applyBorder="1" applyAlignment="1" applyProtection="1">
      <alignment horizontal="center" vertical="center"/>
      <protection hidden="1"/>
    </xf>
    <xf numFmtId="0" fontId="62" fillId="0" borderId="36" xfId="0" applyFont="1" applyFill="1" applyBorder="1" applyAlignment="1" applyProtection="1">
      <alignment vertical="center"/>
      <protection hidden="1"/>
    </xf>
    <xf numFmtId="0" fontId="62" fillId="0" borderId="0" xfId="0" applyFont="1" applyFill="1" applyBorder="1" applyAlignment="1" applyProtection="1">
      <alignment vertical="center"/>
      <protection hidden="1"/>
    </xf>
    <xf numFmtId="0" fontId="62" fillId="0" borderId="49" xfId="0" applyFont="1" applyFill="1" applyBorder="1" applyAlignment="1" applyProtection="1">
      <alignment vertical="center"/>
      <protection hidden="1"/>
    </xf>
    <xf numFmtId="0" fontId="62" fillId="0" borderId="37" xfId="0" applyFont="1" applyFill="1" applyBorder="1" applyAlignment="1" applyProtection="1">
      <alignment vertical="center"/>
      <protection hidden="1"/>
    </xf>
    <xf numFmtId="0" fontId="62" fillId="0" borderId="38" xfId="0" applyFont="1" applyFill="1" applyBorder="1" applyAlignment="1" applyProtection="1">
      <alignment vertical="center"/>
      <protection hidden="1"/>
    </xf>
    <xf numFmtId="0" fontId="24" fillId="53" borderId="64" xfId="0" applyFont="1" applyFill="1" applyBorder="1" applyAlignment="1" applyProtection="1">
      <alignment vertical="top" wrapText="1"/>
    </xf>
    <xf numFmtId="0" fontId="62" fillId="65" borderId="36" xfId="0" applyFont="1" applyFill="1" applyBorder="1" applyAlignment="1" applyProtection="1">
      <alignment vertical="center"/>
      <protection hidden="1"/>
    </xf>
    <xf numFmtId="0" fontId="62" fillId="65" borderId="0" xfId="0" applyFont="1" applyFill="1" applyBorder="1" applyAlignment="1" applyProtection="1">
      <alignment vertical="center"/>
      <protection hidden="1"/>
    </xf>
    <xf numFmtId="0" fontId="0" fillId="0" borderId="0" xfId="0" applyProtection="1">
      <protection hidden="1"/>
    </xf>
    <xf numFmtId="0" fontId="24" fillId="52" borderId="41" xfId="0" applyFont="1" applyFill="1" applyBorder="1" applyAlignment="1" applyProtection="1">
      <alignment horizontal="center"/>
      <protection hidden="1"/>
    </xf>
    <xf numFmtId="0" fontId="24" fillId="52" borderId="0" xfId="0" applyFont="1" applyFill="1" applyBorder="1" applyAlignment="1" applyProtection="1">
      <alignment horizontal="center"/>
      <protection hidden="1"/>
    </xf>
    <xf numFmtId="0" fontId="0" fillId="64" borderId="14" xfId="0" applyFont="1" applyFill="1" applyBorder="1" applyAlignment="1">
      <alignment wrapText="1"/>
    </xf>
    <xf numFmtId="0" fontId="0" fillId="3" borderId="14" xfId="0" applyFill="1" applyBorder="1" applyAlignment="1" applyProtection="1">
      <alignment wrapText="1"/>
      <protection locked="0"/>
    </xf>
    <xf numFmtId="0" fontId="2" fillId="66" borderId="5" xfId="0" applyFont="1" applyFill="1" applyBorder="1" applyAlignment="1" applyProtection="1">
      <alignment horizontal="left" vertical="center"/>
    </xf>
    <xf numFmtId="0" fontId="0" fillId="66" borderId="6" xfId="0" applyFill="1" applyBorder="1" applyAlignment="1" applyProtection="1">
      <alignment horizontal="left" vertical="center" wrapText="1"/>
      <protection locked="0"/>
    </xf>
    <xf numFmtId="0" fontId="0" fillId="66" borderId="7" xfId="0" applyFill="1" applyBorder="1" applyAlignment="1" applyProtection="1">
      <alignment horizontal="left" vertical="center" wrapText="1"/>
      <protection locked="0"/>
    </xf>
    <xf numFmtId="0" fontId="2" fillId="66" borderId="6" xfId="0" applyFont="1" applyFill="1" applyBorder="1" applyAlignment="1" applyProtection="1">
      <alignment horizontal="left" vertical="center"/>
    </xf>
    <xf numFmtId="0" fontId="0" fillId="23" borderId="5" xfId="0" applyFont="1" applyFill="1" applyBorder="1" applyAlignment="1" applyProtection="1">
      <alignment vertical="top" wrapText="1"/>
    </xf>
    <xf numFmtId="0" fontId="0" fillId="23" borderId="9" xfId="0" applyFont="1" applyFill="1" applyBorder="1" applyAlignment="1" applyProtection="1">
      <alignment vertical="top" wrapText="1"/>
    </xf>
    <xf numFmtId="0" fontId="0" fillId="23" borderId="17" xfId="0" applyFont="1" applyFill="1" applyBorder="1" applyAlignment="1" applyProtection="1">
      <alignment vertical="top" wrapText="1"/>
    </xf>
    <xf numFmtId="0" fontId="0" fillId="23" borderId="43" xfId="0" applyFont="1" applyFill="1" applyBorder="1" applyAlignment="1" applyProtection="1">
      <alignment vertical="top" wrapText="1"/>
    </xf>
    <xf numFmtId="0" fontId="0" fillId="2" borderId="0" xfId="0" applyFont="1" applyFill="1"/>
    <xf numFmtId="0" fontId="0" fillId="2" borderId="0" xfId="0" applyFont="1" applyFill="1" applyAlignment="1">
      <alignment wrapText="1"/>
    </xf>
    <xf numFmtId="0" fontId="0" fillId="2" borderId="0" xfId="0" applyFont="1" applyFill="1" applyBorder="1"/>
    <xf numFmtId="0" fontId="0" fillId="2" borderId="1" xfId="0" applyFont="1" applyFill="1" applyBorder="1"/>
    <xf numFmtId="0" fontId="0" fillId="3" borderId="3" xfId="0" applyFont="1" applyFill="1" applyBorder="1"/>
    <xf numFmtId="0" fontId="0" fillId="3" borderId="0" xfId="0" applyFont="1" applyFill="1" applyBorder="1"/>
    <xf numFmtId="0" fontId="0" fillId="2" borderId="0" xfId="0" applyFont="1" applyFill="1" applyAlignment="1">
      <alignment horizontal="left" vertical="center"/>
    </xf>
    <xf numFmtId="0" fontId="0" fillId="3" borderId="4" xfId="0" applyFont="1" applyFill="1" applyBorder="1" applyAlignment="1">
      <alignment horizontal="left" vertical="center"/>
    </xf>
    <xf numFmtId="0" fontId="0" fillId="5" borderId="6" xfId="0" applyFont="1" applyFill="1" applyBorder="1" applyAlignment="1">
      <alignment horizontal="left" vertical="center"/>
    </xf>
    <xf numFmtId="0" fontId="0" fillId="5" borderId="7" xfId="0" applyFont="1" applyFill="1" applyBorder="1" applyAlignment="1">
      <alignment horizontal="left" vertical="center"/>
    </xf>
    <xf numFmtId="0" fontId="0" fillId="3" borderId="6" xfId="0" applyFont="1" applyFill="1" applyBorder="1" applyAlignment="1">
      <alignment horizontal="left" vertical="center"/>
    </xf>
    <xf numFmtId="0" fontId="0" fillId="3" borderId="0" xfId="0" applyFont="1" applyFill="1" applyBorder="1" applyAlignment="1">
      <alignment horizontal="left" vertical="center"/>
    </xf>
    <xf numFmtId="0" fontId="0" fillId="3" borderId="4" xfId="0" applyFont="1" applyFill="1" applyBorder="1"/>
    <xf numFmtId="0" fontId="0" fillId="6" borderId="9" xfId="0" applyFont="1" applyFill="1" applyBorder="1"/>
    <xf numFmtId="0" fontId="0" fillId="6" borderId="10" xfId="0" applyFont="1" applyFill="1" applyBorder="1"/>
    <xf numFmtId="0" fontId="0" fillId="6" borderId="11" xfId="0" applyFont="1" applyFill="1" applyBorder="1"/>
    <xf numFmtId="0" fontId="0" fillId="6" borderId="16" xfId="0" applyFont="1" applyFill="1" applyBorder="1"/>
    <xf numFmtId="0" fontId="0" fillId="6" borderId="17" xfId="0" applyFont="1" applyFill="1" applyBorder="1"/>
    <xf numFmtId="0" fontId="0" fillId="6" borderId="18" xfId="0" applyFont="1" applyFill="1" applyBorder="1"/>
    <xf numFmtId="0" fontId="0" fillId="6" borderId="19" xfId="0" applyFont="1" applyFill="1" applyBorder="1"/>
    <xf numFmtId="0" fontId="0" fillId="3" borderId="0" xfId="0" applyFont="1" applyFill="1"/>
    <xf numFmtId="0" fontId="0" fillId="6" borderId="15" xfId="0" applyFont="1" applyFill="1" applyBorder="1"/>
    <xf numFmtId="0" fontId="0" fillId="3" borderId="22" xfId="0" applyFont="1" applyFill="1" applyBorder="1"/>
    <xf numFmtId="0" fontId="0" fillId="3" borderId="1" xfId="0" applyFont="1" applyFill="1" applyBorder="1"/>
    <xf numFmtId="0" fontId="0" fillId="3" borderId="0" xfId="0" applyFont="1" applyFill="1" applyAlignment="1">
      <alignment wrapText="1"/>
    </xf>
    <xf numFmtId="0" fontId="55" fillId="2" borderId="0" xfId="0" applyFont="1" applyFill="1" applyBorder="1" applyAlignment="1">
      <alignment horizontal="right"/>
    </xf>
    <xf numFmtId="0" fontId="56" fillId="3" borderId="2" xfId="0" applyFont="1" applyFill="1" applyBorder="1" applyAlignment="1">
      <alignment horizontal="left"/>
    </xf>
    <xf numFmtId="0" fontId="55" fillId="3" borderId="3" xfId="0" applyFont="1" applyFill="1" applyBorder="1" applyAlignment="1">
      <alignment horizontal="right"/>
    </xf>
    <xf numFmtId="0" fontId="56" fillId="5" borderId="5" xfId="0" applyFont="1" applyFill="1" applyBorder="1" applyAlignment="1">
      <alignment horizontal="left" vertical="center"/>
    </xf>
    <xf numFmtId="0" fontId="56" fillId="3" borderId="0" xfId="0" applyFont="1" applyFill="1" applyBorder="1" applyAlignment="1">
      <alignment horizontal="left" vertical="center"/>
    </xf>
    <xf numFmtId="0" fontId="56" fillId="3" borderId="6" xfId="0" applyFont="1" applyFill="1" applyBorder="1" applyAlignment="1">
      <alignment horizontal="left" vertical="center"/>
    </xf>
    <xf numFmtId="0" fontId="55" fillId="3" borderId="2" xfId="0" applyFont="1" applyFill="1" applyBorder="1" applyAlignment="1">
      <alignment horizontal="left"/>
    </xf>
    <xf numFmtId="0" fontId="55" fillId="3" borderId="3" xfId="0" applyFont="1" applyFill="1" applyBorder="1" applyAlignment="1">
      <alignment horizontal="left"/>
    </xf>
    <xf numFmtId="0" fontId="55" fillId="3" borderId="8" xfId="0" applyFont="1" applyFill="1" applyBorder="1" applyAlignment="1">
      <alignment horizontal="left"/>
    </xf>
    <xf numFmtId="0" fontId="56" fillId="3" borderId="4" xfId="0" applyFont="1" applyFill="1" applyBorder="1" applyAlignment="1">
      <alignment horizontal="left"/>
    </xf>
    <xf numFmtId="0" fontId="56" fillId="3" borderId="0" xfId="0" applyFont="1" applyFill="1" applyBorder="1" applyAlignment="1">
      <alignment horizontal="left"/>
    </xf>
    <xf numFmtId="0" fontId="56" fillId="3" borderId="12" xfId="0" applyFont="1" applyFill="1" applyBorder="1" applyAlignment="1">
      <alignment horizontal="left"/>
    </xf>
    <xf numFmtId="2" fontId="56" fillId="6" borderId="13" xfId="0" applyNumberFormat="1" applyFont="1" applyFill="1" applyBorder="1" applyAlignment="1" applyProtection="1">
      <alignment horizontal="right" wrapText="1"/>
      <protection hidden="1"/>
    </xf>
    <xf numFmtId="0" fontId="55" fillId="3" borderId="14" xfId="0" applyFont="1" applyFill="1" applyBorder="1" applyProtection="1"/>
    <xf numFmtId="0" fontId="55" fillId="6" borderId="15" xfId="0" applyFont="1" applyFill="1" applyBorder="1" applyProtection="1"/>
    <xf numFmtId="0" fontId="55" fillId="3" borderId="14" xfId="0" applyFont="1" applyFill="1" applyBorder="1" applyAlignment="1" applyProtection="1">
      <alignment horizontal="left"/>
    </xf>
    <xf numFmtId="2" fontId="55" fillId="3" borderId="14" xfId="0" applyNumberFormat="1" applyFont="1" applyFill="1" applyBorder="1" applyAlignment="1" applyProtection="1">
      <alignment horizontal="left" wrapText="1"/>
      <protection hidden="1"/>
    </xf>
    <xf numFmtId="0" fontId="55" fillId="6" borderId="17" xfId="0" applyFont="1" applyFill="1" applyBorder="1"/>
    <xf numFmtId="0" fontId="55" fillId="6" borderId="18" xfId="0" applyFont="1" applyFill="1" applyBorder="1"/>
    <xf numFmtId="0" fontId="55" fillId="6" borderId="19" xfId="0" applyFont="1" applyFill="1" applyBorder="1"/>
    <xf numFmtId="2" fontId="56" fillId="6" borderId="0" xfId="0" applyNumberFormat="1" applyFont="1" applyFill="1" applyBorder="1" applyAlignment="1" applyProtection="1">
      <alignment horizontal="right" wrapText="1"/>
      <protection hidden="1"/>
    </xf>
    <xf numFmtId="0" fontId="55" fillId="3" borderId="0" xfId="0" applyFont="1" applyFill="1" applyBorder="1"/>
    <xf numFmtId="0" fontId="56" fillId="6" borderId="9" xfId="0" applyFont="1" applyFill="1" applyBorder="1"/>
    <xf numFmtId="0" fontId="55" fillId="6" borderId="10" xfId="0" applyFont="1" applyFill="1" applyBorder="1" applyProtection="1">
      <protection locked="0"/>
    </xf>
    <xf numFmtId="0" fontId="55" fillId="6" borderId="11" xfId="0" applyFont="1" applyFill="1" applyBorder="1" applyProtection="1">
      <protection locked="0"/>
    </xf>
    <xf numFmtId="2" fontId="56" fillId="6" borderId="13" xfId="0" applyNumberFormat="1" applyFont="1" applyFill="1" applyBorder="1" applyAlignment="1">
      <alignment horizontal="right"/>
    </xf>
    <xf numFmtId="0" fontId="55" fillId="3" borderId="14" xfId="0" applyFont="1" applyFill="1" applyBorder="1" applyProtection="1">
      <protection hidden="1"/>
    </xf>
    <xf numFmtId="0" fontId="55" fillId="6" borderId="15" xfId="0" applyFont="1" applyFill="1" applyBorder="1" applyProtection="1">
      <protection hidden="1"/>
    </xf>
    <xf numFmtId="0" fontId="56" fillId="6" borderId="13" xfId="0" applyFont="1" applyFill="1" applyBorder="1" applyAlignment="1">
      <alignment horizontal="right"/>
    </xf>
    <xf numFmtId="0" fontId="55" fillId="6" borderId="16" xfId="0" applyFont="1" applyFill="1" applyBorder="1"/>
    <xf numFmtId="2" fontId="56" fillId="6" borderId="16" xfId="0" applyNumberFormat="1" applyFont="1" applyFill="1" applyBorder="1" applyAlignment="1" applyProtection="1">
      <alignment horizontal="right" wrapText="1"/>
      <protection hidden="1"/>
    </xf>
    <xf numFmtId="0" fontId="55" fillId="3" borderId="14" xfId="0" applyFont="1" applyFill="1" applyBorder="1" applyAlignment="1">
      <alignment horizontal="left"/>
    </xf>
    <xf numFmtId="0" fontId="55" fillId="0" borderId="14" xfId="0" applyFont="1" applyFill="1" applyBorder="1" applyAlignment="1" applyProtection="1">
      <alignment horizontal="left"/>
    </xf>
    <xf numFmtId="0" fontId="55" fillId="6" borderId="15" xfId="0" applyFont="1" applyFill="1" applyBorder="1"/>
    <xf numFmtId="2" fontId="55" fillId="3" borderId="0" xfId="0" applyNumberFormat="1" applyFont="1" applyFill="1" applyBorder="1" applyAlignment="1">
      <alignment horizontal="right"/>
    </xf>
    <xf numFmtId="2" fontId="55" fillId="3" borderId="0" xfId="0" applyNumberFormat="1" applyFont="1" applyFill="1" applyBorder="1" applyAlignment="1" applyProtection="1">
      <alignment horizontal="right" wrapText="1"/>
      <protection hidden="1"/>
    </xf>
    <xf numFmtId="0" fontId="56" fillId="3" borderId="4" xfId="0" applyFont="1" applyFill="1" applyBorder="1" applyAlignment="1" applyProtection="1">
      <alignment horizontal="left" wrapText="1"/>
      <protection hidden="1"/>
    </xf>
    <xf numFmtId="0" fontId="56" fillId="3" borderId="12" xfId="0" applyFont="1" applyFill="1" applyBorder="1" applyAlignment="1" applyProtection="1">
      <alignment horizontal="left" wrapText="1"/>
      <protection hidden="1"/>
    </xf>
    <xf numFmtId="0" fontId="56" fillId="3" borderId="0" xfId="0" applyNumberFormat="1" applyFont="1" applyFill="1" applyBorder="1" applyAlignment="1">
      <alignment vertical="top" wrapText="1"/>
    </xf>
    <xf numFmtId="0" fontId="56" fillId="3" borderId="0" xfId="0" applyNumberFormat="1" applyFont="1" applyFill="1" applyBorder="1" applyAlignment="1">
      <alignment vertical="top"/>
    </xf>
    <xf numFmtId="0" fontId="56" fillId="3" borderId="22" xfId="0" applyFont="1" applyFill="1" applyBorder="1" applyAlignment="1" applyProtection="1">
      <alignment horizontal="left" wrapText="1"/>
      <protection hidden="1"/>
    </xf>
    <xf numFmtId="0" fontId="56" fillId="3" borderId="1" xfId="0" applyFont="1" applyFill="1" applyBorder="1" applyAlignment="1" applyProtection="1">
      <alignment horizontal="left" wrapText="1"/>
      <protection hidden="1"/>
    </xf>
    <xf numFmtId="0" fontId="56" fillId="3" borderId="23" xfId="0" applyFont="1" applyFill="1" applyBorder="1" applyAlignment="1" applyProtection="1">
      <alignment horizontal="left" wrapText="1"/>
      <protection hidden="1"/>
    </xf>
    <xf numFmtId="0" fontId="55" fillId="3" borderId="1" xfId="0" applyFont="1" applyFill="1" applyBorder="1" applyAlignment="1">
      <alignment horizontal="right"/>
    </xf>
    <xf numFmtId="0" fontId="55" fillId="3" borderId="0" xfId="0" applyFont="1" applyFill="1" applyBorder="1" applyAlignment="1">
      <alignment horizontal="right"/>
    </xf>
    <xf numFmtId="0" fontId="55" fillId="3" borderId="14" xfId="0" applyNumberFormat="1" applyFont="1" applyFill="1" applyBorder="1" applyAlignment="1">
      <alignment vertical="top" wrapText="1"/>
    </xf>
    <xf numFmtId="0" fontId="55" fillId="53" borderId="14" xfId="0" applyFont="1" applyFill="1" applyBorder="1" applyAlignment="1" applyProtection="1">
      <alignment horizontal="left" vertical="top" wrapText="1"/>
    </xf>
    <xf numFmtId="0" fontId="55" fillId="63" borderId="14" xfId="0" applyNumberFormat="1" applyFont="1" applyFill="1" applyBorder="1" applyAlignment="1">
      <alignment vertical="top" wrapText="1"/>
    </xf>
    <xf numFmtId="0" fontId="0" fillId="55" borderId="14" xfId="0" applyFont="1" applyFill="1" applyBorder="1" applyAlignment="1" applyProtection="1">
      <alignment vertical="top" wrapText="1"/>
    </xf>
    <xf numFmtId="0" fontId="0" fillId="49" borderId="14" xfId="0" applyFont="1" applyFill="1" applyBorder="1" applyAlignment="1" applyProtection="1">
      <alignment vertical="top" wrapText="1"/>
    </xf>
    <xf numFmtId="0" fontId="56" fillId="3" borderId="14" xfId="0" applyNumberFormat="1" applyFont="1" applyFill="1" applyBorder="1" applyAlignment="1">
      <alignment vertical="top" wrapText="1"/>
    </xf>
    <xf numFmtId="0" fontId="56" fillId="3" borderId="1" xfId="0" applyNumberFormat="1" applyFont="1" applyFill="1" applyBorder="1" applyAlignment="1">
      <alignment vertical="top" wrapText="1"/>
    </xf>
    <xf numFmtId="0" fontId="0" fillId="0" borderId="14" xfId="0" applyFont="1" applyFill="1" applyBorder="1" applyAlignment="1" applyProtection="1">
      <alignment vertical="top" wrapText="1"/>
      <protection locked="0"/>
    </xf>
    <xf numFmtId="0" fontId="58" fillId="50" borderId="20" xfId="0" applyFont="1" applyFill="1" applyBorder="1" applyProtection="1">
      <protection locked="0"/>
    </xf>
    <xf numFmtId="0" fontId="59" fillId="50" borderId="14" xfId="0" applyFont="1" applyFill="1" applyBorder="1" applyProtection="1">
      <protection locked="0"/>
    </xf>
    <xf numFmtId="0" fontId="0" fillId="50" borderId="16" xfId="0" applyFont="1" applyFill="1" applyBorder="1" applyProtection="1">
      <protection locked="0"/>
    </xf>
    <xf numFmtId="0" fontId="0" fillId="0" borderId="0" xfId="0" applyProtection="1"/>
    <xf numFmtId="0" fontId="49" fillId="0" borderId="0" xfId="0" applyFont="1" applyProtection="1"/>
    <xf numFmtId="0" fontId="0" fillId="0" borderId="0" xfId="0" applyAlignment="1" applyProtection="1">
      <alignment horizontal="left"/>
    </xf>
    <xf numFmtId="0" fontId="0" fillId="0" borderId="20" xfId="0" applyBorder="1" applyProtection="1"/>
    <xf numFmtId="0" fontId="0" fillId="0" borderId="16" xfId="0" applyBorder="1" applyProtection="1"/>
    <xf numFmtId="0" fontId="0" fillId="0" borderId="21" xfId="0" applyBorder="1" applyProtection="1"/>
    <xf numFmtId="0" fontId="0" fillId="0" borderId="14" xfId="0" applyBorder="1" applyProtection="1"/>
    <xf numFmtId="0" fontId="0" fillId="0" borderId="0" xfId="0" applyFont="1" applyProtection="1"/>
    <xf numFmtId="0" fontId="0" fillId="0" borderId="5" xfId="0" applyBorder="1" applyProtection="1"/>
    <xf numFmtId="0" fontId="0" fillId="0" borderId="6" xfId="0" applyBorder="1" applyProtection="1"/>
    <xf numFmtId="0" fontId="0" fillId="0" borderId="7" xfId="0" applyBorder="1" applyProtection="1"/>
    <xf numFmtId="0" fontId="0" fillId="23" borderId="64" xfId="0" applyFill="1" applyBorder="1" applyAlignment="1" applyProtection="1"/>
    <xf numFmtId="0" fontId="0" fillId="23" borderId="80" xfId="0" applyFill="1" applyBorder="1" applyAlignment="1" applyProtection="1"/>
    <xf numFmtId="0" fontId="0" fillId="23" borderId="81" xfId="0" applyFill="1" applyBorder="1" applyAlignment="1" applyProtection="1"/>
    <xf numFmtId="0" fontId="0" fillId="63" borderId="64" xfId="0" applyFont="1" applyFill="1" applyBorder="1" applyProtection="1"/>
    <xf numFmtId="0" fontId="0" fillId="50" borderId="67" xfId="0" applyFill="1" applyBorder="1" applyProtection="1"/>
    <xf numFmtId="0" fontId="0" fillId="55" borderId="66" xfId="0" applyFill="1" applyBorder="1" applyAlignment="1" applyProtection="1">
      <alignment vertical="top" wrapText="1"/>
    </xf>
    <xf numFmtId="0" fontId="0" fillId="49" borderId="65" xfId="0" applyFill="1" applyBorder="1" applyAlignment="1" applyProtection="1">
      <alignment vertical="top" wrapText="1"/>
    </xf>
    <xf numFmtId="0" fontId="0" fillId="56" borderId="20" xfId="0" applyFill="1" applyBorder="1" applyProtection="1"/>
    <xf numFmtId="0" fontId="0" fillId="0" borderId="9" xfId="0" applyBorder="1" applyProtection="1"/>
    <xf numFmtId="0" fontId="0" fillId="0" borderId="11" xfId="0" applyBorder="1" applyProtection="1"/>
    <xf numFmtId="0" fontId="0" fillId="62" borderId="14" xfId="0" applyFill="1" applyBorder="1" applyProtection="1"/>
    <xf numFmtId="0" fontId="0" fillId="0" borderId="49" xfId="0" applyBorder="1" applyProtection="1"/>
    <xf numFmtId="0" fontId="0" fillId="50" borderId="7" xfId="0" applyFill="1" applyBorder="1" applyProtection="1"/>
    <xf numFmtId="0" fontId="0" fillId="55" borderId="21" xfId="0" applyFill="1" applyBorder="1" applyAlignment="1" applyProtection="1">
      <alignment vertical="top" wrapText="1"/>
    </xf>
    <xf numFmtId="0" fontId="0" fillId="49" borderId="104" xfId="0" applyFill="1" applyBorder="1" applyAlignment="1" applyProtection="1">
      <alignment vertical="top" wrapText="1"/>
    </xf>
    <xf numFmtId="0" fontId="0" fillId="23" borderId="59" xfId="0" applyFont="1" applyFill="1" applyBorder="1" applyProtection="1"/>
    <xf numFmtId="0" fontId="0" fillId="23" borderId="14" xfId="0" applyFont="1" applyFill="1" applyBorder="1" applyProtection="1"/>
    <xf numFmtId="0" fontId="0" fillId="23" borderId="92" xfId="0" applyFont="1" applyFill="1" applyBorder="1" applyProtection="1"/>
    <xf numFmtId="0" fontId="0" fillId="56" borderId="14" xfId="0" applyFill="1" applyBorder="1" applyProtection="1"/>
    <xf numFmtId="0" fontId="0" fillId="0" borderId="13" xfId="0" applyBorder="1" applyProtection="1"/>
    <xf numFmtId="0" fontId="0" fillId="0" borderId="15" xfId="0" applyBorder="1" applyProtection="1"/>
    <xf numFmtId="0" fontId="0" fillId="0" borderId="37" xfId="0" applyBorder="1" applyProtection="1"/>
    <xf numFmtId="0" fontId="0" fillId="62" borderId="5" xfId="0" applyFill="1" applyBorder="1" applyProtection="1"/>
    <xf numFmtId="0" fontId="0" fillId="22" borderId="64" xfId="0" applyFont="1" applyFill="1" applyBorder="1" applyProtection="1"/>
    <xf numFmtId="0" fontId="0" fillId="61" borderId="64" xfId="0" applyFont="1" applyFill="1" applyBorder="1" applyProtection="1"/>
    <xf numFmtId="0" fontId="0" fillId="56" borderId="21" xfId="0" applyFill="1" applyBorder="1" applyProtection="1"/>
    <xf numFmtId="0" fontId="0" fillId="64" borderId="64" xfId="0" applyFont="1" applyFill="1" applyBorder="1" applyAlignment="1" applyProtection="1">
      <alignment wrapText="1"/>
    </xf>
    <xf numFmtId="0" fontId="0" fillId="19" borderId="14" xfId="0" applyFill="1" applyBorder="1" applyProtection="1"/>
    <xf numFmtId="0" fontId="0" fillId="62" borderId="7" xfId="0" applyFill="1" applyBorder="1" applyProtection="1"/>
    <xf numFmtId="0" fontId="0" fillId="0" borderId="17" xfId="0" applyBorder="1" applyProtection="1"/>
    <xf numFmtId="0" fontId="0" fillId="50" borderId="100" xfId="0" applyFill="1" applyBorder="1" applyProtection="1"/>
    <xf numFmtId="0" fontId="0" fillId="50" borderId="19" xfId="0" applyFill="1" applyBorder="1" applyProtection="1"/>
    <xf numFmtId="0" fontId="0" fillId="56" borderId="16" xfId="0" applyFill="1" applyBorder="1" applyProtection="1"/>
    <xf numFmtId="0" fontId="0" fillId="0" borderId="0" xfId="0" applyBorder="1" applyProtection="1"/>
    <xf numFmtId="0" fontId="0" fillId="62" borderId="14" xfId="0" applyFont="1" applyFill="1" applyBorder="1" applyProtection="1"/>
    <xf numFmtId="0" fontId="0" fillId="23" borderId="53" xfId="0" applyFont="1" applyFill="1" applyBorder="1" applyProtection="1"/>
    <xf numFmtId="0" fontId="0" fillId="23" borderId="20" xfId="0" applyFont="1" applyFill="1" applyBorder="1" applyProtection="1"/>
    <xf numFmtId="0" fontId="0" fillId="23" borderId="99" xfId="0" applyFont="1" applyFill="1" applyBorder="1" applyProtection="1"/>
    <xf numFmtId="0" fontId="0" fillId="0" borderId="10" xfId="0" applyBorder="1" applyProtection="1"/>
    <xf numFmtId="0" fontId="0" fillId="0" borderId="18" xfId="0" applyBorder="1" applyProtection="1"/>
    <xf numFmtId="0" fontId="24" fillId="51" borderId="36" xfId="0" applyFont="1" applyFill="1" applyBorder="1" applyAlignment="1" applyProtection="1">
      <alignment vertical="center"/>
    </xf>
    <xf numFmtId="0" fontId="24" fillId="51" borderId="0" xfId="0" applyFont="1" applyFill="1" applyAlignment="1" applyProtection="1">
      <alignment vertical="center"/>
    </xf>
    <xf numFmtId="0" fontId="0" fillId="62" borderId="21" xfId="0" applyFill="1" applyBorder="1" applyProtection="1"/>
    <xf numFmtId="0" fontId="0" fillId="65" borderId="0" xfId="0" applyFill="1" applyProtection="1"/>
    <xf numFmtId="0" fontId="0" fillId="0" borderId="19" xfId="0" applyBorder="1" applyProtection="1"/>
    <xf numFmtId="0" fontId="0" fillId="62" borderId="41" xfId="0" applyFill="1" applyBorder="1" applyProtection="1"/>
    <xf numFmtId="0" fontId="0" fillId="62" borderId="17" xfId="0" applyFill="1" applyBorder="1" applyProtection="1"/>
    <xf numFmtId="0" fontId="0" fillId="62" borderId="9" xfId="0" applyFill="1" applyBorder="1" applyProtection="1"/>
    <xf numFmtId="0" fontId="55" fillId="3" borderId="0" xfId="0" applyFont="1" applyFill="1" applyBorder="1" applyAlignment="1">
      <alignment horizontal="left"/>
    </xf>
    <xf numFmtId="0" fontId="56" fillId="3" borderId="0" xfId="0" applyFont="1" applyFill="1" applyBorder="1" applyAlignment="1">
      <alignment horizontal="right"/>
    </xf>
    <xf numFmtId="0" fontId="65" fillId="3" borderId="0" xfId="0" applyFont="1" applyFill="1" applyBorder="1" applyAlignment="1">
      <alignment horizontal="right"/>
    </xf>
    <xf numFmtId="0" fontId="0" fillId="23" borderId="81" xfId="0" applyFill="1" applyBorder="1" applyAlignment="1" applyProtection="1">
      <alignment horizontal="center"/>
    </xf>
    <xf numFmtId="0" fontId="0" fillId="0" borderId="0" xfId="0" applyProtection="1">
      <protection hidden="1"/>
    </xf>
    <xf numFmtId="0" fontId="56" fillId="5" borderId="6" xfId="0" applyFont="1" applyFill="1" applyBorder="1" applyAlignment="1">
      <alignment horizontal="left" vertical="center"/>
    </xf>
    <xf numFmtId="0" fontId="56" fillId="6" borderId="10" xfId="0" applyFont="1" applyFill="1" applyBorder="1"/>
    <xf numFmtId="2" fontId="56" fillId="6" borderId="0" xfId="0" applyNumberFormat="1" applyFont="1" applyFill="1" applyBorder="1" applyAlignment="1">
      <alignment horizontal="right"/>
    </xf>
    <xf numFmtId="0" fontId="0" fillId="3" borderId="12" xfId="0" applyFont="1" applyFill="1" applyBorder="1" applyAlignment="1">
      <alignment horizontal="left" vertical="center" wrapText="1"/>
    </xf>
    <xf numFmtId="0" fontId="0" fillId="3" borderId="12" xfId="0" applyFont="1" applyFill="1" applyBorder="1" applyAlignment="1">
      <alignment wrapText="1"/>
    </xf>
    <xf numFmtId="0" fontId="55" fillId="3" borderId="12" xfId="0" applyFont="1" applyFill="1" applyBorder="1" applyAlignment="1" applyProtection="1">
      <alignment horizontal="left" vertical="center" wrapText="1"/>
      <protection locked="0"/>
    </xf>
    <xf numFmtId="0" fontId="55" fillId="3" borderId="12" xfId="0" applyFont="1" applyFill="1" applyBorder="1" applyAlignment="1" applyProtection="1">
      <alignment horizontal="left" vertical="center" wrapText="1"/>
      <protection hidden="1"/>
    </xf>
    <xf numFmtId="0" fontId="0" fillId="3" borderId="23" xfId="0" applyFont="1" applyFill="1" applyBorder="1" applyAlignment="1">
      <alignment wrapText="1"/>
    </xf>
    <xf numFmtId="0" fontId="55" fillId="3" borderId="8" xfId="0" applyFont="1" applyFill="1" applyBorder="1" applyAlignment="1">
      <alignment horizontal="right"/>
    </xf>
    <xf numFmtId="0" fontId="56" fillId="3" borderId="12" xfId="0" applyFont="1" applyFill="1" applyBorder="1" applyAlignment="1">
      <alignment horizontal="left" vertical="center"/>
    </xf>
    <xf numFmtId="0" fontId="55" fillId="3" borderId="23" xfId="0" applyFont="1" applyFill="1" applyBorder="1" applyAlignment="1">
      <alignment horizontal="right"/>
    </xf>
    <xf numFmtId="0" fontId="55" fillId="3" borderId="128" xfId="0" applyFont="1" applyFill="1" applyBorder="1" applyAlignment="1">
      <alignment horizontal="left"/>
    </xf>
    <xf numFmtId="0" fontId="56" fillId="3" borderId="128" xfId="0" applyFont="1" applyFill="1" applyBorder="1" applyAlignment="1">
      <alignment horizontal="left"/>
    </xf>
    <xf numFmtId="0" fontId="56" fillId="3" borderId="128" xfId="0" applyFont="1" applyFill="1" applyBorder="1" applyAlignment="1" applyProtection="1">
      <alignment horizontal="left" wrapText="1"/>
      <protection hidden="1"/>
    </xf>
    <xf numFmtId="0" fontId="56" fillId="0" borderId="12" xfId="0" applyFont="1" applyFill="1" applyBorder="1" applyAlignment="1">
      <alignment horizontal="center" vertical="center"/>
    </xf>
    <xf numFmtId="0" fontId="56" fillId="3" borderId="1" xfId="0" applyFont="1" applyFill="1" applyBorder="1" applyAlignment="1" applyProtection="1">
      <alignment horizontal="right" wrapText="1"/>
      <protection hidden="1"/>
    </xf>
    <xf numFmtId="0" fontId="66" fillId="3" borderId="0" xfId="0" applyNumberFormat="1" applyFont="1" applyFill="1" applyBorder="1" applyAlignment="1">
      <alignment horizontal="right" vertical="top" wrapText="1"/>
    </xf>
    <xf numFmtId="0" fontId="0" fillId="0" borderId="0" xfId="0" applyFill="1" applyProtection="1">
      <protection locked="0"/>
    </xf>
    <xf numFmtId="0" fontId="0" fillId="0" borderId="12" xfId="0" applyNumberFormat="1" applyFill="1" applyBorder="1" applyAlignment="1" applyProtection="1">
      <alignment vertical="top"/>
      <protection hidden="1"/>
    </xf>
    <xf numFmtId="0" fontId="0" fillId="0" borderId="0" xfId="0" applyNumberFormat="1" applyFill="1" applyBorder="1" applyAlignment="1" applyProtection="1">
      <alignment vertical="top"/>
      <protection hidden="1"/>
    </xf>
    <xf numFmtId="9" fontId="0" fillId="0" borderId="0" xfId="0" applyNumberFormat="1" applyFill="1" applyBorder="1" applyAlignment="1" applyProtection="1">
      <alignment vertical="top"/>
      <protection hidden="1"/>
    </xf>
    <xf numFmtId="0" fontId="12" fillId="0" borderId="12" xfId="0" applyNumberFormat="1" applyFont="1" applyFill="1" applyBorder="1" applyAlignment="1" applyProtection="1">
      <alignment wrapText="1"/>
      <protection hidden="1"/>
    </xf>
    <xf numFmtId="0" fontId="0" fillId="0" borderId="0" xfId="0" applyBorder="1" applyProtection="1">
      <protection hidden="1"/>
    </xf>
    <xf numFmtId="0" fontId="0" fillId="0" borderId="12" xfId="0" applyBorder="1" applyProtection="1">
      <protection hidden="1"/>
    </xf>
    <xf numFmtId="0" fontId="0" fillId="0" borderId="23" xfId="0" applyNumberFormat="1" applyFill="1" applyBorder="1" applyAlignment="1" applyProtection="1">
      <alignment vertical="top"/>
      <protection hidden="1"/>
    </xf>
    <xf numFmtId="0" fontId="26" fillId="0" borderId="0" xfId="0" applyFont="1" applyProtection="1"/>
    <xf numFmtId="0" fontId="0" fillId="0" borderId="14" xfId="0" applyNumberFormat="1" applyFill="1" applyBorder="1" applyAlignment="1" applyProtection="1">
      <alignment vertical="top"/>
      <protection hidden="1"/>
    </xf>
    <xf numFmtId="9" fontId="0" fillId="48" borderId="97" xfId="0" applyNumberFormat="1" applyFont="1" applyFill="1" applyBorder="1" applyAlignment="1" applyProtection="1">
      <alignment horizontal="center" vertical="top" wrapText="1"/>
      <protection hidden="1"/>
    </xf>
    <xf numFmtId="9" fontId="0" fillId="48" borderId="6" xfId="0" applyNumberFormat="1" applyFont="1" applyFill="1" applyBorder="1" applyAlignment="1" applyProtection="1">
      <alignment horizontal="center" vertical="top" wrapText="1"/>
      <protection hidden="1"/>
    </xf>
    <xf numFmtId="9" fontId="0" fillId="48" borderId="112" xfId="0" applyNumberFormat="1" applyFont="1" applyFill="1" applyBorder="1" applyAlignment="1" applyProtection="1">
      <alignment horizontal="center" vertical="top" wrapText="1"/>
      <protection hidden="1"/>
    </xf>
    <xf numFmtId="0" fontId="0" fillId="2" borderId="0" xfId="0" applyFill="1" applyProtection="1"/>
    <xf numFmtId="0" fontId="0" fillId="2" borderId="118" xfId="0" applyFill="1" applyBorder="1" applyProtection="1"/>
    <xf numFmtId="0" fontId="0" fillId="3" borderId="0" xfId="0" applyFill="1" applyProtection="1"/>
    <xf numFmtId="0" fontId="0" fillId="3" borderId="3" xfId="0" applyFill="1" applyBorder="1" applyProtection="1"/>
    <xf numFmtId="0" fontId="0" fillId="66" borderId="6" xfId="0" applyFill="1" applyBorder="1" applyAlignment="1" applyProtection="1">
      <alignment horizontal="left" vertical="center"/>
    </xf>
    <xf numFmtId="0" fontId="0" fillId="66" borderId="7" xfId="0" applyFill="1" applyBorder="1" applyAlignment="1" applyProtection="1">
      <alignment horizontal="left" vertical="center"/>
    </xf>
    <xf numFmtId="0" fontId="0" fillId="5" borderId="6" xfId="0" applyFill="1" applyBorder="1" applyAlignment="1" applyProtection="1">
      <alignment horizontal="left" vertical="center"/>
    </xf>
    <xf numFmtId="0" fontId="26" fillId="5" borderId="6" xfId="0" applyFont="1" applyFill="1" applyBorder="1" applyAlignment="1" applyProtection="1">
      <alignment horizontal="left" vertical="center"/>
    </xf>
    <xf numFmtId="0" fontId="26" fillId="5" borderId="7" xfId="0" applyFont="1" applyFill="1" applyBorder="1" applyAlignment="1" applyProtection="1">
      <alignment horizontal="left" vertical="center"/>
    </xf>
    <xf numFmtId="0" fontId="2" fillId="5" borderId="5" xfId="0" applyFont="1" applyFill="1" applyBorder="1" applyAlignment="1" applyProtection="1">
      <alignment horizontal="left" vertical="center"/>
    </xf>
    <xf numFmtId="0" fontId="2" fillId="5" borderId="6" xfId="0" applyFont="1" applyFill="1" applyBorder="1" applyAlignment="1" applyProtection="1">
      <alignment horizontal="left" vertical="center"/>
    </xf>
    <xf numFmtId="0" fontId="0" fillId="5" borderId="7" xfId="0" applyFill="1" applyBorder="1" applyAlignment="1" applyProtection="1">
      <alignment horizontal="left" vertical="center"/>
    </xf>
    <xf numFmtId="0" fontId="0" fillId="2" borderId="0" xfId="0" applyFill="1" applyAlignment="1" applyProtection="1">
      <alignment horizontal="left" vertical="center"/>
    </xf>
    <xf numFmtId="0" fontId="0" fillId="3" borderId="0" xfId="0" applyFill="1" applyAlignment="1" applyProtection="1">
      <alignment horizontal="left" vertical="center"/>
    </xf>
    <xf numFmtId="0" fontId="0" fillId="3" borderId="6" xfId="0" applyFill="1" applyBorder="1" applyAlignment="1" applyProtection="1">
      <alignment horizontal="left" vertical="center"/>
    </xf>
    <xf numFmtId="0" fontId="0" fillId="3" borderId="10" xfId="0" applyFill="1" applyBorder="1" applyAlignment="1" applyProtection="1">
      <alignment horizontal="left" vertical="center"/>
    </xf>
    <xf numFmtId="0" fontId="0" fillId="58" borderId="14" xfId="0" applyFont="1" applyFill="1" applyBorder="1" applyProtection="1"/>
    <xf numFmtId="0" fontId="0" fillId="58" borderId="11" xfId="0" applyFill="1" applyBorder="1" applyProtection="1"/>
    <xf numFmtId="0" fontId="0" fillId="6" borderId="11" xfId="0" applyFill="1" applyBorder="1" applyProtection="1"/>
    <xf numFmtId="0" fontId="0" fillId="6" borderId="10" xfId="0" applyFill="1" applyBorder="1" applyProtection="1"/>
    <xf numFmtId="0" fontId="0" fillId="6" borderId="63" xfId="0" applyFill="1" applyBorder="1" applyProtection="1"/>
    <xf numFmtId="0" fontId="0" fillId="6" borderId="62" xfId="0" applyFill="1" applyBorder="1" applyProtection="1"/>
    <xf numFmtId="0" fontId="0" fillId="6" borderId="55" xfId="0" applyFill="1" applyBorder="1" applyProtection="1"/>
    <xf numFmtId="0" fontId="0" fillId="6" borderId="9" xfId="0" applyFill="1" applyBorder="1" applyProtection="1"/>
    <xf numFmtId="0" fontId="55" fillId="58" borderId="0" xfId="0" applyFont="1" applyFill="1" applyBorder="1" applyProtection="1"/>
    <xf numFmtId="0" fontId="55" fillId="58" borderId="20" xfId="0" applyFont="1" applyFill="1" applyBorder="1" applyProtection="1"/>
    <xf numFmtId="0" fontId="5" fillId="58" borderId="15" xfId="0" applyFont="1" applyFill="1" applyBorder="1" applyProtection="1"/>
    <xf numFmtId="2" fontId="0" fillId="6" borderId="15" xfId="0" applyNumberFormat="1" applyFill="1" applyBorder="1" applyProtection="1"/>
    <xf numFmtId="0" fontId="0" fillId="6" borderId="0" xfId="0" applyFill="1" applyBorder="1" applyProtection="1"/>
    <xf numFmtId="0" fontId="0" fillId="6" borderId="46" xfId="0" applyFill="1" applyBorder="1" applyProtection="1"/>
    <xf numFmtId="0" fontId="5" fillId="6" borderId="0" xfId="0" applyFont="1" applyFill="1" applyBorder="1" applyAlignment="1" applyProtection="1">
      <alignment horizontal="left"/>
    </xf>
    <xf numFmtId="0" fontId="5" fillId="6" borderId="46" xfId="0" applyFont="1" applyFill="1" applyBorder="1" applyProtection="1"/>
    <xf numFmtId="0" fontId="0" fillId="6" borderId="36" xfId="0" applyFill="1" applyBorder="1" applyProtection="1"/>
    <xf numFmtId="0" fontId="0" fillId="6" borderId="15" xfId="0" applyFill="1" applyBorder="1" applyProtection="1"/>
    <xf numFmtId="0" fontId="0" fillId="6" borderId="13" xfId="0" applyFill="1" applyBorder="1" applyProtection="1"/>
    <xf numFmtId="0" fontId="55" fillId="58" borderId="16" xfId="0" applyFont="1" applyFill="1" applyBorder="1" applyProtection="1"/>
    <xf numFmtId="0" fontId="5" fillId="6" borderId="15" xfId="0" applyFont="1" applyFill="1" applyBorder="1" applyProtection="1"/>
    <xf numFmtId="0" fontId="5" fillId="6" borderId="0" xfId="0" applyFont="1" applyFill="1" applyBorder="1" applyProtection="1"/>
    <xf numFmtId="0" fontId="5" fillId="6" borderId="36" xfId="0" applyFont="1" applyFill="1" applyBorder="1" applyProtection="1"/>
    <xf numFmtId="0" fontId="5" fillId="50" borderId="14" xfId="0" applyFont="1" applyFill="1" applyBorder="1" applyProtection="1"/>
    <xf numFmtId="0" fontId="0" fillId="50" borderId="14" xfId="0" applyFill="1" applyBorder="1" applyProtection="1"/>
    <xf numFmtId="2" fontId="3" fillId="6" borderId="0" xfId="0" applyNumberFormat="1" applyFont="1" applyFill="1" applyBorder="1" applyAlignment="1" applyProtection="1">
      <alignment horizontal="right" wrapText="1"/>
    </xf>
    <xf numFmtId="0" fontId="4" fillId="6" borderId="0" xfId="0" applyFont="1" applyFill="1" applyBorder="1" applyAlignment="1" applyProtection="1">
      <alignment horizontal="left"/>
    </xf>
    <xf numFmtId="2" fontId="3" fillId="6" borderId="13" xfId="0" applyNumberFormat="1" applyFont="1" applyFill="1" applyBorder="1" applyAlignment="1" applyProtection="1">
      <alignment horizontal="right" wrapText="1"/>
    </xf>
    <xf numFmtId="0" fontId="0" fillId="58" borderId="0" xfId="0" applyFont="1" applyFill="1" applyBorder="1" applyProtection="1"/>
    <xf numFmtId="2" fontId="4" fillId="6" borderId="36" xfId="0" applyNumberFormat="1" applyFont="1" applyFill="1" applyBorder="1" applyAlignment="1" applyProtection="1">
      <alignment horizontal="right" wrapText="1"/>
    </xf>
    <xf numFmtId="2" fontId="4" fillId="6" borderId="13" xfId="0" applyNumberFormat="1" applyFont="1" applyFill="1" applyBorder="1" applyAlignment="1" applyProtection="1">
      <alignment horizontal="right" wrapText="1"/>
    </xf>
    <xf numFmtId="2" fontId="4" fillId="6" borderId="0" xfId="0" applyNumberFormat="1" applyFont="1" applyFill="1" applyBorder="1" applyAlignment="1" applyProtection="1">
      <alignment horizontal="right" wrapText="1"/>
    </xf>
    <xf numFmtId="0" fontId="5" fillId="50" borderId="5" xfId="0" applyFont="1" applyFill="1" applyBorder="1" applyProtection="1"/>
    <xf numFmtId="0" fontId="0" fillId="6" borderId="0" xfId="0" applyFont="1" applyFill="1" applyBorder="1" applyProtection="1"/>
    <xf numFmtId="0" fontId="4" fillId="50" borderId="14" xfId="0" applyFont="1" applyFill="1" applyBorder="1" applyProtection="1"/>
    <xf numFmtId="0" fontId="0" fillId="6" borderId="36" xfId="0" applyFont="1" applyFill="1" applyBorder="1" applyAlignment="1" applyProtection="1">
      <alignment horizontal="right"/>
    </xf>
    <xf numFmtId="0" fontId="26" fillId="6" borderId="36" xfId="0" applyFont="1" applyFill="1" applyBorder="1" applyAlignment="1" applyProtection="1">
      <alignment horizontal="right"/>
    </xf>
    <xf numFmtId="0" fontId="26" fillId="6" borderId="0" xfId="0" applyFont="1" applyFill="1" applyBorder="1" applyAlignment="1" applyProtection="1">
      <alignment horizontal="right"/>
    </xf>
    <xf numFmtId="0" fontId="0" fillId="6" borderId="13" xfId="0" applyFont="1" applyFill="1" applyBorder="1" applyAlignment="1" applyProtection="1">
      <alignment horizontal="right"/>
    </xf>
    <xf numFmtId="0" fontId="0" fillId="6" borderId="0" xfId="0" applyFont="1" applyFill="1" applyBorder="1" applyAlignment="1" applyProtection="1">
      <alignment horizontal="right"/>
    </xf>
    <xf numFmtId="0" fontId="0" fillId="6" borderId="36" xfId="0" applyFill="1" applyBorder="1" applyAlignment="1" applyProtection="1">
      <alignment horizontal="right"/>
    </xf>
    <xf numFmtId="0" fontId="0" fillId="6" borderId="0" xfId="0" applyFill="1" applyBorder="1" applyAlignment="1" applyProtection="1">
      <alignment horizontal="right"/>
    </xf>
    <xf numFmtId="0" fontId="0" fillId="58" borderId="16" xfId="0" applyFont="1" applyFill="1" applyBorder="1" applyProtection="1"/>
    <xf numFmtId="0" fontId="0" fillId="58" borderId="0" xfId="0" applyFill="1" applyBorder="1" applyProtection="1"/>
    <xf numFmtId="0" fontId="0" fillId="58" borderId="16" xfId="0" applyFill="1" applyBorder="1" applyProtection="1"/>
    <xf numFmtId="0" fontId="0" fillId="58" borderId="21" xfId="0" applyFill="1" applyBorder="1" applyProtection="1"/>
    <xf numFmtId="0" fontId="0" fillId="6" borderId="41" xfId="0" applyFill="1" applyBorder="1" applyProtection="1"/>
    <xf numFmtId="0" fontId="0" fillId="6" borderId="39" xfId="0" applyFill="1" applyBorder="1" applyProtection="1"/>
    <xf numFmtId="0" fontId="0" fillId="6" borderId="42" xfId="0" applyFill="1" applyBorder="1" applyProtection="1"/>
    <xf numFmtId="0" fontId="5" fillId="6" borderId="39" xfId="0" applyFont="1" applyFill="1" applyBorder="1" applyProtection="1"/>
    <xf numFmtId="0" fontId="0" fillId="6" borderId="18" xfId="0" applyFill="1" applyBorder="1" applyProtection="1"/>
    <xf numFmtId="0" fontId="5" fillId="6" borderId="19" xfId="0" applyFont="1" applyFill="1" applyBorder="1" applyProtection="1"/>
    <xf numFmtId="0" fontId="0" fillId="6" borderId="17" xfId="0" applyFill="1" applyBorder="1" applyProtection="1"/>
    <xf numFmtId="0" fontId="0" fillId="58" borderId="19" xfId="0" applyFill="1" applyBorder="1" applyProtection="1"/>
    <xf numFmtId="0" fontId="0" fillId="3" borderId="0" xfId="0" applyFill="1" applyBorder="1" applyProtection="1"/>
    <xf numFmtId="0" fontId="0" fillId="3" borderId="1" xfId="0" applyFill="1" applyBorder="1" applyProtection="1"/>
    <xf numFmtId="0" fontId="4" fillId="6" borderId="13" xfId="0" applyFont="1" applyFill="1" applyBorder="1" applyAlignment="1" applyProtection="1">
      <alignment horizontal="right"/>
    </xf>
    <xf numFmtId="0" fontId="0" fillId="0" borderId="0" xfId="0" applyAlignment="1" applyProtection="1">
      <alignment horizontal="right"/>
    </xf>
    <xf numFmtId="0" fontId="23" fillId="21" borderId="0" xfId="2" applyProtection="1"/>
    <xf numFmtId="0" fontId="0" fillId="3" borderId="22" xfId="0" applyFill="1" applyBorder="1" applyProtection="1"/>
    <xf numFmtId="0" fontId="6" fillId="3" borderId="1" xfId="0" applyFont="1" applyFill="1" applyBorder="1" applyAlignment="1" applyProtection="1">
      <alignment horizontal="right"/>
    </xf>
    <xf numFmtId="0" fontId="0" fillId="3" borderId="1" xfId="0" applyFill="1" applyBorder="1" applyAlignment="1" applyProtection="1">
      <alignment wrapText="1"/>
    </xf>
    <xf numFmtId="0" fontId="6" fillId="2" borderId="0" xfId="0" applyFont="1" applyFill="1" applyBorder="1" applyAlignment="1" applyProtection="1">
      <alignment horizontal="right"/>
    </xf>
    <xf numFmtId="0" fontId="0" fillId="2" borderId="0" xfId="0" applyFill="1" applyAlignment="1" applyProtection="1">
      <alignment wrapText="1"/>
    </xf>
    <xf numFmtId="0" fontId="6" fillId="3" borderId="0" xfId="0" applyFont="1" applyFill="1" applyBorder="1" applyAlignment="1" applyProtection="1">
      <alignment horizontal="right"/>
    </xf>
    <xf numFmtId="0" fontId="0" fillId="3" borderId="0" xfId="0" applyFill="1" applyAlignment="1" applyProtection="1">
      <alignment wrapText="1"/>
    </xf>
    <xf numFmtId="2" fontId="0" fillId="50" borderId="14" xfId="0" applyNumberFormat="1" applyFont="1" applyFill="1" applyBorder="1" applyAlignment="1" applyProtection="1">
      <alignment horizontal="left" wrapText="1"/>
      <protection locked="0"/>
    </xf>
    <xf numFmtId="2" fontId="55" fillId="50" borderId="14" xfId="0" applyNumberFormat="1" applyFont="1" applyFill="1" applyBorder="1" applyAlignment="1" applyProtection="1">
      <alignment horizontal="left" wrapText="1"/>
      <protection locked="0"/>
    </xf>
    <xf numFmtId="1" fontId="63" fillId="58" borderId="0" xfId="0" applyNumberFormat="1" applyFont="1" applyFill="1" applyBorder="1" applyAlignment="1" applyProtection="1">
      <alignment horizontal="right" wrapText="1"/>
      <protection locked="0"/>
    </xf>
    <xf numFmtId="0" fontId="63" fillId="58" borderId="0" xfId="0" applyFont="1" applyFill="1" applyBorder="1" applyAlignment="1" applyProtection="1">
      <alignment horizontal="left"/>
      <protection locked="0"/>
    </xf>
    <xf numFmtId="0" fontId="55" fillId="50" borderId="14" xfId="0" applyFont="1" applyFill="1" applyBorder="1" applyAlignment="1" applyProtection="1">
      <alignment horizontal="left"/>
      <protection locked="0"/>
    </xf>
    <xf numFmtId="0" fontId="0" fillId="50" borderId="14" xfId="0" applyFont="1" applyFill="1" applyBorder="1" applyAlignment="1" applyProtection="1">
      <alignment horizontal="left"/>
      <protection locked="0"/>
    </xf>
    <xf numFmtId="0" fontId="0" fillId="58" borderId="0" xfId="0" applyFont="1" applyFill="1" applyBorder="1" applyAlignment="1" applyProtection="1">
      <alignment horizontal="left"/>
      <protection locked="0"/>
    </xf>
    <xf numFmtId="0" fontId="0" fillId="0" borderId="59" xfId="0" applyFont="1" applyFill="1" applyBorder="1" applyAlignment="1" applyProtection="1">
      <alignment vertical="top" wrapText="1"/>
      <protection locked="0"/>
    </xf>
    <xf numFmtId="0" fontId="0" fillId="0" borderId="5" xfId="0" applyFont="1" applyFill="1" applyBorder="1" applyAlignment="1" applyProtection="1">
      <alignment vertical="top" wrapText="1"/>
      <protection locked="0"/>
    </xf>
    <xf numFmtId="0" fontId="0" fillId="0" borderId="7" xfId="0" applyFont="1" applyFill="1" applyBorder="1" applyAlignment="1" applyProtection="1">
      <alignment vertical="top" wrapText="1"/>
      <protection locked="0"/>
    </xf>
    <xf numFmtId="0" fontId="0" fillId="0" borderId="92" xfId="0" applyFont="1" applyFill="1" applyBorder="1" applyAlignment="1" applyProtection="1">
      <alignment vertical="top" wrapText="1"/>
      <protection locked="0"/>
    </xf>
    <xf numFmtId="0" fontId="24" fillId="53" borderId="129" xfId="0" applyFont="1" applyFill="1" applyBorder="1" applyAlignment="1" applyProtection="1">
      <alignment vertical="top" wrapText="1"/>
      <protection locked="0"/>
    </xf>
    <xf numFmtId="0" fontId="0" fillId="50" borderId="32" xfId="0" applyFont="1" applyFill="1" applyBorder="1" applyAlignment="1" applyProtection="1">
      <alignment vertical="top" wrapText="1"/>
      <protection locked="0"/>
    </xf>
    <xf numFmtId="0" fontId="0" fillId="48" borderId="59" xfId="0" applyFont="1" applyFill="1" applyBorder="1" applyAlignment="1" applyProtection="1">
      <alignment horizontal="left" vertical="top" wrapText="1"/>
      <protection locked="0"/>
    </xf>
    <xf numFmtId="0" fontId="0" fillId="48" borderId="92" xfId="0" applyFont="1" applyFill="1" applyBorder="1" applyAlignment="1" applyProtection="1">
      <alignment vertical="top" wrapText="1"/>
      <protection locked="0"/>
    </xf>
    <xf numFmtId="0" fontId="0" fillId="55" borderId="59" xfId="0" applyFont="1" applyFill="1" applyBorder="1" applyAlignment="1" applyProtection="1">
      <alignment horizontal="left" vertical="top" wrapText="1"/>
      <protection locked="0"/>
    </xf>
    <xf numFmtId="0" fontId="0" fillId="49" borderId="59" xfId="0" applyFont="1" applyFill="1" applyBorder="1" applyAlignment="1" applyProtection="1">
      <alignment horizontal="left" vertical="top" wrapText="1"/>
      <protection locked="0"/>
    </xf>
    <xf numFmtId="0" fontId="0" fillId="0" borderId="59" xfId="0" applyFont="1" applyFill="1" applyBorder="1" applyAlignment="1" applyProtection="1">
      <alignment vertical="top" wrapText="1"/>
      <protection hidden="1"/>
    </xf>
    <xf numFmtId="0" fontId="0" fillId="0" borderId="92" xfId="0" applyFont="1" applyFill="1" applyBorder="1" applyAlignment="1" applyProtection="1">
      <alignment vertical="top" wrapText="1"/>
      <protection hidden="1"/>
    </xf>
    <xf numFmtId="0" fontId="0" fillId="0" borderId="7" xfId="0" applyFont="1" applyFill="1" applyBorder="1" applyAlignment="1" applyProtection="1">
      <alignment vertical="top" wrapText="1"/>
      <protection hidden="1"/>
    </xf>
    <xf numFmtId="0" fontId="0" fillId="0" borderId="14" xfId="0" applyFont="1" applyFill="1" applyBorder="1" applyAlignment="1" applyProtection="1">
      <alignment vertical="top" wrapText="1"/>
      <protection hidden="1"/>
    </xf>
    <xf numFmtId="0" fontId="0" fillId="0" borderId="5" xfId="0" applyFont="1" applyFill="1" applyBorder="1" applyAlignment="1" applyProtection="1">
      <alignment vertical="top" wrapText="1"/>
      <protection hidden="1"/>
    </xf>
    <xf numFmtId="0" fontId="0" fillId="47" borderId="32" xfId="0" applyFont="1" applyFill="1" applyBorder="1" applyAlignment="1" applyProtection="1">
      <alignment horizontal="left" vertical="top" wrapText="1"/>
      <protection hidden="1"/>
    </xf>
    <xf numFmtId="0" fontId="0" fillId="50" borderId="32" xfId="0" applyFont="1" applyFill="1" applyBorder="1" applyAlignment="1" applyProtection="1">
      <alignment vertical="top" wrapText="1"/>
      <protection hidden="1"/>
    </xf>
    <xf numFmtId="0" fontId="0" fillId="48" borderId="59" xfId="0" applyFont="1" applyFill="1" applyBorder="1" applyAlignment="1" applyProtection="1">
      <alignment horizontal="left" vertical="top" wrapText="1"/>
      <protection hidden="1"/>
    </xf>
    <xf numFmtId="0" fontId="0" fillId="48" borderId="92" xfId="0" applyFont="1" applyFill="1" applyBorder="1" applyAlignment="1" applyProtection="1">
      <alignment vertical="top" wrapText="1"/>
      <protection hidden="1"/>
    </xf>
    <xf numFmtId="0" fontId="0" fillId="55" borderId="59" xfId="0" applyFont="1" applyFill="1" applyBorder="1" applyAlignment="1" applyProtection="1">
      <alignment horizontal="left" vertical="top" wrapText="1"/>
      <protection hidden="1"/>
    </xf>
    <xf numFmtId="0" fontId="0" fillId="55" borderId="92" xfId="0" applyFont="1" applyFill="1" applyBorder="1" applyAlignment="1" applyProtection="1">
      <alignment vertical="top" wrapText="1"/>
      <protection hidden="1"/>
    </xf>
    <xf numFmtId="0" fontId="0" fillId="49" borderId="59" xfId="0" applyFont="1" applyFill="1" applyBorder="1" applyAlignment="1" applyProtection="1">
      <alignment horizontal="left" vertical="top" wrapText="1"/>
      <protection hidden="1"/>
    </xf>
    <xf numFmtId="0" fontId="0" fillId="49" borderId="92" xfId="0" applyFont="1" applyFill="1" applyBorder="1" applyAlignment="1" applyProtection="1">
      <alignment vertical="top" wrapText="1"/>
      <protection hidden="1"/>
    </xf>
    <xf numFmtId="0" fontId="0" fillId="0" borderId="16" xfId="0" applyBorder="1" applyProtection="1">
      <protection hidden="1"/>
    </xf>
    <xf numFmtId="0" fontId="0" fillId="0" borderId="7" xfId="0" applyBorder="1" applyProtection="1">
      <protection hidden="1"/>
    </xf>
    <xf numFmtId="0" fontId="0" fillId="47" borderId="14" xfId="0" applyFont="1" applyFill="1" applyBorder="1" applyAlignment="1" applyProtection="1">
      <alignment vertical="top" wrapText="1"/>
      <protection hidden="1"/>
    </xf>
    <xf numFmtId="0" fontId="0" fillId="48" borderId="21" xfId="0" applyFont="1" applyFill="1" applyBorder="1" applyAlignment="1" applyProtection="1">
      <alignment vertical="top" wrapText="1"/>
      <protection hidden="1"/>
    </xf>
    <xf numFmtId="0" fontId="0" fillId="55" borderId="21" xfId="0" applyFill="1" applyBorder="1" applyAlignment="1" applyProtection="1">
      <alignment vertical="top" wrapText="1"/>
      <protection hidden="1"/>
    </xf>
    <xf numFmtId="0" fontId="0" fillId="49" borderId="104" xfId="0" applyFill="1" applyBorder="1" applyAlignment="1" applyProtection="1">
      <alignment vertical="top" wrapText="1"/>
      <protection hidden="1"/>
    </xf>
    <xf numFmtId="0" fontId="0" fillId="23" borderId="59" xfId="0" applyFont="1" applyFill="1" applyBorder="1" applyAlignment="1" applyProtection="1">
      <alignment vertical="top" wrapText="1"/>
      <protection hidden="1"/>
    </xf>
    <xf numFmtId="0" fontId="0" fillId="23" borderId="14" xfId="0" applyFont="1" applyFill="1" applyBorder="1" applyAlignment="1" applyProtection="1">
      <alignment vertical="top" wrapText="1"/>
      <protection hidden="1"/>
    </xf>
    <xf numFmtId="0" fontId="0" fillId="23" borderId="92" xfId="0" applyFont="1" applyFill="1" applyBorder="1" applyAlignment="1" applyProtection="1">
      <alignment vertical="top" wrapText="1"/>
      <protection hidden="1"/>
    </xf>
    <xf numFmtId="0" fontId="0" fillId="23" borderId="7" xfId="0" applyFont="1" applyFill="1" applyBorder="1" applyAlignment="1" applyProtection="1">
      <alignment vertical="top" wrapText="1"/>
      <protection hidden="1"/>
    </xf>
    <xf numFmtId="0" fontId="0" fillId="23" borderId="5" xfId="0" applyFont="1" applyFill="1" applyBorder="1" applyAlignment="1" applyProtection="1">
      <alignment vertical="top" wrapText="1"/>
      <protection hidden="1"/>
    </xf>
    <xf numFmtId="0" fontId="0" fillId="23" borderId="43" xfId="0" applyFont="1" applyFill="1" applyBorder="1" applyAlignment="1" applyProtection="1">
      <alignment vertical="top" wrapText="1"/>
      <protection hidden="1"/>
    </xf>
    <xf numFmtId="0" fontId="0" fillId="62" borderId="32" xfId="0" applyFont="1" applyFill="1" applyBorder="1" applyAlignment="1" applyProtection="1">
      <alignment vertical="top" wrapText="1"/>
      <protection hidden="1"/>
    </xf>
    <xf numFmtId="0" fontId="0" fillId="56" borderId="14" xfId="0" applyFill="1" applyBorder="1" applyProtection="1">
      <protection hidden="1"/>
    </xf>
    <xf numFmtId="0" fontId="0" fillId="62" borderId="14" xfId="0" applyFill="1" applyBorder="1" applyProtection="1">
      <protection hidden="1"/>
    </xf>
    <xf numFmtId="0" fontId="0" fillId="0" borderId="14" xfId="0" applyBorder="1" applyProtection="1">
      <protection hidden="1"/>
    </xf>
    <xf numFmtId="0" fontId="46" fillId="53" borderId="57" xfId="0" applyFont="1" applyFill="1" applyBorder="1" applyAlignment="1" applyProtection="1">
      <alignment horizontal="left" vertical="top" wrapText="1"/>
      <protection hidden="1"/>
    </xf>
    <xf numFmtId="0" fontId="46" fillId="53" borderId="111" xfId="0" applyFont="1" applyFill="1" applyBorder="1" applyAlignment="1" applyProtection="1">
      <alignment horizontal="left" vertical="top" wrapText="1"/>
      <protection hidden="1"/>
    </xf>
    <xf numFmtId="0" fontId="46" fillId="53" borderId="55" xfId="0" applyFont="1" applyFill="1" applyBorder="1" applyAlignment="1" applyProtection="1">
      <alignment horizontal="left" vertical="top" wrapText="1"/>
      <protection hidden="1"/>
    </xf>
    <xf numFmtId="0" fontId="0" fillId="0" borderId="93" xfId="0" applyFont="1" applyFill="1" applyBorder="1" applyAlignment="1" applyProtection="1">
      <alignment vertical="top" wrapText="1"/>
      <protection hidden="1"/>
    </xf>
    <xf numFmtId="0" fontId="0" fillId="0" borderId="95" xfId="0" applyFont="1" applyFill="1" applyBorder="1" applyAlignment="1" applyProtection="1">
      <alignment vertical="top" wrapText="1"/>
      <protection hidden="1"/>
    </xf>
    <xf numFmtId="0" fontId="0" fillId="0" borderId="94" xfId="0" applyFont="1" applyFill="1" applyBorder="1" applyAlignment="1" applyProtection="1">
      <alignment vertical="top" wrapText="1"/>
      <protection hidden="1"/>
    </xf>
    <xf numFmtId="0" fontId="0" fillId="0" borderId="21" xfId="0" applyBorder="1" applyProtection="1">
      <protection hidden="1"/>
    </xf>
    <xf numFmtId="0" fontId="0" fillId="0" borderId="11" xfId="0" applyBorder="1" applyProtection="1">
      <protection hidden="1"/>
    </xf>
    <xf numFmtId="0" fontId="0" fillId="47" borderId="20" xfId="0" applyFont="1" applyFill="1" applyBorder="1" applyAlignment="1" applyProtection="1">
      <alignment vertical="top" wrapText="1"/>
      <protection hidden="1"/>
    </xf>
    <xf numFmtId="0" fontId="24" fillId="51" borderId="0" xfId="0" applyFont="1" applyFill="1" applyBorder="1" applyAlignment="1" applyProtection="1">
      <alignment vertical="top" wrapText="1"/>
      <protection hidden="1"/>
    </xf>
    <xf numFmtId="0" fontId="0" fillId="23" borderId="93" xfId="0" applyFont="1" applyFill="1" applyBorder="1" applyAlignment="1" applyProtection="1">
      <alignment vertical="top" wrapText="1"/>
      <protection hidden="1"/>
    </xf>
    <xf numFmtId="0" fontId="0" fillId="23" borderId="94" xfId="0" applyFont="1" applyFill="1" applyBorder="1" applyAlignment="1" applyProtection="1">
      <alignment vertical="top" wrapText="1"/>
      <protection hidden="1"/>
    </xf>
    <xf numFmtId="0" fontId="0" fillId="23" borderId="95" xfId="0" applyFont="1" applyFill="1" applyBorder="1" applyAlignment="1" applyProtection="1">
      <alignment vertical="top" wrapText="1"/>
      <protection hidden="1"/>
    </xf>
    <xf numFmtId="0" fontId="0" fillId="23" borderId="38" xfId="0" applyFont="1" applyFill="1" applyBorder="1" applyAlignment="1" applyProtection="1">
      <alignment vertical="top" wrapText="1"/>
      <protection hidden="1"/>
    </xf>
    <xf numFmtId="0" fontId="0" fillId="62" borderId="50" xfId="0" applyFont="1" applyFill="1" applyBorder="1" applyAlignment="1" applyProtection="1">
      <alignment vertical="top" wrapText="1"/>
      <protection hidden="1"/>
    </xf>
    <xf numFmtId="0" fontId="0" fillId="0" borderId="20" xfId="0" applyBorder="1" applyProtection="1">
      <protection hidden="1"/>
    </xf>
    <xf numFmtId="0" fontId="49" fillId="0" borderId="0" xfId="0" applyFont="1" applyProtection="1">
      <protection hidden="1"/>
    </xf>
    <xf numFmtId="0" fontId="0" fillId="0" borderId="0" xfId="0" applyAlignment="1" applyProtection="1">
      <alignment horizontal="left"/>
      <protection hidden="1"/>
    </xf>
    <xf numFmtId="0" fontId="24" fillId="51" borderId="79" xfId="0" applyFont="1" applyFill="1" applyBorder="1" applyAlignment="1" applyProtection="1">
      <alignment vertical="top" wrapText="1"/>
      <protection hidden="1"/>
    </xf>
    <xf numFmtId="0" fontId="24" fillId="51" borderId="80" xfId="0" applyFont="1" applyFill="1" applyBorder="1" applyAlignment="1" applyProtection="1">
      <alignment vertical="top" wrapText="1"/>
      <protection hidden="1"/>
    </xf>
    <xf numFmtId="0" fontId="24" fillId="51" borderId="81" xfId="0" applyFont="1" applyFill="1" applyBorder="1" applyAlignment="1" applyProtection="1">
      <alignment vertical="top" wrapText="1"/>
      <protection hidden="1"/>
    </xf>
    <xf numFmtId="0" fontId="0" fillId="0" borderId="5" xfId="0" applyBorder="1" applyProtection="1">
      <protection hidden="1"/>
    </xf>
    <xf numFmtId="0" fontId="0" fillId="0" borderId="38" xfId="0" applyBorder="1" applyProtection="1">
      <protection hidden="1"/>
    </xf>
    <xf numFmtId="0" fontId="0" fillId="0" borderId="64" xfId="0" applyBorder="1" applyProtection="1">
      <protection hidden="1"/>
    </xf>
    <xf numFmtId="0" fontId="46" fillId="0" borderId="0" xfId="0" applyFont="1" applyProtection="1">
      <protection hidden="1"/>
    </xf>
    <xf numFmtId="0" fontId="56" fillId="3" borderId="22" xfId="0" applyFont="1" applyFill="1" applyBorder="1" applyAlignment="1" applyProtection="1">
      <alignment horizontal="left" wrapText="1"/>
      <protection locked="0" hidden="1"/>
    </xf>
    <xf numFmtId="0" fontId="0" fillId="0" borderId="1" xfId="0" applyNumberFormat="1" applyFill="1" applyBorder="1" applyAlignment="1" applyProtection="1">
      <alignment vertical="top"/>
      <protection locked="0" hidden="1"/>
    </xf>
    <xf numFmtId="0" fontId="2" fillId="3" borderId="2" xfId="0" applyFont="1" applyFill="1" applyBorder="1" applyAlignment="1" applyProtection="1">
      <alignment horizontal="left"/>
      <protection hidden="1"/>
    </xf>
    <xf numFmtId="0" fontId="55" fillId="3" borderId="3" xfId="0" applyFont="1" applyFill="1" applyBorder="1" applyAlignment="1" applyProtection="1">
      <alignment horizontal="right"/>
      <protection hidden="1"/>
    </xf>
    <xf numFmtId="0" fontId="56" fillId="3" borderId="4" xfId="0" applyFont="1" applyFill="1" applyBorder="1" applyAlignment="1" applyProtection="1">
      <alignment horizontal="left"/>
      <protection hidden="1"/>
    </xf>
    <xf numFmtId="0" fontId="0" fillId="0" borderId="91" xfId="0" applyNumberFormat="1" applyFont="1" applyFill="1" applyBorder="1" applyAlignment="1" applyProtection="1">
      <alignment vertical="top"/>
      <protection hidden="1"/>
    </xf>
    <xf numFmtId="0" fontId="0" fillId="0" borderId="59" xfId="0" applyNumberFormat="1" applyFont="1" applyFill="1" applyBorder="1" applyAlignment="1" applyProtection="1">
      <alignment vertical="top"/>
      <protection hidden="1"/>
    </xf>
    <xf numFmtId="0" fontId="0" fillId="0" borderId="93" xfId="0" applyNumberFormat="1" applyFont="1" applyFill="1" applyBorder="1" applyAlignment="1" applyProtection="1">
      <alignment vertical="top"/>
      <protection hidden="1"/>
    </xf>
    <xf numFmtId="0" fontId="24" fillId="57" borderId="122" xfId="0" applyFont="1" applyFill="1" applyBorder="1" applyAlignment="1" applyProtection="1">
      <alignment horizontal="center" vertical="center" wrapText="1"/>
      <protection hidden="1"/>
    </xf>
    <xf numFmtId="0" fontId="24" fillId="57" borderId="124" xfId="0" applyFont="1" applyFill="1" applyBorder="1" applyAlignment="1" applyProtection="1">
      <alignment horizontal="center" vertical="center" wrapText="1"/>
      <protection hidden="1"/>
    </xf>
    <xf numFmtId="0" fontId="0" fillId="0" borderId="98" xfId="0" applyFont="1" applyBorder="1" applyAlignment="1" applyProtection="1">
      <alignment horizontal="left" vertical="center" wrapText="1"/>
      <protection hidden="1"/>
    </xf>
    <xf numFmtId="0" fontId="0" fillId="0" borderId="101" xfId="0" applyFont="1" applyBorder="1" applyAlignment="1" applyProtection="1">
      <alignment horizontal="center" vertical="center" wrapText="1"/>
      <protection hidden="1"/>
    </xf>
    <xf numFmtId="0" fontId="0" fillId="0" borderId="109" xfId="0" applyFont="1" applyBorder="1" applyAlignment="1" applyProtection="1">
      <alignment vertical="center" wrapText="1"/>
      <protection hidden="1"/>
    </xf>
    <xf numFmtId="0" fontId="0" fillId="0" borderId="32" xfId="0" applyFont="1" applyBorder="1" applyAlignment="1" applyProtection="1">
      <alignment horizontal="center" vertical="center" wrapText="1"/>
      <protection hidden="1"/>
    </xf>
    <xf numFmtId="0" fontId="0" fillId="0" borderId="110" xfId="0" applyFont="1" applyBorder="1" applyAlignment="1" applyProtection="1">
      <alignment vertical="center" wrapText="1"/>
      <protection hidden="1"/>
    </xf>
    <xf numFmtId="0" fontId="0" fillId="0" borderId="50" xfId="0" applyFont="1" applyBorder="1" applyAlignment="1" applyProtection="1">
      <alignment horizontal="center" vertical="center" wrapText="1"/>
      <protection hidden="1"/>
    </xf>
    <xf numFmtId="164" fontId="26" fillId="59" borderId="39"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top"/>
      <protection hidden="1"/>
    </xf>
    <xf numFmtId="0" fontId="24" fillId="57" borderId="0" xfId="0" applyFont="1" applyFill="1" applyBorder="1" applyAlignment="1" applyProtection="1">
      <alignment vertical="center"/>
      <protection hidden="1"/>
    </xf>
    <xf numFmtId="0" fontId="24" fillId="57" borderId="41" xfId="0" applyFont="1" applyFill="1" applyBorder="1" applyAlignment="1" applyProtection="1">
      <alignment vertical="center"/>
      <protection hidden="1"/>
    </xf>
    <xf numFmtId="0" fontId="0" fillId="0" borderId="91" xfId="0" applyFont="1" applyBorder="1" applyAlignment="1" applyProtection="1">
      <alignment vertical="center"/>
      <protection hidden="1"/>
    </xf>
    <xf numFmtId="0" fontId="0" fillId="0" borderId="102" xfId="0" applyFont="1" applyBorder="1" applyAlignment="1" applyProtection="1">
      <alignment vertical="center"/>
      <protection hidden="1"/>
    </xf>
    <xf numFmtId="0" fontId="0" fillId="46" borderId="91" xfId="0" applyFont="1" applyFill="1" applyBorder="1" applyAlignment="1" applyProtection="1">
      <alignment horizontal="center" vertical="center"/>
      <protection hidden="1"/>
    </xf>
    <xf numFmtId="0" fontId="0" fillId="46" borderId="66" xfId="0" applyFont="1" applyFill="1" applyBorder="1" applyAlignment="1" applyProtection="1">
      <alignment horizontal="center" vertical="center"/>
      <protection hidden="1"/>
    </xf>
    <xf numFmtId="0" fontId="0" fillId="46" borderId="65" xfId="0" applyFont="1" applyFill="1" applyBorder="1" applyAlignment="1" applyProtection="1">
      <alignment horizontal="center" vertical="center"/>
      <protection hidden="1"/>
    </xf>
    <xf numFmtId="0" fontId="0" fillId="0" borderId="59" xfId="0" applyFont="1" applyBorder="1" applyAlignment="1" applyProtection="1">
      <alignment vertical="center"/>
      <protection hidden="1"/>
    </xf>
    <xf numFmtId="0" fontId="0" fillId="0" borderId="5" xfId="0" applyFont="1" applyBorder="1" applyAlignment="1" applyProtection="1">
      <alignment vertical="center"/>
      <protection hidden="1"/>
    </xf>
    <xf numFmtId="0" fontId="0" fillId="46" borderId="59" xfId="0" applyFont="1" applyFill="1" applyBorder="1" applyAlignment="1" applyProtection="1">
      <alignment horizontal="center" vertical="center"/>
      <protection hidden="1"/>
    </xf>
    <xf numFmtId="0" fontId="0" fillId="46" borderId="14" xfId="0" applyFont="1" applyFill="1" applyBorder="1" applyAlignment="1" applyProtection="1">
      <alignment horizontal="center" vertical="center"/>
      <protection hidden="1"/>
    </xf>
    <xf numFmtId="0" fontId="0" fillId="46" borderId="92" xfId="0" applyFont="1" applyFill="1" applyBorder="1" applyAlignment="1" applyProtection="1">
      <alignment horizontal="center" vertical="center"/>
      <protection hidden="1"/>
    </xf>
    <xf numFmtId="0" fontId="0" fillId="0" borderId="59" xfId="0" applyFont="1" applyBorder="1" applyAlignment="1" applyProtection="1">
      <alignment horizontal="center" vertical="center"/>
      <protection hidden="1"/>
    </xf>
    <xf numFmtId="0" fontId="0" fillId="0" borderId="14" xfId="0" applyFont="1" applyBorder="1" applyAlignment="1" applyProtection="1">
      <alignment horizontal="center" vertical="center"/>
      <protection hidden="1"/>
    </xf>
    <xf numFmtId="0" fontId="0" fillId="0" borderId="93" xfId="0" applyFont="1" applyBorder="1" applyAlignment="1" applyProtection="1">
      <alignment vertical="center"/>
      <protection hidden="1"/>
    </xf>
    <xf numFmtId="0" fontId="0" fillId="0" borderId="103" xfId="0" applyFont="1" applyBorder="1" applyAlignment="1" applyProtection="1">
      <alignment vertical="center"/>
      <protection hidden="1"/>
    </xf>
    <xf numFmtId="0" fontId="0" fillId="0" borderId="93" xfId="0" applyFont="1" applyBorder="1" applyAlignment="1" applyProtection="1">
      <alignment horizontal="center" vertical="center"/>
      <protection hidden="1"/>
    </xf>
    <xf numFmtId="0" fontId="0" fillId="0" borderId="94" xfId="0" applyFont="1" applyBorder="1" applyAlignment="1" applyProtection="1">
      <alignment horizontal="center" vertical="center"/>
      <protection hidden="1"/>
    </xf>
    <xf numFmtId="0" fontId="0" fillId="46" borderId="94" xfId="0" applyFont="1" applyFill="1" applyBorder="1" applyAlignment="1" applyProtection="1">
      <alignment horizontal="center" vertical="center"/>
      <protection hidden="1"/>
    </xf>
    <xf numFmtId="0" fontId="0" fillId="46" borderId="95" xfId="0" applyFont="1" applyFill="1" applyBorder="1" applyAlignment="1" applyProtection="1">
      <alignment horizontal="center" vertical="center"/>
      <protection hidden="1"/>
    </xf>
    <xf numFmtId="0" fontId="24" fillId="57" borderId="62" xfId="0" applyFont="1" applyFill="1" applyBorder="1" applyAlignment="1" applyProtection="1">
      <alignment vertical="center"/>
      <protection hidden="1"/>
    </xf>
    <xf numFmtId="0" fontId="55" fillId="3" borderId="0" xfId="0" applyNumberFormat="1" applyFont="1" applyFill="1" applyBorder="1" applyAlignment="1">
      <alignment vertical="top" wrapText="1"/>
    </xf>
    <xf numFmtId="0" fontId="0" fillId="62" borderId="20" xfId="0" applyFill="1" applyBorder="1" applyProtection="1"/>
    <xf numFmtId="0" fontId="0" fillId="0" borderId="38" xfId="0" applyBorder="1" applyProtection="1"/>
    <xf numFmtId="2" fontId="0" fillId="0" borderId="0" xfId="0" applyNumberFormat="1" applyProtection="1">
      <protection hidden="1"/>
    </xf>
    <xf numFmtId="0" fontId="0" fillId="0" borderId="18" xfId="0" applyBorder="1" applyProtection="1">
      <protection hidden="1"/>
    </xf>
    <xf numFmtId="0" fontId="56" fillId="58" borderId="18" xfId="0" applyFont="1" applyFill="1" applyBorder="1" applyAlignment="1" applyProtection="1">
      <alignment horizontal="right" wrapText="1"/>
      <protection locked="0"/>
    </xf>
    <xf numFmtId="0" fontId="55" fillId="58" borderId="19" xfId="0" applyFont="1" applyFill="1" applyBorder="1" applyAlignment="1" applyProtection="1">
      <alignment horizontal="left" vertical="center" wrapText="1"/>
      <protection locked="0"/>
    </xf>
    <xf numFmtId="0" fontId="0" fillId="3" borderId="15" xfId="0" applyFill="1" applyBorder="1" applyProtection="1"/>
    <xf numFmtId="0" fontId="55" fillId="58" borderId="11" xfId="0" applyFont="1" applyFill="1" applyBorder="1" applyAlignment="1" applyProtection="1">
      <alignment horizontal="left" vertical="center" wrapText="1"/>
      <protection locked="0"/>
    </xf>
    <xf numFmtId="14" fontId="55" fillId="50" borderId="14" xfId="0" applyNumberFormat="1" applyFont="1" applyFill="1" applyBorder="1" applyAlignment="1" applyProtection="1">
      <alignment horizontal="left" vertical="center" wrapText="1"/>
      <protection locked="0"/>
    </xf>
    <xf numFmtId="14" fontId="63" fillId="58" borderId="0" xfId="0" quotePrefix="1" applyNumberFormat="1" applyFont="1" applyFill="1" applyBorder="1" applyAlignment="1" applyProtection="1">
      <alignment horizontal="left" vertical="center" wrapText="1"/>
      <protection locked="0"/>
    </xf>
    <xf numFmtId="0" fontId="0" fillId="50" borderId="0" xfId="0" applyFill="1" applyBorder="1" applyProtection="1"/>
    <xf numFmtId="0" fontId="0" fillId="50" borderId="0" xfId="0" applyFill="1" applyBorder="1" applyAlignment="1" applyProtection="1">
      <alignment horizontal="left" vertical="center"/>
    </xf>
    <xf numFmtId="0" fontId="2" fillId="50" borderId="0" xfId="0" applyFont="1" applyFill="1" applyBorder="1" applyAlignment="1" applyProtection="1">
      <alignment horizontal="left" vertical="center"/>
    </xf>
    <xf numFmtId="0" fontId="5" fillId="50" borderId="0" xfId="0" applyFont="1" applyFill="1" applyBorder="1" applyProtection="1"/>
    <xf numFmtId="0" fontId="0" fillId="58" borderId="11" xfId="0" applyFont="1" applyFill="1" applyBorder="1" applyProtection="1"/>
    <xf numFmtId="0" fontId="55" fillId="58" borderId="15" xfId="0" applyFont="1" applyFill="1" applyBorder="1" applyProtection="1"/>
    <xf numFmtId="0" fontId="0" fillId="58" borderId="15" xfId="0" applyFont="1" applyFill="1" applyBorder="1" applyProtection="1"/>
    <xf numFmtId="0" fontId="0" fillId="50" borderId="14" xfId="0" applyFont="1" applyFill="1" applyBorder="1" applyAlignment="1" applyProtection="1">
      <alignment horizontal="left"/>
    </xf>
    <xf numFmtId="0" fontId="0" fillId="50" borderId="14" xfId="0" applyFill="1" applyBorder="1" applyAlignment="1" applyProtection="1">
      <alignment horizontal="left"/>
    </xf>
    <xf numFmtId="0" fontId="0" fillId="0" borderId="0" xfId="0" applyProtection="1">
      <protection hidden="1"/>
    </xf>
    <xf numFmtId="0" fontId="0" fillId="55" borderId="6" xfId="0" applyFont="1" applyFill="1" applyBorder="1" applyAlignment="1" applyProtection="1">
      <alignment vertical="top" wrapText="1"/>
      <protection locked="0"/>
    </xf>
    <xf numFmtId="0" fontId="0" fillId="55" borderId="6" xfId="0" applyFont="1" applyFill="1" applyBorder="1" applyAlignment="1" applyProtection="1">
      <alignment vertical="top" wrapText="1"/>
      <protection hidden="1"/>
    </xf>
    <xf numFmtId="0" fontId="0" fillId="55" borderId="14" xfId="0" applyFont="1" applyFill="1" applyBorder="1" applyAlignment="1" applyProtection="1">
      <alignment vertical="top" wrapText="1"/>
      <protection locked="0"/>
    </xf>
    <xf numFmtId="0" fontId="0" fillId="0" borderId="7" xfId="0" applyFont="1" applyFill="1" applyBorder="1" applyAlignment="1" applyProtection="1">
      <alignment vertical="top" wrapText="1"/>
    </xf>
    <xf numFmtId="0" fontId="0" fillId="49" borderId="14" xfId="0" applyFont="1" applyFill="1" applyBorder="1" applyAlignment="1" applyProtection="1">
      <alignment vertical="top" wrapText="1"/>
      <protection locked="0"/>
    </xf>
    <xf numFmtId="0" fontId="0" fillId="49" borderId="58" xfId="0" applyFont="1" applyFill="1" applyBorder="1" applyAlignment="1" applyProtection="1">
      <alignment horizontal="left" vertical="top" wrapText="1"/>
      <protection hidden="1"/>
    </xf>
    <xf numFmtId="0" fontId="0" fillId="49" borderId="104" xfId="0" applyFont="1" applyFill="1" applyBorder="1" applyAlignment="1" applyProtection="1">
      <alignment vertical="top" wrapText="1"/>
      <protection hidden="1"/>
    </xf>
    <xf numFmtId="0" fontId="0" fillId="49" borderId="21" xfId="0" applyFont="1" applyFill="1" applyBorder="1" applyAlignment="1" applyProtection="1">
      <alignment vertical="top" wrapText="1"/>
      <protection hidden="1"/>
    </xf>
    <xf numFmtId="0" fontId="0" fillId="49" borderId="14" xfId="0" applyFont="1" applyFill="1" applyBorder="1" applyAlignment="1" applyProtection="1">
      <alignment vertical="top" wrapText="1"/>
      <protection hidden="1"/>
    </xf>
    <xf numFmtId="0" fontId="0" fillId="0" borderId="0" xfId="0" applyFill="1" applyProtection="1">
      <protection hidden="1"/>
    </xf>
    <xf numFmtId="0" fontId="0" fillId="49" borderId="109" xfId="0" applyFont="1" applyFill="1" applyBorder="1" applyAlignment="1" applyProtection="1">
      <alignment vertical="top" wrapText="1"/>
      <protection locked="0"/>
    </xf>
    <xf numFmtId="0" fontId="24" fillId="53" borderId="129" xfId="0" applyFont="1" applyFill="1" applyBorder="1" applyAlignment="1" applyProtection="1">
      <alignment horizontal="left" vertical="top" wrapText="1"/>
      <protection locked="0"/>
    </xf>
    <xf numFmtId="0" fontId="68" fillId="53" borderId="129" xfId="0" applyFont="1" applyFill="1" applyBorder="1" applyAlignment="1" applyProtection="1">
      <alignment horizontal="left" vertical="top" wrapText="1"/>
      <protection locked="0"/>
    </xf>
    <xf numFmtId="0" fontId="24" fillId="53" borderId="129" xfId="0" applyFont="1" applyFill="1" applyBorder="1" applyAlignment="1" applyProtection="1">
      <alignment horizontal="left" vertical="top" textRotation="255" wrapText="1"/>
      <protection locked="0"/>
    </xf>
    <xf numFmtId="0" fontId="24" fillId="53" borderId="106" xfId="0" applyFont="1" applyFill="1" applyBorder="1" applyAlignment="1" applyProtection="1">
      <alignment horizontal="left" vertical="top" wrapText="1"/>
      <protection locked="0"/>
    </xf>
    <xf numFmtId="0" fontId="24" fillId="53" borderId="105" xfId="0" applyFont="1" applyFill="1" applyBorder="1" applyAlignment="1" applyProtection="1">
      <alignment horizontal="left" vertical="top" wrapText="1"/>
      <protection locked="0"/>
    </xf>
    <xf numFmtId="0" fontId="24" fillId="53" borderId="108" xfId="0" applyFont="1" applyFill="1" applyBorder="1" applyAlignment="1" applyProtection="1">
      <alignment horizontal="left" vertical="top" wrapText="1"/>
      <protection locked="0"/>
    </xf>
    <xf numFmtId="0" fontId="24" fillId="53" borderId="116" xfId="0" applyFont="1" applyFill="1" applyBorder="1" applyAlignment="1" applyProtection="1">
      <alignment horizontal="left" vertical="top" wrapText="1"/>
      <protection locked="0"/>
    </xf>
    <xf numFmtId="0" fontId="24" fillId="53" borderId="79" xfId="0" applyFont="1" applyFill="1" applyBorder="1" applyAlignment="1" applyProtection="1">
      <alignment horizontal="left" vertical="top" wrapText="1"/>
      <protection locked="0"/>
    </xf>
    <xf numFmtId="0" fontId="24" fillId="53" borderId="64" xfId="0" applyFont="1" applyFill="1" applyBorder="1" applyAlignment="1" applyProtection="1">
      <alignment horizontal="left" vertical="top" wrapText="1"/>
      <protection locked="0"/>
    </xf>
    <xf numFmtId="0" fontId="24" fillId="53" borderId="80" xfId="0" applyFont="1" applyFill="1" applyBorder="1" applyAlignment="1" applyProtection="1">
      <alignment horizontal="left" vertical="top" wrapText="1"/>
      <protection locked="0"/>
    </xf>
    <xf numFmtId="0" fontId="24" fillId="53" borderId="81" xfId="0" applyFont="1" applyFill="1" applyBorder="1" applyAlignment="1" applyProtection="1">
      <alignment horizontal="left" vertical="top" wrapText="1"/>
      <protection locked="0"/>
    </xf>
    <xf numFmtId="0" fontId="0" fillId="62" borderId="14" xfId="0" applyFill="1" applyBorder="1" applyAlignment="1" applyProtection="1">
      <alignment horizontal="right"/>
    </xf>
    <xf numFmtId="0" fontId="0" fillId="67" borderId="64" xfId="0" applyFill="1" applyBorder="1" applyAlignment="1" applyProtection="1">
      <alignment wrapText="1"/>
    </xf>
    <xf numFmtId="0" fontId="65" fillId="3" borderId="0" xfId="0" applyNumberFormat="1" applyFont="1" applyFill="1" applyBorder="1" applyAlignment="1">
      <alignment horizontal="right" vertical="top" wrapText="1"/>
    </xf>
    <xf numFmtId="0" fontId="69" fillId="58" borderId="15" xfId="0" applyFont="1" applyFill="1" applyBorder="1" applyProtection="1"/>
    <xf numFmtId="0" fontId="26" fillId="58" borderId="10" xfId="0" applyFont="1" applyFill="1" applyBorder="1" applyAlignment="1" applyProtection="1">
      <alignment horizontal="center"/>
    </xf>
    <xf numFmtId="0" fontId="69" fillId="58" borderId="0" xfId="0" applyFont="1" applyFill="1" applyBorder="1" applyAlignment="1" applyProtection="1">
      <alignment horizontal="left"/>
    </xf>
    <xf numFmtId="0" fontId="69" fillId="58" borderId="18" xfId="0" applyFont="1" applyFill="1" applyBorder="1" applyAlignment="1" applyProtection="1">
      <alignment horizontal="left" vertical="center" wrapText="1"/>
      <protection locked="0"/>
    </xf>
    <xf numFmtId="0" fontId="0" fillId="58" borderId="13" xfId="0" applyFont="1" applyFill="1" applyBorder="1" applyAlignment="1" applyProtection="1">
      <alignment horizontal="left"/>
    </xf>
    <xf numFmtId="0" fontId="0" fillId="58" borderId="13" xfId="0" applyFill="1" applyBorder="1" applyAlignment="1" applyProtection="1">
      <alignment horizontal="left"/>
    </xf>
    <xf numFmtId="0" fontId="49" fillId="58" borderId="0" xfId="0" applyFont="1" applyFill="1" applyBorder="1" applyAlignment="1" applyProtection="1">
      <alignment horizontal="left"/>
    </xf>
    <xf numFmtId="0" fontId="69" fillId="58" borderId="13" xfId="0" applyFont="1" applyFill="1" applyBorder="1" applyAlignment="1" applyProtection="1">
      <alignment horizontal="left"/>
    </xf>
    <xf numFmtId="0" fontId="0" fillId="0" borderId="0" xfId="0" applyProtection="1">
      <protection hidden="1"/>
    </xf>
    <xf numFmtId="0" fontId="24" fillId="53" borderId="79" xfId="0" applyFont="1" applyFill="1" applyBorder="1" applyAlignment="1" applyProtection="1">
      <alignment vertical="top" wrapText="1"/>
      <protection locked="0"/>
    </xf>
    <xf numFmtId="0" fontId="0" fillId="0" borderId="66" xfId="0" applyFont="1" applyFill="1" applyBorder="1" applyAlignment="1" applyProtection="1">
      <alignment horizontal="center" vertical="center"/>
      <protection hidden="1"/>
    </xf>
    <xf numFmtId="0" fontId="24" fillId="53" borderId="116" xfId="0" applyFont="1" applyFill="1" applyBorder="1" applyAlignment="1" applyProtection="1">
      <alignment vertical="top" wrapText="1"/>
      <protection locked="0"/>
    </xf>
    <xf numFmtId="0" fontId="24" fillId="53" borderId="81" xfId="0" applyFont="1" applyFill="1" applyBorder="1" applyAlignment="1" applyProtection="1">
      <alignment vertical="top" wrapText="1"/>
      <protection locked="0"/>
    </xf>
    <xf numFmtId="0" fontId="0" fillId="0" borderId="91" xfId="0" applyFont="1" applyFill="1" applyBorder="1" applyAlignment="1" applyProtection="1">
      <alignment horizontal="center" vertical="center"/>
      <protection hidden="1"/>
    </xf>
    <xf numFmtId="0" fontId="0" fillId="0" borderId="65" xfId="0" applyFont="1" applyFill="1" applyBorder="1" applyAlignment="1" applyProtection="1">
      <alignment horizontal="center" vertical="center"/>
      <protection hidden="1"/>
    </xf>
    <xf numFmtId="0" fontId="0" fillId="0" borderId="59" xfId="0" applyFont="1" applyFill="1" applyBorder="1" applyAlignment="1" applyProtection="1">
      <alignment horizontal="center" vertical="center"/>
      <protection hidden="1"/>
    </xf>
    <xf numFmtId="0" fontId="0" fillId="0" borderId="14" xfId="0" applyFont="1" applyFill="1" applyBorder="1" applyAlignment="1" applyProtection="1">
      <alignment horizontal="center" vertical="center"/>
      <protection hidden="1"/>
    </xf>
    <xf numFmtId="0" fontId="0" fillId="0" borderId="92" xfId="0" applyFont="1" applyFill="1" applyBorder="1" applyAlignment="1" applyProtection="1">
      <alignment horizontal="center" vertical="center"/>
      <protection hidden="1"/>
    </xf>
    <xf numFmtId="0" fontId="0" fillId="0" borderId="0" xfId="0" applyFont="1"/>
    <xf numFmtId="0" fontId="0" fillId="0" borderId="0" xfId="0" applyNumberFormat="1" applyFill="1" applyAlignment="1" applyProtection="1">
      <alignment vertical="top"/>
      <protection hidden="1"/>
    </xf>
    <xf numFmtId="0" fontId="0" fillId="2" borderId="0" xfId="0" applyFont="1" applyFill="1"/>
    <xf numFmtId="0" fontId="0" fillId="3" borderId="4" xfId="0" applyFont="1" applyFill="1" applyBorder="1"/>
    <xf numFmtId="0" fontId="56" fillId="3" borderId="4" xfId="0" applyFont="1" applyFill="1" applyBorder="1" applyAlignment="1">
      <alignment horizontal="left"/>
    </xf>
    <xf numFmtId="0" fontId="56" fillId="3" borderId="12" xfId="0" applyFont="1" applyFill="1" applyBorder="1" applyAlignment="1">
      <alignment horizontal="left"/>
    </xf>
    <xf numFmtId="0" fontId="0" fillId="0" borderId="14" xfId="0" applyFont="1" applyFill="1" applyBorder="1" applyAlignment="1" applyProtection="1">
      <alignment vertical="top" wrapText="1"/>
      <protection locked="0"/>
    </xf>
    <xf numFmtId="0" fontId="0" fillId="0" borderId="14" xfId="0" applyBorder="1" applyProtection="1">
      <protection locked="0"/>
    </xf>
    <xf numFmtId="0" fontId="0" fillId="50" borderId="101" xfId="0" applyFont="1" applyFill="1" applyBorder="1" applyAlignment="1" applyProtection="1">
      <alignment vertical="top" wrapText="1"/>
      <protection locked="0"/>
    </xf>
    <xf numFmtId="0" fontId="0" fillId="48" borderId="91" xfId="0" applyFont="1" applyFill="1" applyBorder="1" applyAlignment="1" applyProtection="1">
      <alignment horizontal="left" vertical="top" wrapText="1"/>
      <protection locked="0"/>
    </xf>
    <xf numFmtId="0" fontId="0" fillId="48" borderId="65" xfId="0" applyFont="1" applyFill="1" applyBorder="1" applyAlignment="1" applyProtection="1">
      <alignment vertical="top" wrapText="1"/>
      <protection locked="0"/>
    </xf>
    <xf numFmtId="0" fontId="0" fillId="55" borderId="91" xfId="0" applyFont="1" applyFill="1" applyBorder="1" applyAlignment="1" applyProtection="1">
      <alignment horizontal="left" vertical="top" wrapText="1"/>
      <protection locked="0"/>
    </xf>
    <xf numFmtId="0" fontId="55" fillId="3" borderId="12" xfId="0" applyFont="1" applyFill="1" applyBorder="1" applyAlignment="1" applyProtection="1">
      <alignment horizontal="left" vertical="center" wrapText="1"/>
      <protection locked="0"/>
    </xf>
    <xf numFmtId="0" fontId="0" fillId="0" borderId="59" xfId="0" applyFont="1" applyFill="1" applyBorder="1" applyAlignment="1" applyProtection="1">
      <alignment vertical="top" wrapText="1"/>
      <protection locked="0"/>
    </xf>
    <xf numFmtId="0" fontId="0" fillId="0" borderId="5" xfId="0" applyFont="1" applyFill="1" applyBorder="1" applyAlignment="1" applyProtection="1">
      <alignment vertical="top" wrapText="1"/>
      <protection locked="0"/>
    </xf>
    <xf numFmtId="0" fontId="0" fillId="0" borderId="7" xfId="0" applyFont="1" applyFill="1" applyBorder="1" applyAlignment="1" applyProtection="1">
      <alignment vertical="top" wrapText="1"/>
      <protection locked="0"/>
    </xf>
    <xf numFmtId="0" fontId="0" fillId="0" borderId="92" xfId="0" applyFont="1" applyFill="1" applyBorder="1" applyAlignment="1" applyProtection="1">
      <alignment vertical="top" wrapText="1"/>
      <protection locked="0"/>
    </xf>
    <xf numFmtId="0" fontId="0" fillId="0" borderId="58" xfId="0" applyFont="1" applyFill="1" applyBorder="1" applyAlignment="1" applyProtection="1">
      <alignment vertical="top" wrapText="1"/>
      <protection locked="0"/>
    </xf>
    <xf numFmtId="0" fontId="0" fillId="0" borderId="21" xfId="0" applyFont="1" applyFill="1" applyBorder="1" applyAlignment="1" applyProtection="1">
      <alignment vertical="top" wrapText="1"/>
      <protection locked="0"/>
    </xf>
    <xf numFmtId="0" fontId="0" fillId="0" borderId="17" xfId="0" applyFont="1" applyFill="1" applyBorder="1" applyAlignment="1" applyProtection="1">
      <alignment vertical="top" wrapText="1"/>
      <protection locked="0"/>
    </xf>
    <xf numFmtId="0" fontId="0" fillId="0" borderId="104" xfId="0" applyFont="1" applyFill="1" applyBorder="1" applyAlignment="1" applyProtection="1">
      <alignment vertical="top" wrapText="1"/>
      <protection locked="0"/>
    </xf>
    <xf numFmtId="0" fontId="0" fillId="0" borderId="19" xfId="0" applyFont="1" applyFill="1" applyBorder="1" applyAlignment="1" applyProtection="1">
      <alignment vertical="top" wrapText="1"/>
      <protection locked="0"/>
    </xf>
    <xf numFmtId="0" fontId="0" fillId="50" borderId="32" xfId="0" applyFont="1" applyFill="1" applyBorder="1" applyAlignment="1" applyProtection="1">
      <alignment vertical="top" wrapText="1"/>
      <protection locked="0"/>
    </xf>
    <xf numFmtId="0" fontId="0" fillId="48" borderId="59" xfId="0" applyFont="1" applyFill="1" applyBorder="1" applyAlignment="1" applyProtection="1">
      <alignment horizontal="left" vertical="top" wrapText="1"/>
      <protection locked="0"/>
    </xf>
    <xf numFmtId="0" fontId="0" fillId="48" borderId="92" xfId="0" applyFont="1" applyFill="1" applyBorder="1" applyAlignment="1" applyProtection="1">
      <alignment vertical="top" wrapText="1"/>
      <protection locked="0"/>
    </xf>
    <xf numFmtId="0" fontId="0" fillId="55" borderId="59" xfId="0" applyFont="1" applyFill="1" applyBorder="1" applyAlignment="1" applyProtection="1">
      <alignment horizontal="left" vertical="top" wrapText="1"/>
      <protection locked="0"/>
    </xf>
    <xf numFmtId="0" fontId="0" fillId="49" borderId="59" xfId="0" applyFont="1" applyFill="1" applyBorder="1" applyAlignment="1" applyProtection="1">
      <alignment horizontal="left" vertical="top" wrapText="1"/>
      <protection locked="0"/>
    </xf>
    <xf numFmtId="0" fontId="0" fillId="63" borderId="32" xfId="0" applyFont="1" applyFill="1" applyBorder="1" applyAlignment="1" applyProtection="1">
      <alignment vertical="top" wrapText="1"/>
      <protection locked="0"/>
    </xf>
    <xf numFmtId="0" fontId="24" fillId="57" borderId="0" xfId="0" applyFont="1" applyFill="1" applyBorder="1" applyAlignment="1" applyProtection="1">
      <alignment vertical="center"/>
      <protection hidden="1"/>
    </xf>
    <xf numFmtId="0" fontId="24" fillId="57" borderId="41" xfId="0" applyFont="1" applyFill="1" applyBorder="1" applyAlignment="1" applyProtection="1">
      <alignment vertical="center"/>
      <protection hidden="1"/>
    </xf>
    <xf numFmtId="0" fontId="0" fillId="0" borderId="91" xfId="0" applyFont="1" applyBorder="1" applyAlignment="1" applyProtection="1">
      <alignment vertical="center"/>
      <protection hidden="1"/>
    </xf>
    <xf numFmtId="0" fontId="0" fillId="0" borderId="102" xfId="0" applyFont="1" applyBorder="1" applyAlignment="1" applyProtection="1">
      <alignment vertical="center"/>
      <protection hidden="1"/>
    </xf>
    <xf numFmtId="0" fontId="0" fillId="0" borderId="59" xfId="0" applyFont="1" applyBorder="1" applyAlignment="1" applyProtection="1">
      <alignment vertical="center"/>
      <protection hidden="1"/>
    </xf>
    <xf numFmtId="0" fontId="0" fillId="0" borderId="5" xfId="0" applyFont="1" applyBorder="1" applyAlignment="1" applyProtection="1">
      <alignment vertical="center"/>
      <protection hidden="1"/>
    </xf>
    <xf numFmtId="0" fontId="24" fillId="57" borderId="62" xfId="0" applyFont="1" applyFill="1" applyBorder="1" applyAlignment="1" applyProtection="1">
      <alignment vertical="center"/>
      <protection hidden="1"/>
    </xf>
    <xf numFmtId="0" fontId="55" fillId="3" borderId="0" xfId="0" applyNumberFormat="1" applyFont="1" applyFill="1" applyBorder="1" applyAlignment="1">
      <alignment vertical="top" wrapText="1"/>
    </xf>
    <xf numFmtId="0" fontId="0" fillId="55" borderId="97" xfId="0" applyFont="1" applyFill="1" applyBorder="1" applyAlignment="1" applyProtection="1">
      <alignment vertical="top" wrapText="1"/>
      <protection locked="0"/>
    </xf>
    <xf numFmtId="0" fontId="0" fillId="55" borderId="6" xfId="0" applyFont="1" applyFill="1" applyBorder="1" applyAlignment="1" applyProtection="1">
      <alignment vertical="top" wrapText="1"/>
      <protection locked="0"/>
    </xf>
    <xf numFmtId="0" fontId="0" fillId="55" borderId="66" xfId="0" applyFont="1" applyFill="1" applyBorder="1" applyAlignment="1" applyProtection="1">
      <alignment vertical="top" wrapText="1"/>
      <protection locked="0"/>
    </xf>
    <xf numFmtId="0" fontId="0" fillId="55" borderId="14" xfId="0" applyFont="1" applyFill="1" applyBorder="1" applyAlignment="1" applyProtection="1">
      <alignment vertical="top" wrapText="1"/>
      <protection locked="0"/>
    </xf>
    <xf numFmtId="0" fontId="0" fillId="49" borderId="14" xfId="0" applyFont="1" applyFill="1" applyBorder="1" applyAlignment="1" applyProtection="1">
      <alignment vertical="top" wrapText="1"/>
      <protection locked="0"/>
    </xf>
    <xf numFmtId="0" fontId="0" fillId="49" borderId="93" xfId="0" applyFont="1" applyFill="1" applyBorder="1" applyAlignment="1" applyProtection="1">
      <alignment horizontal="left" vertical="top" wrapText="1"/>
      <protection locked="0"/>
    </xf>
    <xf numFmtId="0" fontId="0" fillId="49" borderId="94" xfId="0" applyFont="1" applyFill="1" applyBorder="1" applyAlignment="1" applyProtection="1">
      <alignment vertical="top" wrapText="1"/>
      <protection locked="0"/>
    </xf>
    <xf numFmtId="0" fontId="0" fillId="49" borderId="58" xfId="0" applyFont="1" applyFill="1" applyBorder="1" applyAlignment="1" applyProtection="1">
      <alignment horizontal="left" vertical="top" wrapText="1"/>
      <protection locked="0"/>
    </xf>
    <xf numFmtId="0" fontId="0" fillId="49" borderId="21" xfId="0" applyFont="1" applyFill="1" applyBorder="1" applyAlignment="1" applyProtection="1">
      <alignment vertical="top" wrapText="1"/>
      <protection locked="0"/>
    </xf>
    <xf numFmtId="0" fontId="0" fillId="49" borderId="54" xfId="0" applyFont="1" applyFill="1" applyBorder="1" applyAlignment="1" applyProtection="1">
      <alignment vertical="top" wrapText="1"/>
      <protection locked="0"/>
    </xf>
    <xf numFmtId="0" fontId="0" fillId="49" borderId="109" xfId="0" applyFont="1" applyFill="1" applyBorder="1" applyAlignment="1" applyProtection="1">
      <alignment vertical="top" wrapText="1"/>
      <protection locked="0"/>
    </xf>
    <xf numFmtId="0" fontId="0" fillId="49" borderId="110" xfId="0" applyFont="1" applyFill="1" applyBorder="1" applyAlignment="1" applyProtection="1">
      <alignment vertical="top" wrapText="1"/>
      <protection locked="0"/>
    </xf>
    <xf numFmtId="0" fontId="0" fillId="53" borderId="59" xfId="0" applyFont="1" applyFill="1" applyBorder="1" applyAlignment="1" applyProtection="1">
      <alignment horizontal="center" vertical="center"/>
      <protection hidden="1"/>
    </xf>
    <xf numFmtId="0" fontId="0" fillId="53" borderId="14" xfId="0" applyFont="1" applyFill="1" applyBorder="1" applyAlignment="1" applyProtection="1">
      <alignment horizontal="center" vertical="center"/>
      <protection hidden="1"/>
    </xf>
    <xf numFmtId="0" fontId="0" fillId="0" borderId="53" xfId="0" applyFont="1" applyBorder="1" applyAlignment="1" applyProtection="1">
      <alignment vertical="center"/>
      <protection hidden="1"/>
    </xf>
    <xf numFmtId="0" fontId="0" fillId="0" borderId="9" xfId="0" applyFont="1" applyBorder="1" applyAlignment="1" applyProtection="1">
      <alignment vertical="center"/>
      <protection hidden="1"/>
    </xf>
    <xf numFmtId="0" fontId="0" fillId="53" borderId="53" xfId="0" applyFont="1" applyFill="1" applyBorder="1" applyAlignment="1" applyProtection="1">
      <alignment horizontal="center" vertical="center"/>
      <protection hidden="1"/>
    </xf>
    <xf numFmtId="0" fontId="0" fillId="0" borderId="20" xfId="0" applyFont="1" applyFill="1" applyBorder="1" applyAlignment="1" applyProtection="1">
      <alignment horizontal="center" vertical="center"/>
      <protection hidden="1"/>
    </xf>
    <xf numFmtId="0" fontId="0" fillId="0" borderId="99" xfId="0" applyFont="1" applyFill="1" applyBorder="1" applyAlignment="1" applyProtection="1">
      <alignment horizontal="center" vertical="center"/>
      <protection hidden="1"/>
    </xf>
    <xf numFmtId="0" fontId="0" fillId="23" borderId="42" xfId="0" applyNumberFormat="1" applyFill="1" applyBorder="1" applyAlignment="1" applyProtection="1">
      <alignment vertical="top"/>
      <protection hidden="1"/>
    </xf>
    <xf numFmtId="0" fontId="0" fillId="23" borderId="41" xfId="0" applyNumberFormat="1" applyFill="1" applyBorder="1" applyAlignment="1" applyProtection="1">
      <alignment vertical="top"/>
      <protection hidden="1"/>
    </xf>
    <xf numFmtId="0" fontId="12" fillId="23" borderId="41" xfId="0" applyNumberFormat="1" applyFont="1" applyFill="1" applyBorder="1" applyAlignment="1" applyProtection="1">
      <alignment vertical="top" wrapText="1"/>
      <protection hidden="1"/>
    </xf>
    <xf numFmtId="0" fontId="12" fillId="23" borderId="39" xfId="0" applyNumberFormat="1" applyFont="1" applyFill="1" applyBorder="1" applyAlignment="1" applyProtection="1">
      <alignment vertical="top" wrapText="1"/>
      <protection hidden="1"/>
    </xf>
    <xf numFmtId="0" fontId="0" fillId="23" borderId="64" xfId="0" applyNumberFormat="1" applyFill="1" applyBorder="1" applyProtection="1">
      <protection hidden="1"/>
    </xf>
    <xf numFmtId="0" fontId="0" fillId="0" borderId="7" xfId="0" applyNumberFormat="1" applyFill="1" applyBorder="1" applyAlignment="1" applyProtection="1">
      <alignment vertical="top"/>
      <protection hidden="1"/>
    </xf>
    <xf numFmtId="0" fontId="0" fillId="0" borderId="64" xfId="0" applyNumberFormat="1" applyFill="1" applyBorder="1" applyAlignment="1" applyProtection="1">
      <alignment vertical="top"/>
      <protection hidden="1"/>
    </xf>
    <xf numFmtId="0" fontId="26" fillId="0" borderId="64" xfId="0" applyNumberFormat="1" applyFont="1" applyFill="1" applyBorder="1" applyAlignment="1" applyProtection="1">
      <alignment vertical="top"/>
      <protection hidden="1"/>
    </xf>
    <xf numFmtId="0" fontId="0" fillId="68" borderId="64" xfId="0" applyNumberFormat="1" applyFill="1" applyBorder="1" applyProtection="1">
      <protection hidden="1"/>
    </xf>
    <xf numFmtId="0" fontId="26" fillId="0" borderId="79" xfId="0" applyNumberFormat="1" applyFont="1" applyFill="1" applyBorder="1" applyAlignment="1" applyProtection="1">
      <alignment vertical="top"/>
      <protection hidden="1"/>
    </xf>
    <xf numFmtId="0" fontId="26" fillId="0" borderId="81" xfId="0" applyNumberFormat="1" applyFont="1" applyFill="1" applyBorder="1" applyAlignment="1" applyProtection="1">
      <alignment vertical="top"/>
      <protection hidden="1"/>
    </xf>
    <xf numFmtId="0" fontId="49" fillId="0" borderId="39" xfId="0" applyFont="1" applyBorder="1" applyAlignment="1" applyProtection="1">
      <alignment vertical="center" wrapText="1"/>
      <protection hidden="1"/>
    </xf>
    <xf numFmtId="0" fontId="24" fillId="57" borderId="130" xfId="0" applyFont="1" applyFill="1" applyBorder="1" applyAlignment="1" applyProtection="1">
      <alignment horizontal="left" vertical="center" wrapText="1"/>
      <protection hidden="1"/>
    </xf>
    <xf numFmtId="0" fontId="24" fillId="57" borderId="131" xfId="0" applyFont="1" applyFill="1" applyBorder="1" applyAlignment="1" applyProtection="1">
      <alignment vertical="center" wrapText="1"/>
      <protection hidden="1"/>
    </xf>
    <xf numFmtId="1" fontId="24" fillId="57" borderId="131" xfId="0" applyNumberFormat="1" applyFont="1" applyFill="1" applyBorder="1" applyAlignment="1" applyProtection="1">
      <alignment horizontal="center" vertical="center" wrapText="1"/>
      <protection hidden="1"/>
    </xf>
    <xf numFmtId="0" fontId="24" fillId="57" borderId="133" xfId="0" applyFont="1" applyFill="1" applyBorder="1" applyAlignment="1" applyProtection="1">
      <alignment vertical="center" wrapText="1"/>
      <protection hidden="1"/>
    </xf>
    <xf numFmtId="0" fontId="56" fillId="3" borderId="134" xfId="0" applyFont="1" applyFill="1" applyBorder="1" applyAlignment="1" applyProtection="1">
      <alignment horizontal="left"/>
      <protection hidden="1"/>
    </xf>
    <xf numFmtId="0" fontId="0" fillId="0" borderId="79" xfId="0" applyNumberFormat="1" applyFill="1" applyBorder="1" applyAlignment="1" applyProtection="1">
      <alignment vertical="top"/>
      <protection hidden="1"/>
    </xf>
    <xf numFmtId="0" fontId="0" fillId="0" borderId="63" xfId="0" applyNumberFormat="1" applyFill="1" applyBorder="1" applyAlignment="1" applyProtection="1">
      <alignment vertical="top"/>
      <protection hidden="1"/>
    </xf>
    <xf numFmtId="0" fontId="0" fillId="0" borderId="36" xfId="0" applyNumberFormat="1" applyFill="1" applyBorder="1" applyAlignment="1" applyProtection="1">
      <alignment vertical="top"/>
      <protection hidden="1"/>
    </xf>
    <xf numFmtId="0" fontId="0" fillId="0" borderId="42" xfId="0" applyNumberFormat="1" applyFill="1" applyBorder="1" applyAlignment="1" applyProtection="1">
      <alignment vertical="top"/>
      <protection hidden="1"/>
    </xf>
    <xf numFmtId="0" fontId="0" fillId="0" borderId="49" xfId="0" applyNumberFormat="1" applyFill="1" applyBorder="1" applyAlignment="1" applyProtection="1">
      <alignment vertical="top"/>
      <protection hidden="1"/>
    </xf>
    <xf numFmtId="0" fontId="0" fillId="0" borderId="37" xfId="0" applyNumberFormat="1" applyFill="1" applyBorder="1" applyAlignment="1" applyProtection="1">
      <alignment vertical="top"/>
      <protection hidden="1"/>
    </xf>
    <xf numFmtId="0" fontId="0" fillId="0" borderId="38" xfId="0" applyNumberFormat="1" applyFill="1" applyBorder="1" applyAlignment="1" applyProtection="1">
      <alignment vertical="top"/>
      <protection hidden="1"/>
    </xf>
    <xf numFmtId="0" fontId="0" fillId="0" borderId="64" xfId="0" applyNumberFormat="1" applyFill="1" applyBorder="1" applyAlignment="1" applyProtection="1">
      <alignment horizontal="center" vertical="top"/>
      <protection hidden="1"/>
    </xf>
    <xf numFmtId="0" fontId="0" fillId="0" borderId="49" xfId="0" applyNumberFormat="1" applyFill="1" applyBorder="1" applyAlignment="1" applyProtection="1">
      <alignment horizontal="center" vertical="top"/>
      <protection hidden="1"/>
    </xf>
    <xf numFmtId="0" fontId="0" fillId="0" borderId="37" xfId="0" applyNumberFormat="1" applyFill="1" applyBorder="1" applyAlignment="1" applyProtection="1">
      <alignment horizontal="center" vertical="top"/>
      <protection hidden="1"/>
    </xf>
    <xf numFmtId="0" fontId="0" fillId="0" borderId="38" xfId="0" applyNumberFormat="1" applyFill="1" applyBorder="1" applyAlignment="1" applyProtection="1">
      <alignment horizontal="center" vertical="top"/>
      <protection hidden="1"/>
    </xf>
    <xf numFmtId="0" fontId="0" fillId="23" borderId="79" xfId="0" applyNumberFormat="1" applyFill="1" applyBorder="1" applyProtection="1">
      <protection hidden="1"/>
    </xf>
    <xf numFmtId="0" fontId="0" fillId="0" borderId="14" xfId="0" applyNumberFormat="1" applyFill="1" applyBorder="1" applyProtection="1">
      <protection hidden="1"/>
    </xf>
    <xf numFmtId="0" fontId="0" fillId="0" borderId="14" xfId="0" applyNumberFormat="1" applyFill="1" applyBorder="1" applyAlignment="1" applyProtection="1">
      <alignment horizontal="center"/>
      <protection hidden="1"/>
    </xf>
    <xf numFmtId="0" fontId="0" fillId="68" borderId="14" xfId="0" applyNumberFormat="1" applyFill="1" applyBorder="1" applyProtection="1">
      <protection hidden="1"/>
    </xf>
    <xf numFmtId="0" fontId="0" fillId="0" borderId="5" xfId="0" applyNumberFormat="1" applyFill="1" applyBorder="1" applyProtection="1">
      <protection hidden="1"/>
    </xf>
    <xf numFmtId="0" fontId="0" fillId="0" borderId="49" xfId="0" applyNumberFormat="1" applyFill="1" applyBorder="1" applyProtection="1">
      <protection hidden="1"/>
    </xf>
    <xf numFmtId="0" fontId="0" fillId="0" borderId="91" xfId="0" applyBorder="1" applyAlignment="1" applyProtection="1">
      <alignment horizontal="left" vertical="top"/>
    </xf>
    <xf numFmtId="0" fontId="0" fillId="0" borderId="65" xfId="0" applyBorder="1" applyAlignment="1" applyProtection="1">
      <alignment horizontal="left" vertical="top"/>
    </xf>
    <xf numFmtId="0" fontId="0" fillId="0" borderId="59" xfId="0" applyBorder="1" applyAlignment="1" applyProtection="1">
      <alignment horizontal="left" vertical="top"/>
    </xf>
    <xf numFmtId="0" fontId="0" fillId="0" borderId="92" xfId="0" applyBorder="1" applyAlignment="1" applyProtection="1">
      <alignment horizontal="left" vertical="top"/>
    </xf>
    <xf numFmtId="0" fontId="0" fillId="0" borderId="93" xfId="0" applyBorder="1" applyAlignment="1" applyProtection="1">
      <alignment horizontal="left" vertical="top"/>
    </xf>
    <xf numFmtId="0" fontId="0" fillId="0" borderId="95" xfId="0" applyBorder="1" applyAlignment="1" applyProtection="1">
      <alignment horizontal="left" vertical="top"/>
    </xf>
    <xf numFmtId="0" fontId="71" fillId="2" borderId="0" xfId="0" applyFont="1" applyFill="1" applyBorder="1" applyAlignment="1">
      <alignment horizontal="left"/>
    </xf>
    <xf numFmtId="0" fontId="67" fillId="2" borderId="0" xfId="0" applyFont="1" applyFill="1" applyAlignment="1" applyProtection="1">
      <alignment horizontal="left"/>
      <protection locked="0"/>
    </xf>
    <xf numFmtId="0" fontId="71" fillId="2" borderId="0" xfId="0" applyFont="1" applyFill="1" applyAlignment="1" applyProtection="1">
      <protection locked="0"/>
    </xf>
    <xf numFmtId="0" fontId="71" fillId="2" borderId="0" xfId="0" applyFont="1" applyFill="1" applyAlignment="1" applyProtection="1">
      <alignment horizontal="right"/>
      <protection locked="0"/>
    </xf>
    <xf numFmtId="0" fontId="0" fillId="61" borderId="79" xfId="0" applyFill="1" applyBorder="1" applyProtection="1"/>
    <xf numFmtId="0" fontId="0" fillId="61" borderId="81" xfId="0" applyFill="1" applyBorder="1" applyProtection="1"/>
    <xf numFmtId="0" fontId="26" fillId="0" borderId="62" xfId="0" applyFont="1" applyFill="1" applyBorder="1" applyAlignment="1" applyProtection="1">
      <alignment vertical="center"/>
    </xf>
    <xf numFmtId="0" fontId="60" fillId="0" borderId="62" xfId="0" applyFont="1" applyFill="1" applyBorder="1" applyAlignment="1" applyProtection="1">
      <alignment vertical="center" wrapText="1"/>
    </xf>
    <xf numFmtId="0" fontId="26" fillId="0" borderId="62" xfId="0" applyFont="1" applyFill="1" applyBorder="1" applyAlignment="1" applyProtection="1">
      <alignment vertical="center" wrapText="1"/>
    </xf>
    <xf numFmtId="0" fontId="26" fillId="0" borderId="0" xfId="0" applyFont="1" applyFill="1" applyBorder="1" applyAlignment="1" applyProtection="1">
      <alignment vertical="center" wrapText="1"/>
    </xf>
    <xf numFmtId="0" fontId="26" fillId="64" borderId="49" xfId="0" applyFont="1" applyFill="1" applyBorder="1" applyAlignment="1" applyProtection="1">
      <alignment wrapText="1"/>
    </xf>
    <xf numFmtId="0" fontId="0" fillId="56" borderId="49" xfId="0" applyFont="1" applyFill="1" applyBorder="1" applyAlignment="1" applyProtection="1">
      <alignment vertical="top" wrapText="1"/>
    </xf>
    <xf numFmtId="0" fontId="0" fillId="47" borderId="49" xfId="0" applyFont="1" applyFill="1" applyBorder="1" applyAlignment="1" applyProtection="1">
      <alignment horizontal="center" vertical="top" wrapText="1"/>
    </xf>
    <xf numFmtId="0" fontId="0" fillId="63" borderId="63" xfId="0" applyFont="1" applyFill="1" applyBorder="1" applyAlignment="1" applyProtection="1">
      <alignment vertical="top" wrapText="1"/>
    </xf>
    <xf numFmtId="0" fontId="71" fillId="2" borderId="0" xfId="0" applyFont="1" applyFill="1" applyProtection="1"/>
    <xf numFmtId="0" fontId="0" fillId="0" borderId="67" xfId="0" applyFont="1" applyFill="1" applyBorder="1" applyAlignment="1" applyProtection="1">
      <alignment vertical="top" wrapText="1"/>
    </xf>
    <xf numFmtId="0" fontId="0" fillId="0" borderId="65" xfId="0" applyFont="1" applyFill="1" applyBorder="1" applyAlignment="1" applyProtection="1">
      <alignment vertical="top" wrapText="1"/>
    </xf>
    <xf numFmtId="0" fontId="0" fillId="0" borderId="92" xfId="0" applyFont="1" applyFill="1" applyBorder="1" applyAlignment="1" applyProtection="1">
      <alignment vertical="top" wrapText="1"/>
    </xf>
    <xf numFmtId="0" fontId="0" fillId="0" borderId="0" xfId="0" applyBorder="1" applyProtection="1">
      <protection locked="0"/>
    </xf>
    <xf numFmtId="0" fontId="26" fillId="63" borderId="63" xfId="0" applyFont="1" applyFill="1" applyBorder="1" applyAlignment="1" applyProtection="1">
      <alignment horizontal="right" vertical="center"/>
      <protection locked="0"/>
    </xf>
    <xf numFmtId="0" fontId="26" fillId="63" borderId="55" xfId="0" applyFont="1" applyFill="1" applyBorder="1" applyAlignment="1" applyProtection="1">
      <alignment vertical="center"/>
      <protection locked="0"/>
    </xf>
    <xf numFmtId="0" fontId="46" fillId="53" borderId="63" xfId="0" applyFont="1" applyFill="1" applyBorder="1" applyAlignment="1" applyProtection="1">
      <alignment horizontal="left" vertical="top" wrapText="1"/>
    </xf>
    <xf numFmtId="0" fontId="46" fillId="53" borderId="81" xfId="0" applyFont="1" applyFill="1" applyBorder="1" applyAlignment="1" applyProtection="1">
      <alignment horizontal="left" vertical="top" wrapText="1"/>
    </xf>
    <xf numFmtId="0" fontId="46" fillId="53" borderId="94" xfId="0" applyFont="1" applyFill="1" applyBorder="1" applyAlignment="1" applyProtection="1">
      <alignment horizontal="left" vertical="top" wrapText="1"/>
    </xf>
    <xf numFmtId="0" fontId="0" fillId="0" borderId="0" xfId="0" applyProtection="1">
      <protection hidden="1"/>
    </xf>
    <xf numFmtId="0" fontId="0" fillId="0" borderId="0" xfId="0" applyFont="1" applyFill="1" applyBorder="1" applyAlignment="1" applyProtection="1">
      <alignment vertical="top" wrapText="1"/>
      <protection locked="0"/>
    </xf>
    <xf numFmtId="0" fontId="0" fillId="69" borderId="107" xfId="0" applyFont="1" applyFill="1" applyBorder="1" applyAlignment="1" applyProtection="1">
      <alignment horizontal="left" vertical="top" wrapText="1"/>
      <protection locked="0"/>
    </xf>
    <xf numFmtId="0" fontId="0" fillId="0" borderId="91" xfId="0" applyBorder="1" applyProtection="1">
      <protection locked="0"/>
    </xf>
    <xf numFmtId="0" fontId="0" fillId="0" borderId="66" xfId="0" applyBorder="1" applyProtection="1">
      <protection locked="0"/>
    </xf>
    <xf numFmtId="0" fontId="0" fillId="0" borderId="59" xfId="0" applyBorder="1" applyProtection="1">
      <protection locked="0"/>
    </xf>
    <xf numFmtId="0" fontId="0" fillId="0" borderId="93" xfId="0" applyBorder="1" applyProtection="1">
      <protection locked="0"/>
    </xf>
    <xf numFmtId="0" fontId="0" fillId="0" borderId="94" xfId="0" applyBorder="1" applyProtection="1">
      <protection locked="0"/>
    </xf>
    <xf numFmtId="0" fontId="0" fillId="69" borderId="113" xfId="0" applyFont="1" applyFill="1" applyBorder="1" applyAlignment="1" applyProtection="1">
      <alignment horizontal="left" vertical="top" wrapText="1"/>
      <protection locked="0"/>
    </xf>
    <xf numFmtId="0" fontId="0" fillId="0" borderId="67" xfId="0" applyBorder="1" applyProtection="1">
      <protection locked="0"/>
    </xf>
    <xf numFmtId="0" fontId="0" fillId="0" borderId="7" xfId="0" applyBorder="1" applyProtection="1">
      <protection locked="0"/>
    </xf>
    <xf numFmtId="0" fontId="0" fillId="0" borderId="100" xfId="0" applyBorder="1" applyProtection="1">
      <protection locked="0"/>
    </xf>
    <xf numFmtId="0" fontId="0" fillId="69" borderId="111" xfId="0" applyFont="1" applyFill="1" applyBorder="1" applyAlignment="1" applyProtection="1">
      <alignment horizontal="left" vertical="top" wrapText="1"/>
      <protection locked="0"/>
    </xf>
    <xf numFmtId="0" fontId="0" fillId="0" borderId="65" xfId="0" applyBorder="1" applyProtection="1">
      <protection locked="0"/>
    </xf>
    <xf numFmtId="0" fontId="0" fillId="0" borderId="92" xfId="0" applyBorder="1" applyProtection="1">
      <protection locked="0"/>
    </xf>
    <xf numFmtId="0" fontId="0" fillId="0" borderId="95" xfId="0" applyBorder="1" applyProtection="1">
      <protection locked="0"/>
    </xf>
    <xf numFmtId="0" fontId="0" fillId="0" borderId="4" xfId="0" applyBorder="1" applyProtection="1"/>
    <xf numFmtId="0" fontId="0" fillId="3" borderId="4" xfId="0" applyFill="1" applyBorder="1" applyProtection="1"/>
    <xf numFmtId="0" fontId="55" fillId="58" borderId="0" xfId="0" applyFont="1" applyFill="1" applyBorder="1" applyAlignment="1" applyProtection="1">
      <alignment horizontal="left" vertical="center" wrapText="1"/>
      <protection locked="0"/>
    </xf>
    <xf numFmtId="0" fontId="56" fillId="58" borderId="13" xfId="0" applyFont="1" applyFill="1" applyBorder="1" applyAlignment="1" applyProtection="1">
      <alignment horizontal="left"/>
    </xf>
    <xf numFmtId="0" fontId="6" fillId="58" borderId="17" xfId="0" applyFont="1" applyFill="1" applyBorder="1" applyAlignment="1" applyProtection="1">
      <alignment horizontal="right"/>
    </xf>
    <xf numFmtId="0" fontId="0" fillId="58" borderId="18" xfId="0" applyFill="1" applyBorder="1" applyAlignment="1" applyProtection="1">
      <alignment wrapText="1"/>
    </xf>
    <xf numFmtId="0" fontId="0" fillId="58" borderId="19" xfId="0" applyFill="1" applyBorder="1" applyAlignment="1" applyProtection="1">
      <alignment wrapText="1"/>
    </xf>
    <xf numFmtId="0" fontId="0" fillId="58" borderId="5" xfId="0" applyFill="1" applyBorder="1" applyProtection="1"/>
    <xf numFmtId="0" fontId="0" fillId="58" borderId="6" xfId="0" applyFill="1" applyBorder="1" applyProtection="1"/>
    <xf numFmtId="0" fontId="0" fillId="58" borderId="7" xfId="0" applyFill="1" applyBorder="1" applyProtection="1"/>
    <xf numFmtId="0" fontId="56" fillId="58" borderId="17" xfId="0" applyFont="1" applyFill="1" applyBorder="1" applyAlignment="1" applyProtection="1">
      <alignment horizontal="left"/>
    </xf>
    <xf numFmtId="0" fontId="26" fillId="69" borderId="57" xfId="0" applyFont="1" applyFill="1" applyBorder="1" applyAlignment="1" applyProtection="1">
      <alignment horizontal="left" vertical="top" wrapText="1"/>
      <protection locked="0"/>
    </xf>
    <xf numFmtId="0" fontId="26" fillId="69" borderId="113" xfId="0" applyFont="1" applyFill="1" applyBorder="1" applyAlignment="1" applyProtection="1">
      <alignment horizontal="left" vertical="top" wrapText="1"/>
      <protection locked="0"/>
    </xf>
    <xf numFmtId="2" fontId="0" fillId="0" borderId="0" xfId="0" applyNumberFormat="1" applyProtection="1"/>
    <xf numFmtId="0" fontId="0" fillId="23" borderId="53" xfId="0" applyFont="1" applyFill="1" applyBorder="1" applyAlignment="1" applyProtection="1">
      <alignment vertical="top" wrapText="1"/>
    </xf>
    <xf numFmtId="0" fontId="0" fillId="23" borderId="99" xfId="0" applyFont="1" applyFill="1" applyBorder="1" applyAlignment="1" applyProtection="1">
      <alignment vertical="top" wrapText="1"/>
    </xf>
    <xf numFmtId="0" fontId="0" fillId="23" borderId="37" xfId="0" applyFont="1" applyFill="1" applyBorder="1" applyAlignment="1" applyProtection="1">
      <alignment vertical="top" wrapText="1"/>
    </xf>
    <xf numFmtId="0" fontId="0" fillId="23" borderId="58" xfId="2" applyFont="1" applyFill="1" applyBorder="1" applyAlignment="1" applyProtection="1">
      <alignment vertical="top" wrapText="1"/>
    </xf>
    <xf numFmtId="0" fontId="0" fillId="23" borderId="21" xfId="2" applyFont="1" applyFill="1" applyBorder="1" applyAlignment="1" applyProtection="1">
      <alignment vertical="top" wrapText="1"/>
    </xf>
    <xf numFmtId="0" fontId="0" fillId="23" borderId="104" xfId="2" applyFont="1" applyFill="1" applyBorder="1" applyAlignment="1" applyProtection="1">
      <alignment vertical="top" wrapText="1"/>
    </xf>
    <xf numFmtId="0" fontId="0" fillId="62" borderId="135" xfId="0" applyFont="1" applyFill="1" applyBorder="1" applyAlignment="1" applyProtection="1">
      <alignment vertical="top" wrapText="1"/>
    </xf>
    <xf numFmtId="0" fontId="0" fillId="23" borderId="32" xfId="0" applyFont="1" applyFill="1" applyBorder="1" applyAlignment="1" applyProtection="1">
      <alignment vertical="top" wrapText="1"/>
    </xf>
    <xf numFmtId="0" fontId="46" fillId="53" borderId="103" xfId="0" applyFont="1" applyFill="1" applyBorder="1" applyAlignment="1" applyProtection="1">
      <alignment horizontal="left" vertical="top" wrapText="1"/>
    </xf>
    <xf numFmtId="0" fontId="56" fillId="66" borderId="5" xfId="0" applyFont="1" applyFill="1" applyBorder="1" applyAlignment="1">
      <alignment horizontal="center" vertical="top" wrapText="1"/>
    </xf>
    <xf numFmtId="0" fontId="56" fillId="66" borderId="6" xfId="0" applyFont="1" applyFill="1" applyBorder="1" applyAlignment="1">
      <alignment horizontal="center" vertical="top" wrapText="1"/>
    </xf>
    <xf numFmtId="0" fontId="56" fillId="66" borderId="7" xfId="0" applyFont="1" applyFill="1" applyBorder="1" applyAlignment="1">
      <alignment horizontal="center" vertical="top" wrapText="1"/>
    </xf>
    <xf numFmtId="2" fontId="56" fillId="6" borderId="16" xfId="0" applyNumberFormat="1" applyFont="1" applyFill="1" applyBorder="1" applyAlignment="1" applyProtection="1">
      <alignment horizontal="right" wrapText="1"/>
      <protection hidden="1"/>
    </xf>
    <xf numFmtId="0" fontId="55" fillId="3" borderId="20" xfId="0" applyFont="1" applyFill="1" applyBorder="1" applyAlignment="1" applyProtection="1">
      <alignment horizontal="left" vertical="center"/>
    </xf>
    <xf numFmtId="0" fontId="0" fillId="0" borderId="21" xfId="0" applyFont="1" applyBorder="1" applyAlignment="1">
      <alignment horizontal="left" vertical="center"/>
    </xf>
    <xf numFmtId="0" fontId="55" fillId="3" borderId="0" xfId="0" applyNumberFormat="1" applyFont="1" applyFill="1" applyBorder="1" applyAlignment="1">
      <alignment horizontal="left" vertical="top" wrapText="1"/>
    </xf>
    <xf numFmtId="0" fontId="56" fillId="66" borderId="5" xfId="0" applyFont="1" applyFill="1" applyBorder="1" applyAlignment="1">
      <alignment horizontal="center" vertical="center"/>
    </xf>
    <xf numFmtId="0" fontId="56" fillId="66" borderId="6" xfId="0" applyFont="1" applyFill="1" applyBorder="1" applyAlignment="1">
      <alignment horizontal="center" vertical="center"/>
    </xf>
    <xf numFmtId="0" fontId="56" fillId="66" borderId="7" xfId="0" applyFont="1" applyFill="1" applyBorder="1" applyAlignment="1">
      <alignment horizontal="center" vertical="center"/>
    </xf>
    <xf numFmtId="0" fontId="0" fillId="58" borderId="5" xfId="0" applyFont="1" applyFill="1" applyBorder="1" applyAlignment="1" applyProtection="1">
      <alignment horizontal="center"/>
    </xf>
    <xf numFmtId="0" fontId="0" fillId="58" borderId="7" xfId="0" applyFont="1" applyFill="1" applyBorder="1" applyAlignment="1" applyProtection="1">
      <alignment horizontal="center"/>
    </xf>
    <xf numFmtId="0" fontId="1" fillId="3" borderId="9" xfId="0" applyFont="1" applyFill="1" applyBorder="1" applyAlignment="1" applyProtection="1">
      <protection locked="0"/>
    </xf>
    <xf numFmtId="0" fontId="6" fillId="3" borderId="10" xfId="0" applyFont="1" applyFill="1" applyBorder="1" applyAlignment="1" applyProtection="1">
      <protection locked="0"/>
    </xf>
    <xf numFmtId="0" fontId="6" fillId="3" borderId="11" xfId="0" applyFont="1" applyFill="1" applyBorder="1" applyAlignment="1" applyProtection="1">
      <protection locked="0"/>
    </xf>
    <xf numFmtId="0" fontId="1" fillId="3" borderId="13" xfId="0" applyFont="1" applyFill="1" applyBorder="1" applyAlignment="1" applyProtection="1">
      <protection locked="0"/>
    </xf>
    <xf numFmtId="0" fontId="6" fillId="3" borderId="0" xfId="0" applyFont="1" applyFill="1" applyBorder="1" applyAlignment="1" applyProtection="1">
      <protection locked="0"/>
    </xf>
    <xf numFmtId="0" fontId="6" fillId="3" borderId="15" xfId="0" applyFont="1" applyFill="1" applyBorder="1" applyAlignment="1" applyProtection="1">
      <protection locked="0"/>
    </xf>
    <xf numFmtId="0" fontId="1" fillId="3" borderId="17" xfId="0" applyFont="1" applyFill="1" applyBorder="1" applyAlignment="1" applyProtection="1">
      <protection locked="0"/>
    </xf>
    <xf numFmtId="0" fontId="6" fillId="3" borderId="18" xfId="0" applyFont="1" applyFill="1" applyBorder="1" applyAlignment="1" applyProtection="1">
      <protection locked="0"/>
    </xf>
    <xf numFmtId="0" fontId="6" fillId="3" borderId="19" xfId="0" applyFont="1" applyFill="1" applyBorder="1" applyAlignment="1" applyProtection="1">
      <protection locked="0"/>
    </xf>
    <xf numFmtId="0" fontId="0" fillId="3" borderId="9" xfId="0" applyFill="1" applyBorder="1" applyAlignment="1" applyProtection="1">
      <alignment horizontal="left"/>
      <protection locked="0"/>
    </xf>
    <xf numFmtId="0" fontId="0" fillId="3" borderId="10" xfId="0" applyFill="1" applyBorder="1" applyAlignment="1" applyProtection="1">
      <alignment horizontal="left"/>
      <protection locked="0"/>
    </xf>
    <xf numFmtId="0" fontId="0" fillId="3" borderId="11" xfId="0" applyFill="1" applyBorder="1" applyAlignment="1" applyProtection="1">
      <alignment horizontal="left"/>
      <protection locked="0"/>
    </xf>
    <xf numFmtId="0" fontId="0" fillId="3" borderId="13" xfId="0" applyFill="1" applyBorder="1" applyAlignment="1" applyProtection="1">
      <alignment horizontal="left"/>
      <protection locked="0"/>
    </xf>
    <xf numFmtId="0" fontId="0" fillId="3" borderId="0" xfId="0" applyFill="1" applyBorder="1" applyAlignment="1" applyProtection="1">
      <alignment horizontal="left"/>
      <protection locked="0"/>
    </xf>
    <xf numFmtId="0" fontId="0" fillId="3" borderId="15" xfId="0" applyFill="1" applyBorder="1" applyAlignment="1" applyProtection="1">
      <alignment horizontal="left"/>
      <protection locked="0"/>
    </xf>
    <xf numFmtId="0" fontId="2" fillId="0" borderId="51" xfId="0" applyFont="1" applyFill="1" applyBorder="1" applyAlignment="1" applyProtection="1">
      <alignment horizontal="center" vertical="center" wrapText="1"/>
      <protection locked="0"/>
    </xf>
    <xf numFmtId="0" fontId="2" fillId="0" borderId="37" xfId="0" applyFont="1" applyFill="1" applyBorder="1" applyAlignment="1" applyProtection="1">
      <alignment horizontal="center" vertical="center" wrapText="1"/>
      <protection locked="0"/>
    </xf>
    <xf numFmtId="0" fontId="2" fillId="0" borderId="43" xfId="0" applyFont="1" applyFill="1" applyBorder="1" applyAlignment="1" applyProtection="1">
      <alignment horizontal="center" vertical="center" wrapText="1"/>
      <protection locked="0"/>
    </xf>
    <xf numFmtId="0" fontId="2" fillId="0" borderId="37" xfId="0" applyFont="1" applyFill="1" applyBorder="1" applyAlignment="1" applyProtection="1">
      <alignment horizontal="center" vertical="center" wrapText="1"/>
    </xf>
    <xf numFmtId="0" fontId="2" fillId="0" borderId="43" xfId="0" applyFont="1" applyFill="1" applyBorder="1" applyAlignment="1" applyProtection="1">
      <alignment horizontal="center" vertical="center" wrapText="1"/>
    </xf>
    <xf numFmtId="0" fontId="12" fillId="0" borderId="36" xfId="0" applyFont="1" applyBorder="1" applyAlignment="1" applyProtection="1">
      <alignment horizontal="center"/>
      <protection locked="0"/>
    </xf>
    <xf numFmtId="0" fontId="12" fillId="0" borderId="37" xfId="0" applyFont="1" applyBorder="1" applyAlignment="1" applyProtection="1">
      <alignment horizontal="center"/>
      <protection locked="0"/>
    </xf>
    <xf numFmtId="0" fontId="1" fillId="0" borderId="32" xfId="0" applyFont="1" applyFill="1" applyBorder="1" applyAlignment="1" applyProtection="1">
      <alignment horizontal="center" vertical="center" wrapText="1"/>
    </xf>
    <xf numFmtId="0" fontId="1" fillId="0" borderId="50" xfId="0" applyFont="1" applyFill="1" applyBorder="1" applyAlignment="1" applyProtection="1">
      <alignment horizontal="center" vertical="center" wrapText="1"/>
    </xf>
    <xf numFmtId="0" fontId="1" fillId="0" borderId="51" xfId="0" applyFont="1" applyFill="1" applyBorder="1" applyAlignment="1" applyProtection="1">
      <alignment horizontal="center" vertical="center" wrapText="1"/>
    </xf>
    <xf numFmtId="0" fontId="1" fillId="0" borderId="37" xfId="0" applyFont="1" applyFill="1" applyBorder="1" applyAlignment="1" applyProtection="1">
      <alignment horizontal="center" vertical="center" wrapText="1"/>
    </xf>
    <xf numFmtId="0" fontId="1" fillId="0" borderId="38" xfId="0" applyFont="1" applyFill="1" applyBorder="1" applyAlignment="1" applyProtection="1">
      <alignment horizontal="center" vertical="center" wrapText="1"/>
    </xf>
    <xf numFmtId="0" fontId="2" fillId="0" borderId="38" xfId="0" applyFont="1" applyFill="1" applyBorder="1" applyAlignment="1" applyProtection="1">
      <alignment horizontal="center" vertical="center" wrapText="1"/>
      <protection locked="0"/>
    </xf>
    <xf numFmtId="0" fontId="8" fillId="3" borderId="78" xfId="0" applyFont="1" applyFill="1" applyBorder="1" applyAlignment="1" applyProtection="1">
      <alignment horizontal="center" vertical="center"/>
    </xf>
    <xf numFmtId="0" fontId="0" fillId="0" borderId="36" xfId="0" applyBorder="1" applyAlignment="1" applyProtection="1"/>
    <xf numFmtId="0" fontId="0" fillId="0" borderId="42" xfId="0" applyBorder="1" applyAlignment="1" applyProtection="1"/>
    <xf numFmtId="0" fontId="8" fillId="3" borderId="3" xfId="0" applyFont="1" applyFill="1" applyBorder="1" applyAlignment="1" applyProtection="1">
      <alignment horizontal="left" vertical="center" wrapText="1"/>
    </xf>
    <xf numFmtId="0" fontId="0" fillId="0" borderId="0" xfId="0" applyBorder="1" applyAlignment="1" applyProtection="1">
      <alignment horizontal="left" vertical="center"/>
    </xf>
    <xf numFmtId="0" fontId="0" fillId="0" borderId="41" xfId="0" applyBorder="1" applyAlignment="1" applyProtection="1">
      <alignment horizontal="left" vertical="center"/>
    </xf>
    <xf numFmtId="0" fontId="19" fillId="3" borderId="37" xfId="0" applyFont="1" applyFill="1" applyBorder="1" applyAlignment="1" applyProtection="1">
      <alignment horizontal="center" vertical="center"/>
    </xf>
    <xf numFmtId="0" fontId="19" fillId="3" borderId="38" xfId="0" applyFont="1" applyFill="1" applyBorder="1" applyAlignment="1" applyProtection="1">
      <alignment horizontal="center" vertical="center"/>
    </xf>
    <xf numFmtId="0" fontId="2" fillId="5" borderId="0" xfId="0" applyFont="1" applyFill="1" applyBorder="1" applyAlignment="1" applyProtection="1">
      <alignment horizontal="center" vertical="center" wrapText="1"/>
      <protection locked="0"/>
    </xf>
    <xf numFmtId="0" fontId="12" fillId="0" borderId="49" xfId="0" applyFont="1" applyBorder="1" applyAlignment="1" applyProtection="1">
      <alignment horizontal="center" wrapText="1"/>
      <protection locked="0"/>
    </xf>
    <xf numFmtId="0" fontId="12" fillId="0" borderId="37" xfId="0" applyFont="1" applyBorder="1" applyAlignment="1" applyProtection="1">
      <alignment horizontal="center" wrapText="1"/>
      <protection locked="0"/>
    </xf>
    <xf numFmtId="0" fontId="12" fillId="0" borderId="38" xfId="0" applyFont="1" applyBorder="1" applyAlignment="1" applyProtection="1">
      <alignment horizontal="center" wrapText="1"/>
      <protection locked="0"/>
    </xf>
    <xf numFmtId="0" fontId="2" fillId="5" borderId="15" xfId="0" applyFont="1" applyFill="1" applyBorder="1" applyAlignment="1" applyProtection="1">
      <alignment horizontal="center" vertical="center" wrapText="1"/>
      <protection locked="0"/>
    </xf>
    <xf numFmtId="0" fontId="2" fillId="5" borderId="36" xfId="0" applyFont="1" applyFill="1" applyBorder="1" applyAlignment="1" applyProtection="1">
      <alignment horizontal="center" vertical="center" wrapText="1"/>
      <protection locked="0"/>
    </xf>
    <xf numFmtId="0" fontId="7" fillId="7" borderId="27" xfId="0" applyFont="1" applyFill="1" applyBorder="1" applyAlignment="1" applyProtection="1">
      <alignment horizontal="center" vertical="center"/>
      <protection locked="0"/>
    </xf>
    <xf numFmtId="0" fontId="7" fillId="7" borderId="29" xfId="0" applyFont="1" applyFill="1" applyBorder="1" applyAlignment="1" applyProtection="1">
      <alignment horizontal="center" vertical="center"/>
      <protection locked="0"/>
    </xf>
    <xf numFmtId="0" fontId="2" fillId="7" borderId="64" xfId="0" applyFont="1" applyFill="1" applyBorder="1" applyAlignment="1" applyProtection="1">
      <alignment horizontal="center" vertical="center"/>
      <protection locked="0"/>
    </xf>
    <xf numFmtId="0" fontId="2" fillId="7" borderId="77" xfId="0" applyFont="1" applyFill="1" applyBorder="1" applyAlignment="1" applyProtection="1">
      <alignment horizontal="left" vertical="top" wrapText="1"/>
      <protection locked="0"/>
    </xf>
    <xf numFmtId="0" fontId="2" fillId="7" borderId="76" xfId="0" applyFont="1" applyFill="1" applyBorder="1" applyAlignment="1" applyProtection="1">
      <alignment horizontal="left" vertical="top" wrapText="1"/>
      <protection locked="0"/>
    </xf>
    <xf numFmtId="0" fontId="2" fillId="7" borderId="75" xfId="0" applyFont="1" applyFill="1" applyBorder="1" applyAlignment="1" applyProtection="1">
      <alignment horizontal="left" vertical="top" wrapText="1"/>
      <protection locked="0"/>
    </xf>
    <xf numFmtId="0" fontId="2" fillId="7" borderId="74" xfId="0" applyFont="1" applyFill="1" applyBorder="1" applyAlignment="1" applyProtection="1">
      <alignment horizontal="left" vertical="top" wrapText="1"/>
      <protection locked="0"/>
    </xf>
    <xf numFmtId="0" fontId="2" fillId="7" borderId="0" xfId="0" applyFont="1" applyFill="1" applyBorder="1" applyAlignment="1" applyProtection="1">
      <alignment horizontal="left" vertical="top" wrapText="1"/>
      <protection locked="0"/>
    </xf>
    <xf numFmtId="0" fontId="2" fillId="7" borderId="73" xfId="0" applyFont="1" applyFill="1" applyBorder="1" applyAlignment="1" applyProtection="1">
      <alignment horizontal="left" vertical="top" wrapText="1"/>
      <protection locked="0"/>
    </xf>
    <xf numFmtId="0" fontId="2" fillId="7" borderId="72" xfId="0" applyFont="1" applyFill="1" applyBorder="1" applyAlignment="1" applyProtection="1">
      <alignment horizontal="left" vertical="top" wrapText="1"/>
      <protection locked="0"/>
    </xf>
    <xf numFmtId="0" fontId="2" fillId="7" borderId="71" xfId="0" applyFont="1" applyFill="1" applyBorder="1" applyAlignment="1" applyProtection="1">
      <alignment horizontal="left" vertical="top" wrapText="1"/>
      <protection locked="0"/>
    </xf>
    <xf numFmtId="0" fontId="2" fillId="7" borderId="70" xfId="0" applyFont="1" applyFill="1" applyBorder="1" applyAlignment="1" applyProtection="1">
      <alignment horizontal="left" vertical="top" wrapText="1"/>
      <protection locked="0"/>
    </xf>
    <xf numFmtId="0" fontId="1" fillId="7" borderId="14" xfId="0" applyFont="1" applyFill="1" applyBorder="1" applyAlignment="1" applyProtection="1">
      <alignment horizontal="left" vertical="top" wrapText="1"/>
      <protection locked="0"/>
    </xf>
    <xf numFmtId="0" fontId="1" fillId="7" borderId="28" xfId="0" applyFont="1" applyFill="1" applyBorder="1" applyAlignment="1" applyProtection="1">
      <alignment horizontal="left" vertical="top" wrapText="1"/>
      <protection locked="0"/>
    </xf>
    <xf numFmtId="0" fontId="1" fillId="7" borderId="30" xfId="0" applyFont="1" applyFill="1" applyBorder="1" applyAlignment="1" applyProtection="1">
      <alignment horizontal="left" vertical="top" wrapText="1"/>
      <protection locked="0"/>
    </xf>
    <xf numFmtId="0" fontId="1" fillId="7" borderId="31" xfId="0" applyFont="1" applyFill="1" applyBorder="1" applyAlignment="1" applyProtection="1">
      <alignment horizontal="left" vertical="top" wrapText="1"/>
      <protection locked="0"/>
    </xf>
    <xf numFmtId="0" fontId="12" fillId="7" borderId="24" xfId="0" applyFont="1" applyFill="1" applyBorder="1" applyAlignment="1" applyProtection="1">
      <alignment horizontal="center"/>
      <protection locked="0"/>
    </xf>
    <xf numFmtId="0" fontId="12" fillId="7" borderId="27" xfId="0" applyFont="1" applyFill="1" applyBorder="1" applyAlignment="1" applyProtection="1">
      <alignment horizontal="center"/>
      <protection locked="0"/>
    </xf>
    <xf numFmtId="0" fontId="1" fillId="7" borderId="25" xfId="0" applyFont="1" applyFill="1" applyBorder="1" applyAlignment="1" applyProtection="1">
      <alignment horizontal="left" vertical="top" wrapText="1"/>
      <protection locked="0"/>
    </xf>
    <xf numFmtId="0" fontId="1" fillId="7" borderId="26" xfId="0" applyFont="1" applyFill="1" applyBorder="1" applyAlignment="1" applyProtection="1">
      <alignment horizontal="left" vertical="top" wrapText="1"/>
      <protection locked="0"/>
    </xf>
    <xf numFmtId="0" fontId="2" fillId="7" borderId="63" xfId="0" applyFont="1" applyFill="1" applyBorder="1" applyAlignment="1" applyProtection="1">
      <alignment horizontal="left" vertical="top" wrapText="1"/>
      <protection locked="0"/>
    </xf>
    <xf numFmtId="0" fontId="2" fillId="7" borderId="62" xfId="0" applyFont="1" applyFill="1" applyBorder="1" applyAlignment="1" applyProtection="1">
      <alignment horizontal="left" vertical="top" wrapText="1"/>
      <protection locked="0"/>
    </xf>
    <xf numFmtId="0" fontId="2" fillId="7" borderId="55" xfId="0" applyFont="1" applyFill="1" applyBorder="1" applyAlignment="1" applyProtection="1">
      <alignment horizontal="left" vertical="top" wrapText="1"/>
      <protection locked="0"/>
    </xf>
    <xf numFmtId="0" fontId="2" fillId="7" borderId="42" xfId="0" applyFont="1" applyFill="1" applyBorder="1" applyAlignment="1" applyProtection="1">
      <alignment horizontal="left" vertical="top" wrapText="1"/>
      <protection locked="0"/>
    </xf>
    <xf numFmtId="0" fontId="2" fillId="7" borderId="41" xfId="0" applyFont="1" applyFill="1" applyBorder="1" applyAlignment="1" applyProtection="1">
      <alignment horizontal="left" vertical="top" wrapText="1"/>
      <protection locked="0"/>
    </xf>
    <xf numFmtId="0" fontId="2" fillId="7" borderId="39" xfId="0" applyFont="1" applyFill="1" applyBorder="1" applyAlignment="1" applyProtection="1">
      <alignment horizontal="left" vertical="top" wrapText="1"/>
      <protection locked="0"/>
    </xf>
    <xf numFmtId="0" fontId="2" fillId="9" borderId="79" xfId="0" applyFont="1" applyFill="1" applyBorder="1" applyAlignment="1" applyProtection="1">
      <alignment horizontal="center" vertical="center" wrapText="1"/>
      <protection locked="0"/>
    </xf>
    <xf numFmtId="0" fontId="0" fillId="0" borderId="80" xfId="0" applyBorder="1" applyAlignment="1" applyProtection="1">
      <alignment horizontal="center" vertical="center" wrapText="1"/>
      <protection locked="0"/>
    </xf>
    <xf numFmtId="0" fontId="0" fillId="0" borderId="81" xfId="0" applyBorder="1" applyAlignment="1" applyProtection="1">
      <alignment horizontal="center" vertical="center" wrapText="1"/>
      <protection locked="0"/>
    </xf>
    <xf numFmtId="0" fontId="2" fillId="4" borderId="64" xfId="0" applyFont="1" applyFill="1" applyBorder="1" applyAlignment="1" applyProtection="1">
      <alignment horizontal="center" vertical="center"/>
      <protection locked="0"/>
    </xf>
    <xf numFmtId="0" fontId="1" fillId="0" borderId="52" xfId="0" applyFont="1" applyFill="1" applyBorder="1" applyAlignment="1" applyProtection="1">
      <alignment horizontal="center" vertical="center" wrapText="1"/>
    </xf>
    <xf numFmtId="0" fontId="1" fillId="0" borderId="46" xfId="0" applyFont="1" applyFill="1" applyBorder="1" applyAlignment="1" applyProtection="1">
      <alignment horizontal="center" vertical="center" wrapText="1"/>
    </xf>
    <xf numFmtId="0" fontId="1" fillId="0" borderId="39" xfId="0" applyFont="1" applyFill="1" applyBorder="1" applyAlignment="1" applyProtection="1">
      <alignment horizontal="center" vertical="center" wrapText="1"/>
    </xf>
    <xf numFmtId="0" fontId="1" fillId="0" borderId="54" xfId="0" applyFont="1" applyFill="1" applyBorder="1" applyAlignment="1" applyProtection="1">
      <alignment horizontal="center" vertical="center" wrapText="1"/>
    </xf>
    <xf numFmtId="0" fontId="2" fillId="0" borderId="38" xfId="0" applyFont="1" applyFill="1" applyBorder="1" applyAlignment="1" applyProtection="1">
      <alignment horizontal="center" vertical="center" wrapText="1"/>
    </xf>
    <xf numFmtId="0" fontId="1" fillId="0" borderId="53" xfId="0" applyFont="1" applyFill="1" applyBorder="1" applyAlignment="1" applyProtection="1">
      <alignment horizontal="center" vertical="center"/>
    </xf>
    <xf numFmtId="0" fontId="1" fillId="0" borderId="48" xfId="0" applyFont="1" applyFill="1" applyBorder="1" applyAlignment="1" applyProtection="1">
      <alignment horizontal="center" vertical="center"/>
    </xf>
    <xf numFmtId="0" fontId="1" fillId="0" borderId="9" xfId="0" applyFont="1" applyFill="1" applyBorder="1" applyAlignment="1" applyProtection="1">
      <alignment horizontal="left" vertical="center" wrapText="1"/>
    </xf>
    <xf numFmtId="0" fontId="1" fillId="0" borderId="13" xfId="0" applyFont="1" applyFill="1" applyBorder="1" applyAlignment="1" applyProtection="1">
      <alignment horizontal="left" vertical="center" wrapText="1"/>
    </xf>
    <xf numFmtId="0" fontId="1" fillId="0" borderId="17" xfId="0" applyFont="1" applyFill="1" applyBorder="1" applyAlignment="1" applyProtection="1">
      <alignment horizontal="left" vertical="center" wrapText="1"/>
    </xf>
    <xf numFmtId="0" fontId="1" fillId="0" borderId="43" xfId="0" applyFont="1" applyFill="1" applyBorder="1" applyAlignment="1" applyProtection="1">
      <alignment horizontal="center" vertical="center" wrapText="1"/>
    </xf>
    <xf numFmtId="0" fontId="2" fillId="0" borderId="51" xfId="0" applyFont="1" applyFill="1" applyBorder="1" applyAlignment="1" applyProtection="1">
      <alignment horizontal="center" vertical="center" wrapText="1"/>
    </xf>
    <xf numFmtId="0" fontId="1" fillId="0" borderId="58" xfId="0" applyFont="1" applyFill="1" applyBorder="1" applyAlignment="1" applyProtection="1">
      <alignment horizontal="center" vertical="center"/>
    </xf>
    <xf numFmtId="0" fontId="2" fillId="4" borderId="49" xfId="0" applyFont="1" applyFill="1" applyBorder="1" applyAlignment="1" applyProtection="1">
      <alignment horizontal="center" vertical="center" wrapText="1"/>
    </xf>
    <xf numFmtId="0" fontId="2" fillId="4" borderId="37" xfId="0" applyFont="1" applyFill="1" applyBorder="1" applyAlignment="1" applyProtection="1">
      <alignment horizontal="center" vertical="center" wrapText="1"/>
    </xf>
    <xf numFmtId="0" fontId="2" fillId="4" borderId="38" xfId="0" applyFont="1" applyFill="1" applyBorder="1" applyAlignment="1" applyProtection="1">
      <alignment horizontal="center" vertical="center" wrapText="1"/>
    </xf>
    <xf numFmtId="0" fontId="1" fillId="5" borderId="57" xfId="0" applyFont="1" applyFill="1" applyBorder="1" applyAlignment="1" applyProtection="1">
      <alignment horizontal="center" vertical="center"/>
    </xf>
    <xf numFmtId="0" fontId="1" fillId="5" borderId="48" xfId="0" applyFont="1" applyFill="1" applyBorder="1" applyAlignment="1" applyProtection="1">
      <alignment horizontal="center" vertical="center"/>
    </xf>
    <xf numFmtId="0" fontId="1" fillId="5" borderId="45" xfId="0" applyFont="1" applyFill="1" applyBorder="1" applyAlignment="1" applyProtection="1">
      <alignment horizontal="center" vertical="center"/>
    </xf>
    <xf numFmtId="0" fontId="1" fillId="5" borderId="56" xfId="0" applyFont="1" applyFill="1" applyBorder="1" applyAlignment="1" applyProtection="1">
      <alignment horizontal="left" vertical="center" wrapText="1"/>
    </xf>
    <xf numFmtId="0" fontId="1" fillId="5" borderId="13" xfId="0" applyFont="1" applyFill="1" applyBorder="1" applyAlignment="1" applyProtection="1">
      <alignment horizontal="left" vertical="center" wrapText="1"/>
    </xf>
    <xf numFmtId="0" fontId="1" fillId="5" borderId="44" xfId="0" applyFont="1" applyFill="1" applyBorder="1" applyAlignment="1" applyProtection="1">
      <alignment horizontal="left" vertical="center" wrapText="1"/>
    </xf>
    <xf numFmtId="0" fontId="1" fillId="5" borderId="55" xfId="0" applyFont="1" applyFill="1" applyBorder="1" applyAlignment="1" applyProtection="1">
      <alignment horizontal="center" vertical="center" wrapText="1"/>
    </xf>
    <xf numFmtId="0" fontId="1" fillId="5" borderId="46" xfId="0" applyFont="1" applyFill="1" applyBorder="1" applyAlignment="1" applyProtection="1">
      <alignment horizontal="center" vertical="center" wrapText="1"/>
    </xf>
    <xf numFmtId="0" fontId="1" fillId="5" borderId="39" xfId="0" applyFont="1" applyFill="1" applyBorder="1" applyAlignment="1" applyProtection="1">
      <alignment horizontal="center" vertical="center" wrapText="1"/>
    </xf>
    <xf numFmtId="0" fontId="1" fillId="0" borderId="55"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xf>
    <xf numFmtId="0" fontId="1" fillId="20" borderId="48" xfId="0" applyFont="1" applyFill="1" applyBorder="1" applyAlignment="1" applyProtection="1">
      <alignment horizontal="center" vertical="center"/>
    </xf>
    <xf numFmtId="0" fontId="1" fillId="0" borderId="57" xfId="0" applyFont="1" applyFill="1" applyBorder="1" applyAlignment="1" applyProtection="1">
      <alignment horizontal="center" vertical="center"/>
    </xf>
    <xf numFmtId="0" fontId="1" fillId="0" borderId="44" xfId="0" applyFont="1" applyFill="1" applyBorder="1" applyAlignment="1" applyProtection="1">
      <alignment horizontal="left" vertical="center" wrapText="1"/>
    </xf>
    <xf numFmtId="0" fontId="2" fillId="3" borderId="0" xfId="0" applyFont="1" applyFill="1" applyBorder="1" applyAlignment="1" applyProtection="1">
      <alignment horizontal="center" vertical="center" wrapText="1"/>
      <protection locked="0"/>
    </xf>
    <xf numFmtId="0" fontId="1" fillId="0" borderId="59" xfId="0" applyFont="1" applyFill="1" applyBorder="1" applyAlignment="1" applyProtection="1">
      <alignment horizontal="center" vertical="center"/>
    </xf>
    <xf numFmtId="0" fontId="1" fillId="0" borderId="5" xfId="0" applyFont="1" applyFill="1" applyBorder="1" applyAlignment="1" applyProtection="1">
      <alignment horizontal="left" vertical="center" wrapText="1"/>
    </xf>
    <xf numFmtId="0" fontId="1" fillId="0" borderId="56" xfId="0" applyFont="1" applyFill="1" applyBorder="1" applyAlignment="1" applyProtection="1">
      <alignment horizontal="left" vertical="center" wrapText="1"/>
    </xf>
    <xf numFmtId="0" fontId="2" fillId="5" borderId="49" xfId="0" applyFont="1" applyFill="1" applyBorder="1" applyAlignment="1" applyProtection="1">
      <alignment horizontal="center" vertical="center" textRotation="90" wrapText="1"/>
    </xf>
    <xf numFmtId="0" fontId="2" fillId="5" borderId="38" xfId="0" applyFont="1" applyFill="1" applyBorder="1" applyAlignment="1" applyProtection="1">
      <alignment horizontal="center" vertical="center" textRotation="90" wrapText="1"/>
    </xf>
    <xf numFmtId="0" fontId="2" fillId="5" borderId="49" xfId="0" applyFont="1" applyFill="1" applyBorder="1" applyAlignment="1" applyProtection="1">
      <alignment horizontal="center" vertical="center" textRotation="90" wrapText="1"/>
      <protection locked="0"/>
    </xf>
    <xf numFmtId="0" fontId="2" fillId="5" borderId="38" xfId="0" applyFont="1" applyFill="1" applyBorder="1" applyAlignment="1" applyProtection="1">
      <alignment horizontal="center" vertical="center" textRotation="90" wrapText="1"/>
      <protection locked="0"/>
    </xf>
    <xf numFmtId="0" fontId="2" fillId="3" borderId="0" xfId="0" applyFont="1" applyFill="1" applyBorder="1" applyAlignment="1" applyProtection="1">
      <alignment horizontal="center" vertical="center"/>
      <protection locked="0"/>
    </xf>
    <xf numFmtId="0" fontId="2" fillId="5" borderId="49" xfId="0" applyFont="1" applyFill="1" applyBorder="1" applyAlignment="1" applyProtection="1">
      <alignment horizontal="center" vertical="center" wrapText="1"/>
    </xf>
    <xf numFmtId="0" fontId="2" fillId="5" borderId="38"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2" fillId="0" borderId="49" xfId="0" applyFont="1" applyFill="1" applyBorder="1" applyAlignment="1" applyProtection="1">
      <alignment horizontal="center" vertical="center" wrapText="1"/>
      <protection locked="0"/>
    </xf>
    <xf numFmtId="0" fontId="14" fillId="3" borderId="0" xfId="0" applyFont="1" applyFill="1" applyBorder="1" applyAlignment="1" applyProtection="1">
      <alignment horizontal="center" vertical="center"/>
      <protection locked="0"/>
    </xf>
    <xf numFmtId="0" fontId="2" fillId="3" borderId="68" xfId="0" applyFont="1" applyFill="1" applyBorder="1" applyAlignment="1" applyProtection="1">
      <alignment horizontal="center" vertical="center" wrapText="1"/>
      <protection locked="0"/>
    </xf>
    <xf numFmtId="0" fontId="2" fillId="3" borderId="41" xfId="0" applyFont="1" applyFill="1" applyBorder="1" applyAlignment="1" applyProtection="1">
      <alignment horizontal="center" vertical="center" wrapText="1"/>
      <protection locked="0"/>
    </xf>
    <xf numFmtId="0" fontId="2" fillId="3" borderId="69" xfId="0" applyFont="1" applyFill="1" applyBorder="1" applyAlignment="1" applyProtection="1">
      <alignment horizontal="center" vertical="center" wrapText="1"/>
      <protection locked="0"/>
    </xf>
    <xf numFmtId="0" fontId="2" fillId="0" borderId="68" xfId="0" applyFont="1" applyFill="1" applyBorder="1" applyAlignment="1" applyProtection="1">
      <alignment horizontal="center" vertical="center" wrapText="1"/>
      <protection locked="0"/>
    </xf>
    <xf numFmtId="0" fontId="2" fillId="0" borderId="41" xfId="0" applyFont="1" applyFill="1" applyBorder="1" applyAlignment="1" applyProtection="1">
      <alignment horizontal="center" vertical="center" wrapText="1"/>
      <protection locked="0"/>
    </xf>
    <xf numFmtId="0" fontId="2" fillId="18" borderId="64" xfId="0" applyFont="1" applyFill="1" applyBorder="1" applyAlignment="1" applyProtection="1">
      <alignment horizontal="center" vertical="center"/>
      <protection locked="0"/>
    </xf>
    <xf numFmtId="0" fontId="1" fillId="0" borderId="11" xfId="0" applyFont="1" applyFill="1" applyBorder="1" applyAlignment="1" applyProtection="1">
      <alignment horizontal="center" vertical="center"/>
    </xf>
    <xf numFmtId="0" fontId="1" fillId="0" borderId="15" xfId="0" applyFont="1" applyFill="1" applyBorder="1" applyAlignment="1" applyProtection="1">
      <alignment horizontal="center" vertical="center"/>
    </xf>
    <xf numFmtId="0" fontId="1" fillId="0" borderId="19" xfId="0" applyFont="1" applyFill="1" applyBorder="1" applyAlignment="1" applyProtection="1">
      <alignment horizontal="center" vertical="center"/>
    </xf>
    <xf numFmtId="0" fontId="12" fillId="0" borderId="52" xfId="0" applyFont="1" applyBorder="1" applyAlignment="1" applyProtection="1">
      <alignment horizontal="center" vertical="center"/>
    </xf>
    <xf numFmtId="0" fontId="12" fillId="0" borderId="46" xfId="0" applyFont="1" applyBorder="1" applyAlignment="1" applyProtection="1">
      <alignment horizontal="center" vertical="center"/>
    </xf>
    <xf numFmtId="0" fontId="12" fillId="0" borderId="54" xfId="0" applyFont="1" applyBorder="1" applyAlignment="1" applyProtection="1">
      <alignment horizontal="center" vertical="center"/>
    </xf>
    <xf numFmtId="0" fontId="12" fillId="0" borderId="37" xfId="0" applyFont="1" applyBorder="1" applyAlignment="1" applyProtection="1"/>
    <xf numFmtId="0" fontId="1" fillId="0" borderId="15" xfId="0" applyFont="1" applyFill="1" applyBorder="1" applyAlignment="1" applyProtection="1">
      <alignment horizontal="center" vertical="center" wrapText="1"/>
    </xf>
    <xf numFmtId="0" fontId="1" fillId="0" borderId="19" xfId="0" applyFont="1" applyFill="1" applyBorder="1" applyAlignment="1" applyProtection="1">
      <alignment horizontal="center" vertical="center" wrapText="1"/>
    </xf>
    <xf numFmtId="0" fontId="1" fillId="0" borderId="11" xfId="0" applyFont="1" applyFill="1" applyBorder="1" applyAlignment="1" applyProtection="1">
      <alignment horizontal="center" vertical="center" wrapText="1"/>
    </xf>
    <xf numFmtId="0" fontId="1" fillId="20" borderId="13" xfId="0" applyFont="1" applyFill="1" applyBorder="1" applyAlignment="1" applyProtection="1">
      <alignment horizontal="left" vertical="center" wrapText="1"/>
    </xf>
    <xf numFmtId="0" fontId="1" fillId="20" borderId="55" xfId="0" applyFont="1" applyFill="1" applyBorder="1" applyAlignment="1" applyProtection="1">
      <alignment horizontal="center" vertical="center" wrapText="1"/>
    </xf>
    <xf numFmtId="0" fontId="1" fillId="20" borderId="46" xfId="0" applyFont="1" applyFill="1" applyBorder="1" applyAlignment="1" applyProtection="1">
      <alignment horizontal="center" vertical="center" wrapText="1"/>
    </xf>
    <xf numFmtId="0" fontId="1" fillId="20" borderId="54" xfId="0" applyFont="1" applyFill="1" applyBorder="1" applyAlignment="1" applyProtection="1">
      <alignment horizontal="center" vertical="center" wrapText="1"/>
    </xf>
    <xf numFmtId="0" fontId="0" fillId="0" borderId="49" xfId="0" applyBorder="1" applyAlignment="1" applyProtection="1">
      <alignment horizontal="center" wrapText="1"/>
      <protection locked="0"/>
    </xf>
    <xf numFmtId="0" fontId="0" fillId="0" borderId="37" xfId="0" applyBorder="1" applyAlignment="1" applyProtection="1">
      <alignment horizontal="center" wrapText="1"/>
      <protection locked="0"/>
    </xf>
    <xf numFmtId="0" fontId="0" fillId="0" borderId="38" xfId="0" applyBorder="1" applyAlignment="1" applyProtection="1">
      <alignment horizontal="center" wrapText="1"/>
      <protection locked="0"/>
    </xf>
    <xf numFmtId="0" fontId="12" fillId="0" borderId="38" xfId="0" applyFont="1" applyBorder="1" applyAlignment="1" applyProtection="1"/>
    <xf numFmtId="0" fontId="21" fillId="0" borderId="49" xfId="0" applyFont="1" applyBorder="1" applyAlignment="1" applyProtection="1">
      <alignment horizontal="center" wrapText="1"/>
      <protection locked="0"/>
    </xf>
    <xf numFmtId="0" fontId="12" fillId="3" borderId="37" xfId="0" applyFont="1" applyFill="1" applyBorder="1" applyAlignment="1" applyProtection="1">
      <alignment horizontal="center" vertical="center"/>
      <protection locked="0"/>
    </xf>
    <xf numFmtId="0" fontId="12" fillId="3" borderId="38" xfId="0" applyFont="1" applyFill="1" applyBorder="1" applyAlignment="1" applyProtection="1">
      <alignment horizontal="center" vertical="center"/>
      <protection locked="0"/>
    </xf>
    <xf numFmtId="0" fontId="0" fillId="0" borderId="37" xfId="0" applyBorder="1" applyAlignment="1" applyProtection="1">
      <alignment horizontal="center" vertical="center" wrapText="1"/>
      <protection locked="0"/>
    </xf>
    <xf numFmtId="0" fontId="0" fillId="0" borderId="43" xfId="0" applyBorder="1" applyAlignment="1" applyProtection="1">
      <alignment horizontal="center" vertical="center" wrapText="1"/>
      <protection locked="0"/>
    </xf>
    <xf numFmtId="0" fontId="0" fillId="65" borderId="79" xfId="0" applyFill="1" applyBorder="1" applyAlignment="1" applyProtection="1">
      <alignment horizontal="center"/>
    </xf>
    <xf numFmtId="0" fontId="0" fillId="65" borderId="81" xfId="0" applyFill="1" applyBorder="1" applyAlignment="1" applyProtection="1">
      <alignment horizontal="center"/>
    </xf>
    <xf numFmtId="0" fontId="0" fillId="48" borderId="63" xfId="0" applyFont="1" applyFill="1" applyBorder="1" applyAlignment="1" applyProtection="1">
      <alignment horizontal="center" vertical="top" wrapText="1"/>
    </xf>
    <xf numFmtId="0" fontId="0" fillId="48" borderId="55" xfId="0" applyFont="1" applyFill="1" applyBorder="1" applyAlignment="1" applyProtection="1">
      <alignment horizontal="center" vertical="top" wrapText="1"/>
    </xf>
    <xf numFmtId="0" fontId="26" fillId="63" borderId="9" xfId="0" applyNumberFormat="1" applyFont="1" applyFill="1" applyBorder="1" applyAlignment="1" applyProtection="1">
      <alignment horizontal="center" vertical="center" wrapText="1"/>
    </xf>
    <xf numFmtId="0" fontId="26" fillId="63" borderId="10" xfId="0" applyNumberFormat="1" applyFont="1" applyFill="1" applyBorder="1" applyAlignment="1" applyProtection="1">
      <alignment horizontal="center" vertical="center" wrapText="1"/>
    </xf>
    <xf numFmtId="0" fontId="26" fillId="63" borderId="11" xfId="0" applyNumberFormat="1" applyFont="1" applyFill="1" applyBorder="1" applyAlignment="1" applyProtection="1">
      <alignment horizontal="center" vertical="center" wrapText="1"/>
    </xf>
    <xf numFmtId="0" fontId="0" fillId="55" borderId="79" xfId="0" applyFont="1" applyFill="1" applyBorder="1" applyAlignment="1" applyProtection="1">
      <alignment horizontal="center" vertical="top" wrapText="1"/>
    </xf>
    <xf numFmtId="0" fontId="0" fillId="55" borderId="80" xfId="0" applyFont="1" applyFill="1" applyBorder="1" applyAlignment="1" applyProtection="1">
      <alignment horizontal="center" vertical="top" wrapText="1"/>
    </xf>
    <xf numFmtId="0" fontId="0" fillId="55" borderId="81" xfId="0" applyFont="1" applyFill="1" applyBorder="1" applyAlignment="1" applyProtection="1">
      <alignment horizontal="center" vertical="top" wrapText="1"/>
    </xf>
    <xf numFmtId="0" fontId="0" fillId="49" borderId="79" xfId="0" applyFont="1" applyFill="1" applyBorder="1" applyAlignment="1" applyProtection="1">
      <alignment horizontal="center" vertical="top" wrapText="1"/>
    </xf>
    <xf numFmtId="0" fontId="0" fillId="49" borderId="80" xfId="0" applyFont="1" applyFill="1" applyBorder="1" applyAlignment="1" applyProtection="1">
      <alignment horizontal="center" vertical="top" wrapText="1"/>
    </xf>
    <xf numFmtId="0" fontId="0" fillId="49" borderId="81" xfId="0" applyFont="1" applyFill="1" applyBorder="1" applyAlignment="1" applyProtection="1">
      <alignment horizontal="center" vertical="top" wrapText="1"/>
    </xf>
    <xf numFmtId="0" fontId="26" fillId="23" borderId="9" xfId="0" applyFont="1" applyFill="1" applyBorder="1" applyAlignment="1" applyProtection="1">
      <alignment horizontal="center" vertical="center" wrapText="1"/>
    </xf>
    <xf numFmtId="0" fontId="26" fillId="23" borderId="10" xfId="0" applyFont="1" applyFill="1" applyBorder="1" applyAlignment="1" applyProtection="1">
      <alignment horizontal="center" vertical="center" wrapText="1"/>
    </xf>
    <xf numFmtId="0" fontId="26" fillId="23" borderId="11" xfId="0" applyFont="1" applyFill="1" applyBorder="1" applyAlignment="1" applyProtection="1">
      <alignment horizontal="center" vertical="center" wrapText="1"/>
    </xf>
    <xf numFmtId="0" fontId="26" fillId="22" borderId="63" xfId="0" applyFont="1" applyFill="1" applyBorder="1" applyAlignment="1" applyProtection="1">
      <alignment horizontal="center" vertical="center" wrapText="1"/>
    </xf>
    <xf numFmtId="0" fontId="26" fillId="22" borderId="55" xfId="0" applyFont="1" applyFill="1" applyBorder="1" applyAlignment="1" applyProtection="1">
      <alignment horizontal="center" vertical="center" wrapText="1"/>
    </xf>
    <xf numFmtId="0" fontId="26" fillId="61" borderId="63" xfId="0" applyFont="1" applyFill="1" applyBorder="1" applyAlignment="1" applyProtection="1">
      <alignment horizontal="center" vertical="center" wrapText="1"/>
    </xf>
    <xf numFmtId="0" fontId="26" fillId="61" borderId="55" xfId="0" applyFont="1" applyFill="1" applyBorder="1" applyAlignment="1" applyProtection="1">
      <alignment horizontal="center" vertical="center" wrapText="1"/>
    </xf>
    <xf numFmtId="0" fontId="0" fillId="23" borderId="79" xfId="0" applyFill="1" applyBorder="1" applyAlignment="1" applyProtection="1">
      <alignment horizontal="center"/>
    </xf>
    <xf numFmtId="0" fontId="0" fillId="23" borderId="80" xfId="0" applyFill="1" applyBorder="1" applyAlignment="1" applyProtection="1">
      <alignment horizontal="center"/>
    </xf>
    <xf numFmtId="0" fontId="0" fillId="23" borderId="81" xfId="0" applyFill="1" applyBorder="1" applyAlignment="1" applyProtection="1">
      <alignment horizontal="center"/>
    </xf>
    <xf numFmtId="0" fontId="0" fillId="62" borderId="42" xfId="0" applyFill="1" applyBorder="1" applyAlignment="1" applyProtection="1">
      <alignment horizontal="center"/>
    </xf>
    <xf numFmtId="0" fontId="0" fillId="62" borderId="41" xfId="0" applyFill="1" applyBorder="1" applyAlignment="1" applyProtection="1">
      <alignment horizontal="center"/>
    </xf>
    <xf numFmtId="0" fontId="0" fillId="62" borderId="39" xfId="0" applyFill="1" applyBorder="1" applyAlignment="1" applyProtection="1">
      <alignment horizontal="center"/>
    </xf>
    <xf numFmtId="0" fontId="24" fillId="51" borderId="36" xfId="0" applyFont="1" applyFill="1" applyBorder="1" applyAlignment="1" applyProtection="1">
      <alignment horizontal="center" vertical="center"/>
      <protection hidden="1"/>
    </xf>
    <xf numFmtId="0" fontId="24" fillId="51" borderId="0" xfId="0" applyFont="1" applyFill="1" applyAlignment="1" applyProtection="1">
      <alignment horizontal="center" vertical="center"/>
      <protection hidden="1"/>
    </xf>
    <xf numFmtId="0" fontId="0" fillId="0" borderId="80" xfId="0" applyBorder="1" applyAlignment="1" applyProtection="1">
      <alignment horizontal="center"/>
    </xf>
    <xf numFmtId="0" fontId="0" fillId="0" borderId="81" xfId="0" applyBorder="1" applyAlignment="1" applyProtection="1">
      <alignment horizontal="center"/>
    </xf>
    <xf numFmtId="0" fontId="24" fillId="51" borderId="36" xfId="0" applyFont="1" applyFill="1" applyBorder="1" applyAlignment="1" applyProtection="1">
      <alignment horizontal="center" vertical="center"/>
    </xf>
    <xf numFmtId="0" fontId="24" fillId="51" borderId="0" xfId="0" applyFont="1" applyFill="1" applyAlignment="1" applyProtection="1">
      <alignment horizontal="center" vertical="center"/>
    </xf>
    <xf numFmtId="0" fontId="24" fillId="51" borderId="79" xfId="0" applyFont="1" applyFill="1" applyBorder="1" applyAlignment="1" applyProtection="1">
      <alignment horizontal="center" vertical="center"/>
    </xf>
    <xf numFmtId="0" fontId="24" fillId="51" borderId="80" xfId="0" applyFont="1" applyFill="1" applyBorder="1" applyAlignment="1" applyProtection="1">
      <alignment horizontal="center" vertical="center"/>
    </xf>
    <xf numFmtId="0" fontId="24" fillId="51" borderId="81" xfId="0" applyFont="1" applyFill="1" applyBorder="1" applyAlignment="1" applyProtection="1">
      <alignment horizontal="center" vertical="center"/>
    </xf>
    <xf numFmtId="0" fontId="24" fillId="51" borderId="0" xfId="0" applyFont="1" applyFill="1" applyBorder="1" applyAlignment="1" applyProtection="1">
      <alignment horizontal="center" vertical="center"/>
      <protection hidden="1"/>
    </xf>
    <xf numFmtId="0" fontId="24" fillId="51" borderId="0" xfId="0" applyFont="1" applyFill="1" applyBorder="1" applyAlignment="1" applyProtection="1">
      <alignment horizontal="center" vertical="center"/>
    </xf>
    <xf numFmtId="0" fontId="24" fillId="57" borderId="49" xfId="0" applyFont="1" applyFill="1" applyBorder="1" applyAlignment="1" applyProtection="1">
      <alignment horizontal="center" vertical="center" textRotation="90"/>
      <protection hidden="1"/>
    </xf>
    <xf numFmtId="0" fontId="24" fillId="57" borderId="37" xfId="0" applyFont="1" applyFill="1" applyBorder="1" applyAlignment="1" applyProtection="1">
      <alignment horizontal="center" vertical="center" textRotation="90"/>
      <protection hidden="1"/>
    </xf>
    <xf numFmtId="0" fontId="24" fillId="57" borderId="38" xfId="0" applyFont="1" applyFill="1" applyBorder="1" applyAlignment="1" applyProtection="1">
      <alignment horizontal="center" vertical="center" textRotation="90"/>
      <protection hidden="1"/>
    </xf>
    <xf numFmtId="0" fontId="0" fillId="0" borderId="9" xfId="0" applyNumberFormat="1" applyFill="1" applyBorder="1" applyAlignment="1" applyProtection="1">
      <alignment horizontal="center" vertical="center" wrapText="1"/>
      <protection hidden="1"/>
    </xf>
    <xf numFmtId="0" fontId="0" fillId="0" borderId="10" xfId="0" applyNumberFormat="1" applyFill="1" applyBorder="1" applyAlignment="1" applyProtection="1">
      <alignment horizontal="center" vertical="center" wrapText="1"/>
      <protection hidden="1"/>
    </xf>
    <xf numFmtId="0" fontId="0" fillId="0" borderId="11" xfId="0" applyNumberFormat="1" applyFill="1" applyBorder="1" applyAlignment="1" applyProtection="1">
      <alignment horizontal="center" vertical="center" wrapText="1"/>
      <protection hidden="1"/>
    </xf>
    <xf numFmtId="0" fontId="0" fillId="0" borderId="13" xfId="0" applyNumberFormat="1" applyFill="1" applyBorder="1" applyAlignment="1" applyProtection="1">
      <alignment horizontal="center" vertical="center" wrapText="1"/>
      <protection hidden="1"/>
    </xf>
    <xf numFmtId="0" fontId="0" fillId="0" borderId="0" xfId="0" applyNumberFormat="1" applyFill="1" applyBorder="1" applyAlignment="1" applyProtection="1">
      <alignment horizontal="center" vertical="center" wrapText="1"/>
      <protection hidden="1"/>
    </xf>
    <xf numFmtId="0" fontId="0" fillId="0" borderId="15" xfId="0" applyNumberFormat="1" applyFill="1" applyBorder="1" applyAlignment="1" applyProtection="1">
      <alignment horizontal="center" vertical="center" wrapText="1"/>
      <protection hidden="1"/>
    </xf>
    <xf numFmtId="0" fontId="0" fillId="0" borderId="17" xfId="0" applyNumberFormat="1" applyFill="1" applyBorder="1" applyAlignment="1" applyProtection="1">
      <alignment horizontal="center" vertical="center" wrapText="1"/>
      <protection hidden="1"/>
    </xf>
    <xf numFmtId="0" fontId="0" fillId="0" borderId="18" xfId="0" applyNumberFormat="1" applyFill="1" applyBorder="1" applyAlignment="1" applyProtection="1">
      <alignment horizontal="center" vertical="center" wrapText="1"/>
      <protection hidden="1"/>
    </xf>
    <xf numFmtId="0" fontId="0" fillId="0" borderId="19" xfId="0" applyNumberFormat="1" applyFill="1" applyBorder="1" applyAlignment="1" applyProtection="1">
      <alignment horizontal="center" vertical="center" wrapText="1"/>
      <protection hidden="1"/>
    </xf>
    <xf numFmtId="0" fontId="24" fillId="57" borderId="63" xfId="0" applyFont="1" applyFill="1" applyBorder="1" applyAlignment="1" applyProtection="1">
      <alignment vertical="center" textRotation="90"/>
      <protection hidden="1"/>
    </xf>
    <xf numFmtId="0" fontId="24" fillId="57" borderId="36" xfId="0" applyFont="1" applyFill="1" applyBorder="1" applyAlignment="1" applyProtection="1">
      <alignment vertical="center" textRotation="90"/>
      <protection hidden="1"/>
    </xf>
    <xf numFmtId="0" fontId="24" fillId="57" borderId="42" xfId="0" applyFont="1" applyFill="1" applyBorder="1" applyAlignment="1" applyProtection="1">
      <alignment vertical="center" textRotation="90"/>
      <protection hidden="1"/>
    </xf>
    <xf numFmtId="1" fontId="26" fillId="48" borderId="79" xfId="0" applyNumberFormat="1" applyFont="1" applyFill="1" applyBorder="1" applyAlignment="1" applyProtection="1">
      <alignment horizontal="center" vertical="top" wrapText="1"/>
      <protection hidden="1"/>
    </xf>
    <xf numFmtId="1" fontId="26" fillId="48" borderId="80" xfId="0" applyNumberFormat="1" applyFont="1" applyFill="1" applyBorder="1" applyAlignment="1" applyProtection="1">
      <alignment horizontal="center" vertical="top" wrapText="1"/>
      <protection hidden="1"/>
    </xf>
    <xf numFmtId="1" fontId="26" fillId="48" borderId="81" xfId="0" applyNumberFormat="1" applyFont="1" applyFill="1" applyBorder="1" applyAlignment="1" applyProtection="1">
      <alignment horizontal="center" vertical="top" wrapText="1"/>
      <protection hidden="1"/>
    </xf>
    <xf numFmtId="0" fontId="24" fillId="57" borderId="55" xfId="0" applyFont="1" applyFill="1" applyBorder="1" applyAlignment="1" applyProtection="1">
      <alignment horizontal="center" vertical="center" textRotation="90"/>
      <protection hidden="1"/>
    </xf>
    <xf numFmtId="0" fontId="24" fillId="57" borderId="46" xfId="0" applyFont="1" applyFill="1" applyBorder="1" applyAlignment="1" applyProtection="1">
      <alignment horizontal="center" vertical="center" textRotation="90"/>
      <protection hidden="1"/>
    </xf>
    <xf numFmtId="0" fontId="24" fillId="57" borderId="39" xfId="0" applyFont="1" applyFill="1" applyBorder="1" applyAlignment="1" applyProtection="1">
      <alignment horizontal="center" vertical="center" textRotation="90"/>
      <protection hidden="1"/>
    </xf>
    <xf numFmtId="0" fontId="26" fillId="0" borderId="9" xfId="0" applyFont="1" applyBorder="1" applyAlignment="1" applyProtection="1">
      <alignment horizontal="left"/>
      <protection hidden="1"/>
    </xf>
    <xf numFmtId="0" fontId="26" fillId="0" borderId="10" xfId="0" applyFont="1" applyBorder="1" applyAlignment="1" applyProtection="1">
      <alignment horizontal="left"/>
      <protection hidden="1"/>
    </xf>
    <xf numFmtId="0" fontId="26" fillId="0" borderId="11" xfId="0" applyFont="1" applyBorder="1" applyAlignment="1" applyProtection="1">
      <alignment horizontal="left"/>
      <protection hidden="1"/>
    </xf>
    <xf numFmtId="0" fontId="0" fillId="0" borderId="13" xfId="0" applyBorder="1" applyAlignment="1" applyProtection="1">
      <alignment horizontal="left"/>
      <protection locked="0" hidden="1"/>
    </xf>
    <xf numFmtId="0" fontId="0" fillId="0" borderId="0" xfId="0" applyBorder="1" applyAlignment="1" applyProtection="1">
      <alignment horizontal="left"/>
      <protection locked="0" hidden="1"/>
    </xf>
    <xf numFmtId="0" fontId="0" fillId="0" borderId="15" xfId="0" applyBorder="1" applyAlignment="1" applyProtection="1">
      <alignment horizontal="left"/>
      <protection locked="0" hidden="1"/>
    </xf>
    <xf numFmtId="0" fontId="0" fillId="0" borderId="13" xfId="0" applyNumberFormat="1" applyFill="1" applyBorder="1" applyAlignment="1" applyProtection="1">
      <alignment horizontal="left" vertical="top"/>
      <protection locked="0" hidden="1"/>
    </xf>
    <xf numFmtId="0" fontId="0" fillId="0" borderId="0" xfId="0" applyNumberFormat="1" applyFill="1" applyBorder="1" applyAlignment="1" applyProtection="1">
      <alignment horizontal="left" vertical="top"/>
      <protection locked="0" hidden="1"/>
    </xf>
    <xf numFmtId="0" fontId="0" fillId="0" borderId="15" xfId="0" applyNumberFormat="1" applyFill="1" applyBorder="1" applyAlignment="1" applyProtection="1">
      <alignment horizontal="left" vertical="top"/>
      <protection locked="0" hidden="1"/>
    </xf>
    <xf numFmtId="0" fontId="0" fillId="0" borderId="0" xfId="0" applyProtection="1">
      <protection hidden="1"/>
    </xf>
    <xf numFmtId="0" fontId="51" fillId="57" borderId="36" xfId="0" applyFont="1" applyFill="1" applyBorder="1" applyAlignment="1" applyProtection="1">
      <alignment horizontal="center" vertical="center" wrapText="1"/>
      <protection hidden="1"/>
    </xf>
    <xf numFmtId="0" fontId="51" fillId="57" borderId="46" xfId="0" applyFont="1" applyFill="1" applyBorder="1" applyAlignment="1" applyProtection="1">
      <alignment horizontal="center" vertical="center" wrapText="1"/>
      <protection hidden="1"/>
    </xf>
    <xf numFmtId="0" fontId="61" fillId="0" borderId="79" xfId="0" applyNumberFormat="1" applyFont="1" applyFill="1" applyBorder="1" applyAlignment="1" applyProtection="1">
      <alignment horizontal="center" vertical="top"/>
      <protection hidden="1"/>
    </xf>
    <xf numFmtId="0" fontId="61" fillId="0" borderId="80" xfId="0" applyNumberFormat="1" applyFont="1" applyFill="1" applyBorder="1" applyAlignment="1" applyProtection="1">
      <alignment horizontal="center" vertical="top"/>
      <protection hidden="1"/>
    </xf>
    <xf numFmtId="0" fontId="61" fillId="0" borderId="81" xfId="0" applyNumberFormat="1" applyFont="1" applyFill="1" applyBorder="1" applyAlignment="1" applyProtection="1">
      <alignment horizontal="center" vertical="top"/>
      <protection hidden="1"/>
    </xf>
    <xf numFmtId="1" fontId="26" fillId="49" borderId="79" xfId="0" applyNumberFormat="1" applyFont="1" applyFill="1" applyBorder="1" applyAlignment="1" applyProtection="1">
      <alignment horizontal="center" vertical="top" wrapText="1"/>
      <protection hidden="1"/>
    </xf>
    <xf numFmtId="1" fontId="26" fillId="49" borderId="80" xfId="0" applyNumberFormat="1" applyFont="1" applyFill="1" applyBorder="1" applyAlignment="1" applyProtection="1">
      <alignment horizontal="center" vertical="top" wrapText="1"/>
      <protection hidden="1"/>
    </xf>
    <xf numFmtId="1" fontId="26" fillId="49" borderId="81" xfId="0" applyNumberFormat="1" applyFont="1" applyFill="1" applyBorder="1" applyAlignment="1" applyProtection="1">
      <alignment horizontal="center" vertical="top" wrapText="1"/>
      <protection hidden="1"/>
    </xf>
    <xf numFmtId="0" fontId="24" fillId="57" borderId="63" xfId="0" applyFont="1" applyFill="1" applyBorder="1" applyAlignment="1" applyProtection="1">
      <alignment horizontal="center" vertical="center" wrapText="1"/>
      <protection hidden="1"/>
    </xf>
    <xf numFmtId="0" fontId="24" fillId="57" borderId="62" xfId="0" applyFont="1" applyFill="1" applyBorder="1" applyAlignment="1" applyProtection="1">
      <alignment horizontal="center" vertical="center" wrapText="1"/>
      <protection hidden="1"/>
    </xf>
    <xf numFmtId="0" fontId="24" fillId="57" borderId="36" xfId="0" applyFont="1" applyFill="1" applyBorder="1" applyAlignment="1" applyProtection="1">
      <alignment horizontal="center" vertical="center" wrapText="1"/>
      <protection hidden="1"/>
    </xf>
    <xf numFmtId="0" fontId="24" fillId="57" borderId="0" xfId="0" applyFont="1" applyFill="1" applyBorder="1" applyAlignment="1" applyProtection="1">
      <alignment horizontal="center" vertical="center" wrapText="1"/>
      <protection hidden="1"/>
    </xf>
    <xf numFmtId="0" fontId="24" fillId="57" borderId="41" xfId="0" applyFont="1" applyFill="1" applyBorder="1" applyAlignment="1" applyProtection="1">
      <alignment horizontal="center" vertical="center" wrapText="1"/>
      <protection hidden="1"/>
    </xf>
    <xf numFmtId="0" fontId="24" fillId="57" borderId="121" xfId="0" applyFont="1" applyFill="1" applyBorder="1" applyAlignment="1" applyProtection="1">
      <alignment horizontal="center" vertical="center" wrapText="1"/>
      <protection hidden="1"/>
    </xf>
    <xf numFmtId="0" fontId="24" fillId="57" borderId="127" xfId="0" applyFont="1" applyFill="1" applyBorder="1" applyAlignment="1" applyProtection="1">
      <alignment horizontal="center" vertical="center" wrapText="1"/>
      <protection hidden="1"/>
    </xf>
    <xf numFmtId="0" fontId="24" fillId="57" borderId="125" xfId="0" applyFont="1" applyFill="1" applyBorder="1" applyAlignment="1" applyProtection="1">
      <alignment horizontal="center" vertical="center" wrapText="1"/>
      <protection hidden="1"/>
    </xf>
    <xf numFmtId="0" fontId="24" fillId="57" borderId="126" xfId="0" applyFont="1" applyFill="1" applyBorder="1" applyAlignment="1" applyProtection="1">
      <alignment horizontal="center" vertical="center" wrapText="1"/>
      <protection hidden="1"/>
    </xf>
    <xf numFmtId="0" fontId="24" fillId="57" borderId="132" xfId="0" applyFont="1" applyFill="1" applyBorder="1" applyAlignment="1" applyProtection="1">
      <alignment horizontal="left" vertical="center" wrapText="1"/>
      <protection hidden="1"/>
    </xf>
    <xf numFmtId="0" fontId="24" fillId="57" borderId="133" xfId="0" applyFont="1" applyFill="1" applyBorder="1" applyAlignment="1" applyProtection="1">
      <alignment horizontal="left" vertical="center" wrapText="1"/>
      <protection hidden="1"/>
    </xf>
    <xf numFmtId="9" fontId="26" fillId="55" borderId="79" xfId="0" applyNumberFormat="1" applyFont="1" applyFill="1" applyBorder="1" applyAlignment="1" applyProtection="1">
      <alignment horizontal="center" vertical="top" wrapText="1"/>
      <protection hidden="1"/>
    </xf>
    <xf numFmtId="9" fontId="26" fillId="55" borderId="80" xfId="0" applyNumberFormat="1" applyFont="1" applyFill="1" applyBorder="1" applyAlignment="1" applyProtection="1">
      <alignment horizontal="center" vertical="top" wrapText="1"/>
      <protection hidden="1"/>
    </xf>
    <xf numFmtId="9" fontId="26" fillId="55" borderId="81" xfId="0" applyNumberFormat="1" applyFont="1" applyFill="1" applyBorder="1" applyAlignment="1" applyProtection="1">
      <alignment horizontal="center" vertical="top" wrapText="1"/>
      <protection hidden="1"/>
    </xf>
    <xf numFmtId="0" fontId="24" fillId="52" borderId="41" xfId="0" applyFont="1" applyFill="1" applyBorder="1" applyAlignment="1" applyProtection="1">
      <alignment horizontal="center"/>
      <protection hidden="1"/>
    </xf>
    <xf numFmtId="0" fontId="51" fillId="57" borderId="79" xfId="0" applyFont="1" applyFill="1" applyBorder="1" applyAlignment="1" applyProtection="1">
      <alignment horizontal="left" vertical="center" wrapText="1"/>
      <protection hidden="1"/>
    </xf>
    <xf numFmtId="0" fontId="51" fillId="57" borderId="81" xfId="0" applyFont="1" applyFill="1" applyBorder="1" applyAlignment="1" applyProtection="1">
      <alignment horizontal="left" vertical="center" wrapText="1"/>
      <protection hidden="1"/>
    </xf>
    <xf numFmtId="0" fontId="24" fillId="52" borderId="117" xfId="0" applyFont="1" applyFill="1" applyBorder="1" applyAlignment="1" applyProtection="1">
      <alignment horizontal="center"/>
      <protection hidden="1"/>
    </xf>
    <xf numFmtId="0" fontId="24" fillId="57" borderId="123" xfId="0" applyFont="1" applyFill="1" applyBorder="1" applyAlignment="1" applyProtection="1">
      <alignment horizontal="center" vertical="center" wrapText="1"/>
      <protection hidden="1"/>
    </xf>
    <xf numFmtId="0" fontId="51" fillId="57" borderId="37" xfId="0" applyFont="1" applyFill="1" applyBorder="1" applyAlignment="1" applyProtection="1">
      <alignment horizontal="center" vertical="center" textRotation="90"/>
      <protection hidden="1"/>
    </xf>
    <xf numFmtId="0" fontId="51" fillId="57" borderId="36" xfId="0" applyFont="1" applyFill="1" applyBorder="1" applyAlignment="1" applyProtection="1">
      <alignment horizontal="center" vertical="center" textRotation="90"/>
      <protection hidden="1"/>
    </xf>
    <xf numFmtId="0" fontId="26" fillId="46" borderId="79" xfId="0" applyNumberFormat="1" applyFont="1" applyFill="1" applyBorder="1" applyAlignment="1" applyProtection="1">
      <alignment horizontal="center" vertical="top"/>
      <protection hidden="1"/>
    </xf>
    <xf numFmtId="0" fontId="26" fillId="46" borderId="80" xfId="0" applyNumberFormat="1" applyFont="1" applyFill="1" applyBorder="1" applyAlignment="1" applyProtection="1">
      <alignment horizontal="center" vertical="top"/>
      <protection hidden="1"/>
    </xf>
    <xf numFmtId="0" fontId="26" fillId="46" borderId="81" xfId="0" applyNumberFormat="1" applyFont="1" applyFill="1" applyBorder="1" applyAlignment="1" applyProtection="1">
      <alignment horizontal="center" vertical="top"/>
      <protection hidden="1"/>
    </xf>
    <xf numFmtId="0" fontId="70" fillId="57" borderId="133" xfId="0" applyFont="1" applyFill="1" applyBorder="1" applyAlignment="1" applyProtection="1">
      <alignment horizontal="center" vertical="center" wrapText="1"/>
      <protection hidden="1"/>
    </xf>
    <xf numFmtId="0" fontId="0" fillId="0" borderId="17" xfId="0" applyNumberFormat="1" applyFill="1" applyBorder="1" applyAlignment="1" applyProtection="1">
      <alignment horizontal="left" vertical="top"/>
      <protection locked="0" hidden="1"/>
    </xf>
    <xf numFmtId="0" fontId="0" fillId="0" borderId="18" xfId="0" applyNumberFormat="1" applyFill="1" applyBorder="1" applyAlignment="1" applyProtection="1">
      <alignment horizontal="left" vertical="top"/>
      <protection locked="0" hidden="1"/>
    </xf>
    <xf numFmtId="0" fontId="0" fillId="0" borderId="19" xfId="0" applyNumberFormat="1" applyFill="1" applyBorder="1" applyAlignment="1" applyProtection="1">
      <alignment horizontal="left" vertical="top"/>
      <protection locked="0" hidden="1"/>
    </xf>
    <xf numFmtId="0" fontId="51" fillId="57" borderId="0" xfId="0" applyFont="1" applyFill="1" applyAlignment="1" applyProtection="1">
      <alignment vertical="center" textRotation="90"/>
      <protection hidden="1"/>
    </xf>
    <xf numFmtId="0" fontId="51" fillId="57" borderId="46" xfId="0" applyFont="1" applyFill="1" applyBorder="1" applyAlignment="1" applyProtection="1">
      <alignment horizontal="center" vertical="center" textRotation="90"/>
      <protection hidden="1"/>
    </xf>
  </cellXfs>
  <cellStyles count="68">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Bad 2" xfId="28"/>
    <cellStyle name="Calculation 2" xfId="29"/>
    <cellStyle name="Check Cell 2" xfId="30"/>
    <cellStyle name="Explanatory Text 2" xfId="31"/>
    <cellStyle name="God" xfId="2" builtinId="26"/>
    <cellStyle name="Good 2" xfId="32"/>
    <cellStyle name="Heading 1 2" xfId="33"/>
    <cellStyle name="Heading 2 2" xfId="34"/>
    <cellStyle name="Heading 3 2" xfId="35"/>
    <cellStyle name="Heading 4 2" xfId="36"/>
    <cellStyle name="Hyperlink 2" xfId="37"/>
    <cellStyle name="Hyperlink 3" xfId="38"/>
    <cellStyle name="Hyperlink 4" xfId="39"/>
    <cellStyle name="Hyperlink 5" xfId="40"/>
    <cellStyle name="Hyperlink 6" xfId="41"/>
    <cellStyle name="Input 2" xfId="42"/>
    <cellStyle name="Linked Cell 2" xfId="43"/>
    <cellStyle name="Neutral 2" xfId="44"/>
    <cellStyle name="Normal" xfId="0" builtinId="0"/>
    <cellStyle name="Normal 2" xfId="45"/>
    <cellStyle name="Normal 3" xfId="46"/>
    <cellStyle name="Normal 4" xfId="47"/>
    <cellStyle name="Normal 5" xfId="48"/>
    <cellStyle name="Normal 6" xfId="49"/>
    <cellStyle name="Normal 7" xfId="3"/>
    <cellStyle name="Normal 7 2" xfId="63"/>
    <cellStyle name="Note 2" xfId="50"/>
    <cellStyle name="Note 2 2" xfId="64"/>
    <cellStyle name="Output 2" xfId="51"/>
    <cellStyle name="Percent 2" xfId="53"/>
    <cellStyle name="Percent 2 2" xfId="66"/>
    <cellStyle name="Percent 3" xfId="54"/>
    <cellStyle name="Percent 4" xfId="55"/>
    <cellStyle name="Percent 5" xfId="56"/>
    <cellStyle name="Percent 6" xfId="57"/>
    <cellStyle name="Percent 6 2" xfId="67"/>
    <cellStyle name="Percent 7" xfId="58"/>
    <cellStyle name="Percent 8" xfId="59"/>
    <cellStyle name="Percent 9" xfId="52"/>
    <cellStyle name="Percent 9 2" xfId="65"/>
    <cellStyle name="Prosent" xfId="1" builtinId="5"/>
    <cellStyle name="Title 2" xfId="60"/>
    <cellStyle name="Total 2" xfId="61"/>
    <cellStyle name="Warning Text 2" xfId="62"/>
  </cellStyles>
  <dxfs count="71">
    <dxf>
      <fill>
        <patternFill>
          <bgColor theme="6"/>
        </patternFill>
      </fill>
    </dxf>
    <dxf>
      <fill>
        <patternFill>
          <bgColor theme="6"/>
        </patternFill>
      </fill>
    </dxf>
    <dxf>
      <fill>
        <patternFill>
          <bgColor theme="6"/>
        </patternFill>
      </fill>
    </dxf>
    <dxf>
      <fill>
        <patternFill>
          <bgColor theme="6"/>
        </patternFill>
      </fill>
    </dxf>
    <dxf>
      <fill>
        <patternFill>
          <bgColor theme="6"/>
        </patternFill>
      </fill>
    </dxf>
    <dxf>
      <fill>
        <patternFill>
          <bgColor theme="6"/>
        </patternFill>
      </fill>
    </dxf>
    <dxf>
      <fill>
        <patternFill>
          <bgColor theme="6"/>
        </patternFill>
      </fill>
    </dxf>
    <dxf>
      <fill>
        <patternFill>
          <bgColor theme="0"/>
        </patternFill>
      </fill>
    </dxf>
    <dxf>
      <font>
        <color theme="0"/>
      </font>
      <fill>
        <patternFill>
          <bgColor theme="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24994659260841701"/>
        </patternFill>
      </fill>
    </dxf>
    <dxf>
      <fill>
        <patternFill>
          <bgColor theme="9" tint="-0.24994659260841701"/>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24994659260841701"/>
        </patternFill>
      </fill>
    </dxf>
    <dxf>
      <fill>
        <patternFill>
          <bgColor theme="9" tint="-0.24994659260841701"/>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ont>
        <b/>
        <i val="0"/>
        <color rgb="FFFF0000"/>
      </font>
    </dxf>
    <dxf>
      <font>
        <b/>
        <i val="0"/>
        <color rgb="FFFF0000"/>
      </font>
    </dxf>
    <dxf>
      <font>
        <b/>
        <i val="0"/>
        <color rgb="FFFF0000"/>
      </font>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24994659260841701"/>
        </patternFill>
      </fill>
    </dxf>
    <dxf>
      <fill>
        <patternFill>
          <bgColor theme="9" tint="-0.24994659260841701"/>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6" tint="-0.24994659260841701"/>
        </patternFill>
      </fill>
    </dxf>
    <dxf>
      <font>
        <color theme="1"/>
      </font>
      <fill>
        <patternFill>
          <bgColor theme="1" tint="0.499984740745262"/>
        </patternFill>
      </fill>
    </dxf>
    <dxf>
      <fill>
        <patternFill>
          <bgColor theme="1" tint="0.499984740745262"/>
        </patternFill>
      </fill>
    </dxf>
    <dxf>
      <font>
        <color theme="0"/>
      </font>
    </dxf>
    <dxf>
      <font>
        <color theme="0"/>
      </font>
    </dxf>
    <dxf>
      <font>
        <color theme="0"/>
      </font>
    </dxf>
    <dxf>
      <font>
        <color theme="0"/>
      </font>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ont>
        <color theme="1"/>
      </font>
      <fill>
        <patternFill>
          <bgColor theme="6" tint="0.59996337778862885"/>
        </patternFill>
      </fill>
      <border>
        <left style="thin">
          <color auto="1"/>
        </left>
        <right/>
        <top/>
        <bottom/>
        <vertical/>
        <horizontal/>
      </border>
    </dxf>
    <dxf>
      <font>
        <color theme="1"/>
      </font>
      <fill>
        <patternFill>
          <bgColor theme="0"/>
        </patternFill>
      </fill>
      <border>
        <left style="thin">
          <color auto="1"/>
        </left>
        <right style="thin">
          <color auto="1"/>
        </right>
        <top style="thin">
          <color auto="1"/>
        </top>
        <bottom style="thin">
          <color auto="1"/>
        </bottom>
        <vertical/>
        <horizontal/>
      </border>
    </dxf>
    <dxf>
      <font>
        <color theme="1"/>
      </font>
    </dxf>
    <dxf>
      <font>
        <color theme="0"/>
      </font>
    </dxf>
    <dxf>
      <font>
        <color theme="0"/>
      </font>
    </dxf>
    <dxf>
      <font>
        <color theme="1"/>
      </font>
      <fill>
        <patternFill>
          <bgColor theme="0"/>
        </patternFill>
      </fill>
      <border>
        <left style="thin">
          <color auto="1"/>
        </left>
        <right style="thin">
          <color auto="1"/>
        </right>
        <top style="thin">
          <color auto="1"/>
        </top>
        <bottom style="thin">
          <color auto="1"/>
        </bottom>
        <vertical/>
        <horizontal/>
      </border>
    </dxf>
    <dxf>
      <font>
        <color theme="1"/>
      </font>
      <fill>
        <patternFill>
          <bgColor theme="0"/>
        </patternFill>
      </fill>
      <border>
        <left style="thin">
          <color auto="1"/>
        </left>
        <right style="thin">
          <color auto="1"/>
        </right>
        <top style="thin">
          <color auto="1"/>
        </top>
        <bottom style="thin">
          <color auto="1"/>
        </bottom>
        <vertical/>
        <horizontal/>
      </border>
    </dxf>
    <dxf>
      <font>
        <color theme="1"/>
      </font>
      <fill>
        <patternFill>
          <bgColor theme="0"/>
        </patternFill>
      </fill>
      <border>
        <left style="thin">
          <color auto="1"/>
        </left>
        <right style="thin">
          <color auto="1"/>
        </right>
        <top style="thin">
          <color auto="1"/>
        </top>
        <bottom style="thin">
          <color auto="1"/>
        </bottom>
      </border>
    </dxf>
    <dxf>
      <font>
        <color theme="1"/>
      </font>
      <fill>
        <patternFill>
          <bgColor theme="0"/>
        </patternFill>
      </fill>
      <border>
        <left style="thin">
          <color auto="1"/>
        </left>
        <right style="thin">
          <color auto="1"/>
        </right>
        <top style="thin">
          <color auto="1"/>
        </top>
        <bottom style="thin">
          <color auto="1"/>
        </bottom>
        <vertical/>
        <horizontal/>
      </border>
    </dxf>
    <dxf>
      <font>
        <color theme="1"/>
      </font>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s>
  <tableStyles count="0" defaultTableStyle="TableStyleMedium9"/>
  <colors>
    <mruColors>
      <color rgb="FF5EA84A"/>
      <color rgb="FFFF33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3580981</xdr:colOff>
      <xdr:row>34</xdr:row>
      <xdr:rowOff>99723</xdr:rowOff>
    </xdr:from>
    <xdr:to>
      <xdr:col>4</xdr:col>
      <xdr:colOff>6028908</xdr:colOff>
      <xdr:row>38</xdr:row>
      <xdr:rowOff>71434</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5216" y="8011076"/>
          <a:ext cx="2447927" cy="733711"/>
        </a:xfrm>
        <a:prstGeom prst="rect">
          <a:avLst/>
        </a:prstGeom>
      </xdr:spPr>
    </xdr:pic>
    <xdr:clientData/>
  </xdr:twoCellAnchor>
  <xdr:twoCellAnchor editAs="oneCell">
    <xdr:from>
      <xdr:col>4</xdr:col>
      <xdr:colOff>6089054</xdr:colOff>
      <xdr:row>35</xdr:row>
      <xdr:rowOff>100853</xdr:rowOff>
    </xdr:from>
    <xdr:to>
      <xdr:col>5</xdr:col>
      <xdr:colOff>114258</xdr:colOff>
      <xdr:row>38</xdr:row>
      <xdr:rowOff>119064</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23289" y="8202706"/>
          <a:ext cx="2227910" cy="589711"/>
        </a:xfrm>
        <a:prstGeom prst="rect">
          <a:avLst/>
        </a:prstGeom>
      </xdr:spPr>
    </xdr:pic>
    <xdr:clientData/>
  </xdr:twoCellAnchor>
  <xdr:twoCellAnchor editAs="oneCell">
    <xdr:from>
      <xdr:col>4</xdr:col>
      <xdr:colOff>1361156</xdr:colOff>
      <xdr:row>35</xdr:row>
      <xdr:rowOff>54282</xdr:rowOff>
    </xdr:from>
    <xdr:to>
      <xdr:col>4</xdr:col>
      <xdr:colOff>3276709</xdr:colOff>
      <xdr:row>39</xdr:row>
      <xdr:rowOff>190500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95391" y="8156135"/>
          <a:ext cx="1915553" cy="898218"/>
        </a:xfrm>
        <a:prstGeom prst="rect">
          <a:avLst/>
        </a:prstGeom>
      </xdr:spPr>
    </xdr:pic>
    <xdr:clientData/>
  </xdr:twoCellAnchor>
  <xdr:twoCellAnchor editAs="oneCell">
    <xdr:from>
      <xdr:col>0</xdr:col>
      <xdr:colOff>224117</xdr:colOff>
      <xdr:row>0</xdr:row>
      <xdr:rowOff>44824</xdr:rowOff>
    </xdr:from>
    <xdr:to>
      <xdr:col>3</xdr:col>
      <xdr:colOff>892966</xdr:colOff>
      <xdr:row>0</xdr:row>
      <xdr:rowOff>273799</xdr:rowOff>
    </xdr:to>
    <xdr:pic>
      <xdr:nvPicPr>
        <xdr:cNvPr id="7" name="Bild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24117" y="44824"/>
          <a:ext cx="1273967" cy="228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212911</xdr:colOff>
      <xdr:row>0</xdr:row>
      <xdr:rowOff>21012</xdr:rowOff>
    </xdr:from>
    <xdr:to>
      <xdr:col>3</xdr:col>
      <xdr:colOff>881760</xdr:colOff>
      <xdr:row>0</xdr:row>
      <xdr:rowOff>249987</xdr:rowOff>
    </xdr:to>
    <xdr:pic>
      <xdr:nvPicPr>
        <xdr:cNvPr id="3" name="Bild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2911" y="21012"/>
          <a:ext cx="1273967" cy="228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11906</xdr:rowOff>
    </xdr:from>
    <xdr:to>
      <xdr:col>2</xdr:col>
      <xdr:colOff>1273967</xdr:colOff>
      <xdr:row>0</xdr:row>
      <xdr:rowOff>240881</xdr:rowOff>
    </xdr:to>
    <xdr:pic>
      <xdr:nvPicPr>
        <xdr:cNvPr id="5" name="Bild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4813" y="11906"/>
          <a:ext cx="1273967" cy="228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114300</xdr:colOff>
      <xdr:row>42</xdr:row>
      <xdr:rowOff>0</xdr:rowOff>
    </xdr:from>
    <xdr:to>
      <xdr:col>13</xdr:col>
      <xdr:colOff>512482</xdr:colOff>
      <xdr:row>42</xdr:row>
      <xdr:rowOff>0</xdr:rowOff>
    </xdr:to>
    <xdr:sp macro="" textlink="">
      <xdr:nvSpPr>
        <xdr:cNvPr id="2" name="Rectangle 6460"/>
        <xdr:cNvSpPr>
          <a:spLocks noChangeArrowheads="1"/>
        </xdr:cNvSpPr>
      </xdr:nvSpPr>
      <xdr:spPr bwMode="auto">
        <a:xfrm>
          <a:off x="8862060" y="7208520"/>
          <a:ext cx="398182" cy="0"/>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clientData/>
  </xdr:twoCellAnchor>
  <xdr:twoCellAnchor>
    <xdr:from>
      <xdr:col>13</xdr:col>
      <xdr:colOff>114300</xdr:colOff>
      <xdr:row>36</xdr:row>
      <xdr:rowOff>0</xdr:rowOff>
    </xdr:from>
    <xdr:to>
      <xdr:col>13</xdr:col>
      <xdr:colOff>512482</xdr:colOff>
      <xdr:row>36</xdr:row>
      <xdr:rowOff>0</xdr:rowOff>
    </xdr:to>
    <xdr:sp macro="" textlink="">
      <xdr:nvSpPr>
        <xdr:cNvPr id="3" name="Rectangle 7"/>
        <xdr:cNvSpPr>
          <a:spLocks noChangeArrowheads="1"/>
        </xdr:cNvSpPr>
      </xdr:nvSpPr>
      <xdr:spPr bwMode="auto">
        <a:xfrm>
          <a:off x="8862060" y="6202680"/>
          <a:ext cx="398182" cy="0"/>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clientData/>
  </xdr:twoCellAnchor>
  <xdr:twoCellAnchor>
    <xdr:from>
      <xdr:col>4</xdr:col>
      <xdr:colOff>541020</xdr:colOff>
      <xdr:row>42</xdr:row>
      <xdr:rowOff>76200</xdr:rowOff>
    </xdr:from>
    <xdr:to>
      <xdr:col>4</xdr:col>
      <xdr:colOff>647700</xdr:colOff>
      <xdr:row>44</xdr:row>
      <xdr:rowOff>83820</xdr:rowOff>
    </xdr:to>
    <xdr:grpSp>
      <xdr:nvGrpSpPr>
        <xdr:cNvPr id="4" name="Group 978"/>
        <xdr:cNvGrpSpPr>
          <a:grpSpLocks/>
        </xdr:cNvGrpSpPr>
      </xdr:nvGrpSpPr>
      <xdr:grpSpPr bwMode="auto">
        <a:xfrm>
          <a:off x="5319849" y="6096000"/>
          <a:ext cx="106680" cy="355963"/>
          <a:chOff x="3771" y="1155"/>
          <a:chExt cx="4759" cy="14934"/>
        </a:xfrm>
      </xdr:grpSpPr>
      <xdr:sp macro="" textlink="">
        <xdr:nvSpPr>
          <xdr:cNvPr id="5" name="Oval 979"/>
          <xdr:cNvSpPr>
            <a:spLocks noChangeArrowheads="1"/>
          </xdr:cNvSpPr>
        </xdr:nvSpPr>
        <xdr:spPr bwMode="auto">
          <a:xfrm>
            <a:off x="4643" y="1155"/>
            <a:ext cx="2999" cy="3003"/>
          </a:xfrm>
          <a:prstGeom prst="ellipse">
            <a:avLst/>
          </a:prstGeom>
          <a:solidFill>
            <a:srgbClr val="FFFFFF"/>
          </a:solidFill>
          <a:ln w="9525" algn="ctr">
            <a:solidFill>
              <a:srgbClr val="FF0000"/>
            </a:solidFill>
            <a:round/>
            <a:headEnd/>
            <a:tailEnd/>
          </a:ln>
        </xdr:spPr>
      </xdr:sp>
      <xdr:sp macro="" textlink="">
        <xdr:nvSpPr>
          <xdr:cNvPr id="6" name="Arc 980"/>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7" name="Arc 981"/>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8" name="Line 982"/>
          <xdr:cNvSpPr>
            <a:spLocks noChangeShapeType="1"/>
          </xdr:cNvSpPr>
        </xdr:nvSpPr>
        <xdr:spPr bwMode="auto">
          <a:xfrm>
            <a:off x="3771" y="6471"/>
            <a:ext cx="0" cy="3793"/>
          </a:xfrm>
          <a:prstGeom prst="line">
            <a:avLst/>
          </a:prstGeom>
          <a:noFill/>
          <a:ln w="9525">
            <a:solidFill>
              <a:srgbClr val="FF0000"/>
            </a:solidFill>
            <a:round/>
            <a:headEnd/>
            <a:tailEnd/>
          </a:ln>
        </xdr:spPr>
      </xdr:sp>
      <xdr:sp macro="" textlink="">
        <xdr:nvSpPr>
          <xdr:cNvPr id="9" name="Line 983"/>
          <xdr:cNvSpPr>
            <a:spLocks noChangeShapeType="1"/>
          </xdr:cNvSpPr>
        </xdr:nvSpPr>
        <xdr:spPr bwMode="auto">
          <a:xfrm>
            <a:off x="3771" y="10264"/>
            <a:ext cx="861" cy="4"/>
          </a:xfrm>
          <a:prstGeom prst="line">
            <a:avLst/>
          </a:prstGeom>
          <a:noFill/>
          <a:ln w="9525">
            <a:solidFill>
              <a:srgbClr val="FF0000"/>
            </a:solidFill>
            <a:round/>
            <a:headEnd/>
            <a:tailEnd/>
          </a:ln>
        </xdr:spPr>
      </xdr:sp>
      <xdr:sp macro="" textlink="">
        <xdr:nvSpPr>
          <xdr:cNvPr id="10" name="Line 984"/>
          <xdr:cNvSpPr>
            <a:spLocks noChangeShapeType="1"/>
          </xdr:cNvSpPr>
        </xdr:nvSpPr>
        <xdr:spPr bwMode="auto">
          <a:xfrm flipV="1">
            <a:off x="4632" y="6384"/>
            <a:ext cx="4" cy="3880"/>
          </a:xfrm>
          <a:prstGeom prst="line">
            <a:avLst/>
          </a:prstGeom>
          <a:noFill/>
          <a:ln w="9525">
            <a:solidFill>
              <a:srgbClr val="FF0000"/>
            </a:solidFill>
            <a:round/>
            <a:headEnd/>
            <a:tailEnd/>
          </a:ln>
        </xdr:spPr>
      </xdr:sp>
      <xdr:sp macro="" textlink="">
        <xdr:nvSpPr>
          <xdr:cNvPr id="11" name="Line 985"/>
          <xdr:cNvSpPr>
            <a:spLocks noChangeShapeType="1"/>
          </xdr:cNvSpPr>
        </xdr:nvSpPr>
        <xdr:spPr bwMode="auto">
          <a:xfrm>
            <a:off x="4636" y="6384"/>
            <a:ext cx="211" cy="0"/>
          </a:xfrm>
          <a:prstGeom prst="line">
            <a:avLst/>
          </a:prstGeom>
          <a:noFill/>
          <a:ln w="9525">
            <a:solidFill>
              <a:srgbClr val="FF0000"/>
            </a:solidFill>
            <a:round/>
            <a:headEnd/>
            <a:tailEnd/>
          </a:ln>
        </xdr:spPr>
      </xdr:sp>
      <xdr:sp macro="" textlink="">
        <xdr:nvSpPr>
          <xdr:cNvPr id="12" name="Line 986"/>
          <xdr:cNvSpPr>
            <a:spLocks noChangeShapeType="1"/>
          </xdr:cNvSpPr>
        </xdr:nvSpPr>
        <xdr:spPr bwMode="auto">
          <a:xfrm>
            <a:off x="4847" y="6384"/>
            <a:ext cx="0" cy="9701"/>
          </a:xfrm>
          <a:prstGeom prst="line">
            <a:avLst/>
          </a:prstGeom>
          <a:noFill/>
          <a:ln w="9525">
            <a:solidFill>
              <a:srgbClr val="FF0000"/>
            </a:solidFill>
            <a:round/>
            <a:headEnd/>
            <a:tailEnd/>
          </a:ln>
        </xdr:spPr>
      </xdr:sp>
      <xdr:sp macro="" textlink="">
        <xdr:nvSpPr>
          <xdr:cNvPr id="13" name="Line 987"/>
          <xdr:cNvSpPr>
            <a:spLocks noChangeShapeType="1"/>
          </xdr:cNvSpPr>
        </xdr:nvSpPr>
        <xdr:spPr bwMode="auto">
          <a:xfrm>
            <a:off x="4847" y="16085"/>
            <a:ext cx="1077" cy="0"/>
          </a:xfrm>
          <a:prstGeom prst="line">
            <a:avLst/>
          </a:prstGeom>
          <a:noFill/>
          <a:ln w="9525">
            <a:solidFill>
              <a:srgbClr val="FF0000"/>
            </a:solidFill>
            <a:round/>
            <a:headEnd/>
            <a:tailEnd/>
          </a:ln>
        </xdr:spPr>
      </xdr:sp>
      <xdr:sp macro="" textlink="">
        <xdr:nvSpPr>
          <xdr:cNvPr id="14" name="Line 988"/>
          <xdr:cNvSpPr>
            <a:spLocks noChangeShapeType="1"/>
          </xdr:cNvSpPr>
        </xdr:nvSpPr>
        <xdr:spPr bwMode="auto">
          <a:xfrm flipV="1">
            <a:off x="5924" y="10696"/>
            <a:ext cx="0" cy="5389"/>
          </a:xfrm>
          <a:prstGeom prst="line">
            <a:avLst/>
          </a:prstGeom>
          <a:noFill/>
          <a:ln w="9525">
            <a:solidFill>
              <a:srgbClr val="FF0000"/>
            </a:solidFill>
            <a:round/>
            <a:headEnd/>
            <a:tailEnd/>
          </a:ln>
        </xdr:spPr>
      </xdr:sp>
      <xdr:sp macro="" textlink="">
        <xdr:nvSpPr>
          <xdr:cNvPr id="15" name="Line 989"/>
          <xdr:cNvSpPr>
            <a:spLocks noChangeShapeType="1"/>
          </xdr:cNvSpPr>
        </xdr:nvSpPr>
        <xdr:spPr bwMode="auto">
          <a:xfrm>
            <a:off x="5924" y="10696"/>
            <a:ext cx="430" cy="3"/>
          </a:xfrm>
          <a:prstGeom prst="line">
            <a:avLst/>
          </a:prstGeom>
          <a:noFill/>
          <a:ln w="9525">
            <a:solidFill>
              <a:srgbClr val="FF0000"/>
            </a:solidFill>
            <a:round/>
            <a:headEnd/>
            <a:tailEnd/>
          </a:ln>
        </xdr:spPr>
      </xdr:sp>
      <xdr:sp macro="" textlink="">
        <xdr:nvSpPr>
          <xdr:cNvPr id="16" name="Line 990"/>
          <xdr:cNvSpPr>
            <a:spLocks noChangeShapeType="1"/>
          </xdr:cNvSpPr>
        </xdr:nvSpPr>
        <xdr:spPr bwMode="auto">
          <a:xfrm flipV="1">
            <a:off x="6354" y="10696"/>
            <a:ext cx="4" cy="5389"/>
          </a:xfrm>
          <a:prstGeom prst="line">
            <a:avLst/>
          </a:prstGeom>
          <a:noFill/>
          <a:ln w="9525">
            <a:solidFill>
              <a:srgbClr val="FF0000"/>
            </a:solidFill>
            <a:round/>
            <a:headEnd/>
            <a:tailEnd/>
          </a:ln>
        </xdr:spPr>
      </xdr:sp>
      <xdr:sp macro="" textlink="">
        <xdr:nvSpPr>
          <xdr:cNvPr id="17" name="Line 991"/>
          <xdr:cNvSpPr>
            <a:spLocks noChangeShapeType="1"/>
          </xdr:cNvSpPr>
        </xdr:nvSpPr>
        <xdr:spPr bwMode="auto">
          <a:xfrm>
            <a:off x="6354" y="16085"/>
            <a:ext cx="1077" cy="4"/>
          </a:xfrm>
          <a:prstGeom prst="line">
            <a:avLst/>
          </a:prstGeom>
          <a:noFill/>
          <a:ln w="9525">
            <a:solidFill>
              <a:srgbClr val="FF0000"/>
            </a:solidFill>
            <a:round/>
            <a:headEnd/>
            <a:tailEnd/>
          </a:ln>
        </xdr:spPr>
      </xdr:sp>
      <xdr:sp macro="" textlink="">
        <xdr:nvSpPr>
          <xdr:cNvPr id="18" name="Line 992"/>
          <xdr:cNvSpPr>
            <a:spLocks noChangeShapeType="1"/>
          </xdr:cNvSpPr>
        </xdr:nvSpPr>
        <xdr:spPr bwMode="auto">
          <a:xfrm flipV="1">
            <a:off x="7431" y="6384"/>
            <a:ext cx="0" cy="9701"/>
          </a:xfrm>
          <a:prstGeom prst="line">
            <a:avLst/>
          </a:prstGeom>
          <a:noFill/>
          <a:ln w="9525">
            <a:solidFill>
              <a:srgbClr val="FF0000"/>
            </a:solidFill>
            <a:round/>
            <a:headEnd/>
            <a:tailEnd/>
          </a:ln>
        </xdr:spPr>
      </xdr:sp>
      <xdr:sp macro="" textlink="">
        <xdr:nvSpPr>
          <xdr:cNvPr id="19" name="Line 993"/>
          <xdr:cNvSpPr>
            <a:spLocks noChangeShapeType="1"/>
          </xdr:cNvSpPr>
        </xdr:nvSpPr>
        <xdr:spPr bwMode="auto">
          <a:xfrm>
            <a:off x="7431" y="6384"/>
            <a:ext cx="211" cy="4"/>
          </a:xfrm>
          <a:prstGeom prst="line">
            <a:avLst/>
          </a:prstGeom>
          <a:noFill/>
          <a:ln w="9525">
            <a:solidFill>
              <a:srgbClr val="FF0000"/>
            </a:solidFill>
            <a:round/>
            <a:headEnd/>
            <a:tailEnd/>
          </a:ln>
        </xdr:spPr>
      </xdr:sp>
      <xdr:sp macro="" textlink="">
        <xdr:nvSpPr>
          <xdr:cNvPr id="20" name="Line 994"/>
          <xdr:cNvSpPr>
            <a:spLocks noChangeShapeType="1"/>
          </xdr:cNvSpPr>
        </xdr:nvSpPr>
        <xdr:spPr bwMode="auto">
          <a:xfrm>
            <a:off x="7665" y="6380"/>
            <a:ext cx="4" cy="3881"/>
          </a:xfrm>
          <a:prstGeom prst="line">
            <a:avLst/>
          </a:prstGeom>
          <a:noFill/>
          <a:ln w="9525">
            <a:solidFill>
              <a:srgbClr val="FF0000"/>
            </a:solidFill>
            <a:round/>
            <a:headEnd/>
            <a:tailEnd/>
          </a:ln>
        </xdr:spPr>
      </xdr:sp>
      <xdr:sp macro="" textlink="">
        <xdr:nvSpPr>
          <xdr:cNvPr id="21" name="Line 995"/>
          <xdr:cNvSpPr>
            <a:spLocks noChangeShapeType="1"/>
          </xdr:cNvSpPr>
        </xdr:nvSpPr>
        <xdr:spPr bwMode="auto">
          <a:xfrm>
            <a:off x="7665" y="10261"/>
            <a:ext cx="861" cy="3"/>
          </a:xfrm>
          <a:prstGeom prst="line">
            <a:avLst/>
          </a:prstGeom>
          <a:noFill/>
          <a:ln w="9525">
            <a:solidFill>
              <a:srgbClr val="FF0000"/>
            </a:solidFill>
            <a:round/>
            <a:headEnd/>
            <a:tailEnd/>
          </a:ln>
        </xdr:spPr>
      </xdr:sp>
      <xdr:sp macro="" textlink="">
        <xdr:nvSpPr>
          <xdr:cNvPr id="22" name="Line 996"/>
          <xdr:cNvSpPr>
            <a:spLocks noChangeShapeType="1"/>
          </xdr:cNvSpPr>
        </xdr:nvSpPr>
        <xdr:spPr bwMode="auto">
          <a:xfrm flipV="1">
            <a:off x="8526" y="6475"/>
            <a:ext cx="4" cy="3786"/>
          </a:xfrm>
          <a:prstGeom prst="line">
            <a:avLst/>
          </a:prstGeom>
          <a:noFill/>
          <a:ln w="9525">
            <a:solidFill>
              <a:srgbClr val="FF0000"/>
            </a:solidFill>
            <a:round/>
            <a:headEnd/>
            <a:tailEnd/>
          </a:ln>
        </xdr:spPr>
      </xdr:sp>
      <xdr:sp macro="" textlink="">
        <xdr:nvSpPr>
          <xdr:cNvPr id="23" name="Line 997"/>
          <xdr:cNvSpPr>
            <a:spLocks noChangeShapeType="1"/>
          </xdr:cNvSpPr>
        </xdr:nvSpPr>
        <xdr:spPr bwMode="auto">
          <a:xfrm flipH="1">
            <a:off x="5807" y="4432"/>
            <a:ext cx="683" cy="0"/>
          </a:xfrm>
          <a:prstGeom prst="line">
            <a:avLst/>
          </a:prstGeom>
          <a:noFill/>
          <a:ln w="9525">
            <a:solidFill>
              <a:srgbClr val="FF0000"/>
            </a:solidFill>
            <a:round/>
            <a:headEnd/>
            <a:tailEnd/>
          </a:ln>
        </xdr:spPr>
      </xdr:sp>
    </xdr:grpSp>
    <xdr:clientData/>
  </xdr:twoCellAnchor>
  <xdr:twoCellAnchor>
    <xdr:from>
      <xdr:col>4</xdr:col>
      <xdr:colOff>838200</xdr:colOff>
      <xdr:row>42</xdr:row>
      <xdr:rowOff>60960</xdr:rowOff>
    </xdr:from>
    <xdr:to>
      <xdr:col>4</xdr:col>
      <xdr:colOff>975360</xdr:colOff>
      <xdr:row>44</xdr:row>
      <xdr:rowOff>83820</xdr:rowOff>
    </xdr:to>
    <xdr:grpSp>
      <xdr:nvGrpSpPr>
        <xdr:cNvPr id="24" name="Group 998"/>
        <xdr:cNvGrpSpPr>
          <a:grpSpLocks/>
        </xdr:cNvGrpSpPr>
      </xdr:nvGrpSpPr>
      <xdr:grpSpPr bwMode="auto">
        <a:xfrm>
          <a:off x="5617029" y="6080760"/>
          <a:ext cx="137160" cy="371203"/>
          <a:chOff x="1857" y="2993"/>
          <a:chExt cx="4178" cy="10157"/>
        </a:xfrm>
      </xdr:grpSpPr>
      <xdr:grpSp>
        <xdr:nvGrpSpPr>
          <xdr:cNvPr id="25" name="Group 999"/>
          <xdr:cNvGrpSpPr>
            <a:grpSpLocks/>
          </xdr:cNvGrpSpPr>
        </xdr:nvGrpSpPr>
        <xdr:grpSpPr bwMode="auto">
          <a:xfrm rot="1441604">
            <a:off x="4764" y="2993"/>
            <a:ext cx="570" cy="2736"/>
            <a:chOff x="4251" y="2947"/>
            <a:chExt cx="570" cy="2736"/>
          </a:xfrm>
        </xdr:grpSpPr>
        <xdr:sp macro="" textlink="">
          <xdr:nvSpPr>
            <xdr:cNvPr id="37" name="Line 1000"/>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38" name="Line 1001"/>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39" name="Line 1002"/>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40" name="Line 1003"/>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26" name="Group 1004"/>
          <xdr:cNvGrpSpPr>
            <a:grpSpLocks/>
          </xdr:cNvGrpSpPr>
        </xdr:nvGrpSpPr>
        <xdr:grpSpPr bwMode="auto">
          <a:xfrm rot="8464448">
            <a:off x="5468" y="5524"/>
            <a:ext cx="569" cy="2733"/>
            <a:chOff x="4677" y="4047"/>
            <a:chExt cx="495" cy="2386"/>
          </a:xfrm>
        </xdr:grpSpPr>
        <xdr:sp macro="" textlink="">
          <xdr:nvSpPr>
            <xdr:cNvPr id="33" name="Line 1005"/>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34" name="Line 1006"/>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35" name="Line 1007"/>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36" name="Line 1008"/>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27" name="Group 1009"/>
          <xdr:cNvGrpSpPr>
            <a:grpSpLocks/>
          </xdr:cNvGrpSpPr>
        </xdr:nvGrpSpPr>
        <xdr:grpSpPr bwMode="auto">
          <a:xfrm rot="-5905833">
            <a:off x="2936" y="4830"/>
            <a:ext cx="571" cy="2733"/>
            <a:chOff x="4677" y="4047"/>
            <a:chExt cx="495" cy="2386"/>
          </a:xfrm>
        </xdr:grpSpPr>
        <xdr:sp macro="" textlink="">
          <xdr:nvSpPr>
            <xdr:cNvPr id="29" name="Line 1010"/>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30" name="Line 1011"/>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31" name="Line 1012"/>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32" name="Line 1013"/>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28" name="AutoShape 1014"/>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42</xdr:row>
      <xdr:rowOff>76200</xdr:rowOff>
    </xdr:from>
    <xdr:to>
      <xdr:col>4</xdr:col>
      <xdr:colOff>342900</xdr:colOff>
      <xdr:row>44</xdr:row>
      <xdr:rowOff>83820</xdr:rowOff>
    </xdr:to>
    <xdr:grpSp>
      <xdr:nvGrpSpPr>
        <xdr:cNvPr id="41" name="Group 1015"/>
        <xdr:cNvGrpSpPr>
          <a:grpSpLocks/>
        </xdr:cNvGrpSpPr>
      </xdr:nvGrpSpPr>
      <xdr:grpSpPr bwMode="auto">
        <a:xfrm>
          <a:off x="4885509" y="6096000"/>
          <a:ext cx="236220" cy="355963"/>
          <a:chOff x="5163" y="2548"/>
          <a:chExt cx="2109" cy="2909"/>
        </a:xfrm>
      </xdr:grpSpPr>
      <xdr:sp macro="" textlink="">
        <xdr:nvSpPr>
          <xdr:cNvPr id="42" name="Rectangle 1016"/>
          <xdr:cNvSpPr>
            <a:spLocks noChangeArrowheads="1"/>
          </xdr:cNvSpPr>
        </xdr:nvSpPr>
        <xdr:spPr bwMode="auto">
          <a:xfrm>
            <a:off x="5163" y="2548"/>
            <a:ext cx="1938" cy="2736"/>
          </a:xfrm>
          <a:prstGeom prst="rect">
            <a:avLst/>
          </a:prstGeom>
          <a:solidFill>
            <a:srgbClr val="FFFFFF"/>
          </a:solidFill>
          <a:ln w="9525" algn="ctr">
            <a:solidFill>
              <a:srgbClr val="FF0000"/>
            </a:solidFill>
            <a:miter lim="800000"/>
            <a:headEnd/>
            <a:tailEnd/>
          </a:ln>
        </xdr:spPr>
      </xdr:sp>
      <xdr:sp macro="" textlink="">
        <xdr:nvSpPr>
          <xdr:cNvPr id="43" name="Line 1017"/>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44" name="Line 1018"/>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45" name="Line 1019"/>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46" name="Line 1020"/>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47" name="Line 1021"/>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48" name="Line 1022"/>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49" name="Line 1023"/>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50" name="Line 1024"/>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51" name="Line 1025"/>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52" name="Line 1026"/>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53" name="Line 1027"/>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54" name="Line 1028"/>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55" name="Line 1029"/>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42</xdr:row>
      <xdr:rowOff>114300</xdr:rowOff>
    </xdr:from>
    <xdr:to>
      <xdr:col>4</xdr:col>
      <xdr:colOff>1478280</xdr:colOff>
      <xdr:row>44</xdr:row>
      <xdr:rowOff>121920</xdr:rowOff>
    </xdr:to>
    <xdr:grpSp>
      <xdr:nvGrpSpPr>
        <xdr:cNvPr id="56" name="Group 1030"/>
        <xdr:cNvGrpSpPr>
          <a:grpSpLocks/>
        </xdr:cNvGrpSpPr>
      </xdr:nvGrpSpPr>
      <xdr:grpSpPr bwMode="auto">
        <a:xfrm>
          <a:off x="5952309" y="6134100"/>
          <a:ext cx="304800" cy="355963"/>
          <a:chOff x="5238" y="4632"/>
          <a:chExt cx="1597" cy="1311"/>
        </a:xfrm>
      </xdr:grpSpPr>
      <xdr:sp macro="" textlink="">
        <xdr:nvSpPr>
          <xdr:cNvPr id="57" name="Line 1031"/>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58" name="Line 1032"/>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59" name="Line 1033"/>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60" name="Line 1034"/>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61" name="Line 1035"/>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62" name="Line 1036"/>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63" name="Line 1037"/>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45</xdr:row>
      <xdr:rowOff>76200</xdr:rowOff>
    </xdr:from>
    <xdr:to>
      <xdr:col>4</xdr:col>
      <xdr:colOff>647700</xdr:colOff>
      <xdr:row>47</xdr:row>
      <xdr:rowOff>83820</xdr:rowOff>
    </xdr:to>
    <xdr:grpSp>
      <xdr:nvGrpSpPr>
        <xdr:cNvPr id="64" name="Group 1098"/>
        <xdr:cNvGrpSpPr>
          <a:grpSpLocks/>
        </xdr:cNvGrpSpPr>
      </xdr:nvGrpSpPr>
      <xdr:grpSpPr bwMode="auto">
        <a:xfrm>
          <a:off x="5319849" y="6629400"/>
          <a:ext cx="106680" cy="355963"/>
          <a:chOff x="3771" y="1155"/>
          <a:chExt cx="4759" cy="14934"/>
        </a:xfrm>
      </xdr:grpSpPr>
      <xdr:sp macro="" textlink="">
        <xdr:nvSpPr>
          <xdr:cNvPr id="65" name="Oval 1099"/>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66" name="Arc 1100"/>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67" name="Arc 1101"/>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68" name="Line 1102"/>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69" name="Line 1103"/>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70" name="Line 1104"/>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71" name="Line 1105"/>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72" name="Line 1106"/>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73" name="Line 1107"/>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74" name="Line 1108"/>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75" name="Line 1109"/>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76" name="Line 1110"/>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77" name="Line 1111"/>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78" name="Line 1112"/>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79" name="Line 1113"/>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80" name="Line 1114"/>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81" name="Line 1115"/>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82" name="Line 1116"/>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83" name="Line 1117"/>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45</xdr:row>
      <xdr:rowOff>60960</xdr:rowOff>
    </xdr:from>
    <xdr:to>
      <xdr:col>4</xdr:col>
      <xdr:colOff>975360</xdr:colOff>
      <xdr:row>47</xdr:row>
      <xdr:rowOff>83820</xdr:rowOff>
    </xdr:to>
    <xdr:grpSp>
      <xdr:nvGrpSpPr>
        <xdr:cNvPr id="84" name="Group 1118"/>
        <xdr:cNvGrpSpPr>
          <a:grpSpLocks/>
        </xdr:cNvGrpSpPr>
      </xdr:nvGrpSpPr>
      <xdr:grpSpPr bwMode="auto">
        <a:xfrm>
          <a:off x="5617029" y="6614160"/>
          <a:ext cx="137160" cy="371203"/>
          <a:chOff x="1857" y="2993"/>
          <a:chExt cx="4178" cy="10157"/>
        </a:xfrm>
      </xdr:grpSpPr>
      <xdr:grpSp>
        <xdr:nvGrpSpPr>
          <xdr:cNvPr id="85" name="Group 1119"/>
          <xdr:cNvGrpSpPr>
            <a:grpSpLocks/>
          </xdr:cNvGrpSpPr>
        </xdr:nvGrpSpPr>
        <xdr:grpSpPr bwMode="auto">
          <a:xfrm rot="1441604">
            <a:off x="4764" y="2993"/>
            <a:ext cx="570" cy="2736"/>
            <a:chOff x="4251" y="2947"/>
            <a:chExt cx="570" cy="2736"/>
          </a:xfrm>
        </xdr:grpSpPr>
        <xdr:sp macro="" textlink="">
          <xdr:nvSpPr>
            <xdr:cNvPr id="97" name="Line 1120"/>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98" name="Line 1121"/>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99" name="Line 1122"/>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100" name="Line 1123"/>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86" name="Group 1124"/>
          <xdr:cNvGrpSpPr>
            <a:grpSpLocks/>
          </xdr:cNvGrpSpPr>
        </xdr:nvGrpSpPr>
        <xdr:grpSpPr bwMode="auto">
          <a:xfrm rot="8464448">
            <a:off x="5468" y="5524"/>
            <a:ext cx="569" cy="2733"/>
            <a:chOff x="4677" y="4047"/>
            <a:chExt cx="495" cy="2386"/>
          </a:xfrm>
        </xdr:grpSpPr>
        <xdr:sp macro="" textlink="">
          <xdr:nvSpPr>
            <xdr:cNvPr id="93" name="Line 1125"/>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94" name="Line 1126"/>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95" name="Line 1127"/>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96" name="Line 1128"/>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87" name="Group 1129"/>
          <xdr:cNvGrpSpPr>
            <a:grpSpLocks/>
          </xdr:cNvGrpSpPr>
        </xdr:nvGrpSpPr>
        <xdr:grpSpPr bwMode="auto">
          <a:xfrm rot="-5905833">
            <a:off x="2936" y="4830"/>
            <a:ext cx="571" cy="2733"/>
            <a:chOff x="4677" y="4047"/>
            <a:chExt cx="495" cy="2386"/>
          </a:xfrm>
        </xdr:grpSpPr>
        <xdr:sp macro="" textlink="">
          <xdr:nvSpPr>
            <xdr:cNvPr id="89" name="Line 1130"/>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90" name="Line 1131"/>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91" name="Line 1132"/>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92" name="Line 1133"/>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88" name="AutoShape 1134"/>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45</xdr:row>
      <xdr:rowOff>76200</xdr:rowOff>
    </xdr:from>
    <xdr:to>
      <xdr:col>4</xdr:col>
      <xdr:colOff>342900</xdr:colOff>
      <xdr:row>47</xdr:row>
      <xdr:rowOff>83820</xdr:rowOff>
    </xdr:to>
    <xdr:grpSp>
      <xdr:nvGrpSpPr>
        <xdr:cNvPr id="101" name="Group 1135"/>
        <xdr:cNvGrpSpPr>
          <a:grpSpLocks/>
        </xdr:cNvGrpSpPr>
      </xdr:nvGrpSpPr>
      <xdr:grpSpPr bwMode="auto">
        <a:xfrm>
          <a:off x="4885509" y="6629400"/>
          <a:ext cx="236220" cy="355963"/>
          <a:chOff x="5163" y="2548"/>
          <a:chExt cx="2109" cy="2909"/>
        </a:xfrm>
      </xdr:grpSpPr>
      <xdr:sp macro="" textlink="">
        <xdr:nvSpPr>
          <xdr:cNvPr id="102" name="Rectangle 1136"/>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103" name="Line 1137"/>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104" name="Line 1138"/>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105" name="Line 1139"/>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106" name="Line 1140"/>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107" name="Line 1141"/>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108" name="Line 1142"/>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109" name="Line 1143"/>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110" name="Line 1144"/>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111" name="Line 1145"/>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112" name="Line 1146"/>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113" name="Line 1147"/>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114" name="Line 1148"/>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115" name="Line 1149"/>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45</xdr:row>
      <xdr:rowOff>114300</xdr:rowOff>
    </xdr:from>
    <xdr:to>
      <xdr:col>4</xdr:col>
      <xdr:colOff>1478280</xdr:colOff>
      <xdr:row>47</xdr:row>
      <xdr:rowOff>121920</xdr:rowOff>
    </xdr:to>
    <xdr:grpSp>
      <xdr:nvGrpSpPr>
        <xdr:cNvPr id="116" name="Group 1150"/>
        <xdr:cNvGrpSpPr>
          <a:grpSpLocks/>
        </xdr:cNvGrpSpPr>
      </xdr:nvGrpSpPr>
      <xdr:grpSpPr bwMode="auto">
        <a:xfrm>
          <a:off x="5952309" y="6667500"/>
          <a:ext cx="304800" cy="355963"/>
          <a:chOff x="5238" y="4632"/>
          <a:chExt cx="1597" cy="1311"/>
        </a:xfrm>
      </xdr:grpSpPr>
      <xdr:sp macro="" textlink="">
        <xdr:nvSpPr>
          <xdr:cNvPr id="117" name="Line 1151"/>
          <xdr:cNvSpPr>
            <a:spLocks noChangeShapeType="1"/>
          </xdr:cNvSpPr>
        </xdr:nvSpPr>
        <xdr:spPr bwMode="auto">
          <a:xfrm flipV="1">
            <a:off x="5238" y="4632"/>
            <a:ext cx="0" cy="855"/>
          </a:xfrm>
          <a:prstGeom prst="line">
            <a:avLst/>
          </a:prstGeom>
          <a:noFill/>
          <a:ln w="9525">
            <a:solidFill>
              <a:srgbClr val="FF0000"/>
            </a:solidFill>
            <a:round/>
            <a:headEnd/>
            <a:tailEnd/>
          </a:ln>
        </xdr:spPr>
      </xdr:sp>
      <xdr:sp macro="" textlink="">
        <xdr:nvSpPr>
          <xdr:cNvPr id="118" name="Line 1152"/>
          <xdr:cNvSpPr>
            <a:spLocks noChangeShapeType="1"/>
          </xdr:cNvSpPr>
        </xdr:nvSpPr>
        <xdr:spPr bwMode="auto">
          <a:xfrm>
            <a:off x="5238" y="4632"/>
            <a:ext cx="1597" cy="0"/>
          </a:xfrm>
          <a:prstGeom prst="line">
            <a:avLst/>
          </a:prstGeom>
          <a:noFill/>
          <a:ln w="9525">
            <a:solidFill>
              <a:srgbClr val="FF0000"/>
            </a:solidFill>
            <a:round/>
            <a:headEnd/>
            <a:tailEnd/>
          </a:ln>
        </xdr:spPr>
      </xdr:sp>
      <xdr:sp macro="" textlink="">
        <xdr:nvSpPr>
          <xdr:cNvPr id="119" name="Line 1153"/>
          <xdr:cNvSpPr>
            <a:spLocks noChangeShapeType="1"/>
          </xdr:cNvSpPr>
        </xdr:nvSpPr>
        <xdr:spPr bwMode="auto">
          <a:xfrm>
            <a:off x="5238" y="5487"/>
            <a:ext cx="342" cy="1"/>
          </a:xfrm>
          <a:prstGeom prst="line">
            <a:avLst/>
          </a:prstGeom>
          <a:noFill/>
          <a:ln w="9525">
            <a:solidFill>
              <a:srgbClr val="FF0000"/>
            </a:solidFill>
            <a:round/>
            <a:headEnd/>
            <a:tailEnd/>
          </a:ln>
        </xdr:spPr>
      </xdr:sp>
      <xdr:sp macro="" textlink="">
        <xdr:nvSpPr>
          <xdr:cNvPr id="120" name="Line 1154"/>
          <xdr:cNvSpPr>
            <a:spLocks noChangeShapeType="1"/>
          </xdr:cNvSpPr>
        </xdr:nvSpPr>
        <xdr:spPr bwMode="auto">
          <a:xfrm flipH="1">
            <a:off x="5409" y="5487"/>
            <a:ext cx="172" cy="456"/>
          </a:xfrm>
          <a:prstGeom prst="line">
            <a:avLst/>
          </a:prstGeom>
          <a:noFill/>
          <a:ln w="9525">
            <a:solidFill>
              <a:srgbClr val="FF0000"/>
            </a:solidFill>
            <a:round/>
            <a:headEnd/>
            <a:tailEnd/>
          </a:ln>
        </xdr:spPr>
      </xdr:sp>
      <xdr:sp macro="" textlink="">
        <xdr:nvSpPr>
          <xdr:cNvPr id="121" name="Line 1155"/>
          <xdr:cNvSpPr>
            <a:spLocks noChangeShapeType="1"/>
          </xdr:cNvSpPr>
        </xdr:nvSpPr>
        <xdr:spPr bwMode="auto">
          <a:xfrm flipV="1">
            <a:off x="5409" y="5487"/>
            <a:ext cx="627" cy="456"/>
          </a:xfrm>
          <a:prstGeom prst="line">
            <a:avLst/>
          </a:prstGeom>
          <a:noFill/>
          <a:ln w="9525">
            <a:solidFill>
              <a:srgbClr val="FF0000"/>
            </a:solidFill>
            <a:round/>
            <a:headEnd/>
            <a:tailEnd/>
          </a:ln>
        </xdr:spPr>
      </xdr:sp>
      <xdr:sp macro="" textlink="">
        <xdr:nvSpPr>
          <xdr:cNvPr id="122" name="Line 1156"/>
          <xdr:cNvSpPr>
            <a:spLocks noChangeShapeType="1"/>
          </xdr:cNvSpPr>
        </xdr:nvSpPr>
        <xdr:spPr bwMode="auto">
          <a:xfrm>
            <a:off x="6036" y="5487"/>
            <a:ext cx="799" cy="1"/>
          </a:xfrm>
          <a:prstGeom prst="line">
            <a:avLst/>
          </a:prstGeom>
          <a:noFill/>
          <a:ln w="9525">
            <a:solidFill>
              <a:srgbClr val="FF0000"/>
            </a:solidFill>
            <a:round/>
            <a:headEnd/>
            <a:tailEnd/>
          </a:ln>
        </xdr:spPr>
      </xdr:sp>
      <xdr:sp macro="" textlink="">
        <xdr:nvSpPr>
          <xdr:cNvPr id="123" name="Line 1157"/>
          <xdr:cNvSpPr>
            <a:spLocks noChangeShapeType="1"/>
          </xdr:cNvSpPr>
        </xdr:nvSpPr>
        <xdr:spPr bwMode="auto">
          <a:xfrm>
            <a:off x="6835" y="4632"/>
            <a:ext cx="0" cy="856"/>
          </a:xfrm>
          <a:prstGeom prst="line">
            <a:avLst/>
          </a:prstGeom>
          <a:noFill/>
          <a:ln w="9525">
            <a:solidFill>
              <a:srgbClr val="FF0000"/>
            </a:solidFill>
            <a:round/>
            <a:headEnd/>
            <a:tailEnd/>
          </a:ln>
        </xdr:spPr>
      </xdr:sp>
    </xdr:grpSp>
    <xdr:clientData/>
  </xdr:twoCellAnchor>
  <xdr:twoCellAnchor>
    <xdr:from>
      <xdr:col>4</xdr:col>
      <xdr:colOff>541020</xdr:colOff>
      <xdr:row>48</xdr:row>
      <xdr:rowOff>76200</xdr:rowOff>
    </xdr:from>
    <xdr:to>
      <xdr:col>4</xdr:col>
      <xdr:colOff>647700</xdr:colOff>
      <xdr:row>50</xdr:row>
      <xdr:rowOff>83820</xdr:rowOff>
    </xdr:to>
    <xdr:grpSp>
      <xdr:nvGrpSpPr>
        <xdr:cNvPr id="124" name="Group 1158"/>
        <xdr:cNvGrpSpPr>
          <a:grpSpLocks/>
        </xdr:cNvGrpSpPr>
      </xdr:nvGrpSpPr>
      <xdr:grpSpPr bwMode="auto">
        <a:xfrm>
          <a:off x="5319849" y="7162800"/>
          <a:ext cx="106680" cy="355963"/>
          <a:chOff x="3771" y="1155"/>
          <a:chExt cx="4759" cy="14934"/>
        </a:xfrm>
      </xdr:grpSpPr>
      <xdr:sp macro="" textlink="">
        <xdr:nvSpPr>
          <xdr:cNvPr id="125" name="Oval 1159"/>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126" name="Arc 1160"/>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127" name="Arc 1161"/>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128" name="Line 1162"/>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129" name="Line 1163"/>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130" name="Line 1164"/>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131" name="Line 1165"/>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132" name="Line 1166"/>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133" name="Line 1167"/>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134" name="Line 1168"/>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135" name="Line 1169"/>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136" name="Line 1170"/>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137" name="Line 1171"/>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138" name="Line 1172"/>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139" name="Line 1173"/>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140" name="Line 1174"/>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141" name="Line 1175"/>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142" name="Line 1176"/>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143" name="Line 1177"/>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48</xdr:row>
      <xdr:rowOff>60960</xdr:rowOff>
    </xdr:from>
    <xdr:to>
      <xdr:col>4</xdr:col>
      <xdr:colOff>975360</xdr:colOff>
      <xdr:row>50</xdr:row>
      <xdr:rowOff>83820</xdr:rowOff>
    </xdr:to>
    <xdr:grpSp>
      <xdr:nvGrpSpPr>
        <xdr:cNvPr id="144" name="Group 1178"/>
        <xdr:cNvGrpSpPr>
          <a:grpSpLocks/>
        </xdr:cNvGrpSpPr>
      </xdr:nvGrpSpPr>
      <xdr:grpSpPr bwMode="auto">
        <a:xfrm>
          <a:off x="5617029" y="7147560"/>
          <a:ext cx="137160" cy="371203"/>
          <a:chOff x="1857" y="2993"/>
          <a:chExt cx="4178" cy="10157"/>
        </a:xfrm>
      </xdr:grpSpPr>
      <xdr:grpSp>
        <xdr:nvGrpSpPr>
          <xdr:cNvPr id="145" name="Group 1179"/>
          <xdr:cNvGrpSpPr>
            <a:grpSpLocks/>
          </xdr:cNvGrpSpPr>
        </xdr:nvGrpSpPr>
        <xdr:grpSpPr bwMode="auto">
          <a:xfrm rot="1441604">
            <a:off x="4764" y="2993"/>
            <a:ext cx="570" cy="2736"/>
            <a:chOff x="4251" y="2947"/>
            <a:chExt cx="570" cy="2736"/>
          </a:xfrm>
        </xdr:grpSpPr>
        <xdr:sp macro="" textlink="">
          <xdr:nvSpPr>
            <xdr:cNvPr id="157" name="Line 1180"/>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158" name="Line 1181"/>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159" name="Line 1182"/>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160" name="Line 1183"/>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146" name="Group 1184"/>
          <xdr:cNvGrpSpPr>
            <a:grpSpLocks/>
          </xdr:cNvGrpSpPr>
        </xdr:nvGrpSpPr>
        <xdr:grpSpPr bwMode="auto">
          <a:xfrm rot="8464448">
            <a:off x="5468" y="5524"/>
            <a:ext cx="569" cy="2733"/>
            <a:chOff x="4677" y="4047"/>
            <a:chExt cx="495" cy="2386"/>
          </a:xfrm>
        </xdr:grpSpPr>
        <xdr:sp macro="" textlink="">
          <xdr:nvSpPr>
            <xdr:cNvPr id="153" name="Line 1185"/>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154" name="Line 1186"/>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155" name="Line 1187"/>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156" name="Line 1188"/>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147" name="Group 1189"/>
          <xdr:cNvGrpSpPr>
            <a:grpSpLocks/>
          </xdr:cNvGrpSpPr>
        </xdr:nvGrpSpPr>
        <xdr:grpSpPr bwMode="auto">
          <a:xfrm rot="-5905833">
            <a:off x="2936" y="4830"/>
            <a:ext cx="571" cy="2733"/>
            <a:chOff x="4677" y="4047"/>
            <a:chExt cx="495" cy="2386"/>
          </a:xfrm>
        </xdr:grpSpPr>
        <xdr:sp macro="" textlink="">
          <xdr:nvSpPr>
            <xdr:cNvPr id="149" name="Line 1190"/>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150" name="Line 1191"/>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151" name="Line 1192"/>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152" name="Line 1193"/>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148" name="AutoShape 1194"/>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48</xdr:row>
      <xdr:rowOff>76200</xdr:rowOff>
    </xdr:from>
    <xdr:to>
      <xdr:col>4</xdr:col>
      <xdr:colOff>342900</xdr:colOff>
      <xdr:row>50</xdr:row>
      <xdr:rowOff>83820</xdr:rowOff>
    </xdr:to>
    <xdr:grpSp>
      <xdr:nvGrpSpPr>
        <xdr:cNvPr id="161" name="Group 1195"/>
        <xdr:cNvGrpSpPr>
          <a:grpSpLocks/>
        </xdr:cNvGrpSpPr>
      </xdr:nvGrpSpPr>
      <xdr:grpSpPr bwMode="auto">
        <a:xfrm>
          <a:off x="4885509" y="7162800"/>
          <a:ext cx="236220" cy="355963"/>
          <a:chOff x="5163" y="2548"/>
          <a:chExt cx="2109" cy="2909"/>
        </a:xfrm>
      </xdr:grpSpPr>
      <xdr:sp macro="" textlink="">
        <xdr:nvSpPr>
          <xdr:cNvPr id="162" name="Rectangle 1196"/>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163" name="Line 1197"/>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164" name="Line 1198"/>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165" name="Line 1199"/>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166" name="Line 1200"/>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167" name="Line 1201"/>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168" name="Line 1202"/>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169" name="Line 1203"/>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170" name="Line 1204"/>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171" name="Line 1205"/>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172" name="Line 1206"/>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173" name="Line 1207"/>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174" name="Line 1208"/>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175" name="Line 1209"/>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48</xdr:row>
      <xdr:rowOff>114300</xdr:rowOff>
    </xdr:from>
    <xdr:to>
      <xdr:col>4</xdr:col>
      <xdr:colOff>1478280</xdr:colOff>
      <xdr:row>50</xdr:row>
      <xdr:rowOff>121920</xdr:rowOff>
    </xdr:to>
    <xdr:grpSp>
      <xdr:nvGrpSpPr>
        <xdr:cNvPr id="176" name="Group 1210"/>
        <xdr:cNvGrpSpPr>
          <a:grpSpLocks/>
        </xdr:cNvGrpSpPr>
      </xdr:nvGrpSpPr>
      <xdr:grpSpPr bwMode="auto">
        <a:xfrm>
          <a:off x="5952309" y="7200900"/>
          <a:ext cx="304800" cy="355963"/>
          <a:chOff x="5238" y="4632"/>
          <a:chExt cx="1597" cy="1311"/>
        </a:xfrm>
      </xdr:grpSpPr>
      <xdr:sp macro="" textlink="">
        <xdr:nvSpPr>
          <xdr:cNvPr id="177" name="Line 1211"/>
          <xdr:cNvSpPr>
            <a:spLocks noChangeShapeType="1"/>
          </xdr:cNvSpPr>
        </xdr:nvSpPr>
        <xdr:spPr bwMode="auto">
          <a:xfrm flipV="1">
            <a:off x="5238" y="4632"/>
            <a:ext cx="0" cy="855"/>
          </a:xfrm>
          <a:prstGeom prst="line">
            <a:avLst/>
          </a:prstGeom>
          <a:noFill/>
          <a:ln w="9525">
            <a:solidFill>
              <a:srgbClr val="FF0000"/>
            </a:solidFill>
            <a:round/>
            <a:headEnd/>
            <a:tailEnd/>
          </a:ln>
        </xdr:spPr>
      </xdr:sp>
      <xdr:sp macro="" textlink="">
        <xdr:nvSpPr>
          <xdr:cNvPr id="178" name="Line 1212"/>
          <xdr:cNvSpPr>
            <a:spLocks noChangeShapeType="1"/>
          </xdr:cNvSpPr>
        </xdr:nvSpPr>
        <xdr:spPr bwMode="auto">
          <a:xfrm>
            <a:off x="5238" y="4632"/>
            <a:ext cx="1597" cy="0"/>
          </a:xfrm>
          <a:prstGeom prst="line">
            <a:avLst/>
          </a:prstGeom>
          <a:noFill/>
          <a:ln w="9525">
            <a:solidFill>
              <a:srgbClr val="FF0000"/>
            </a:solidFill>
            <a:round/>
            <a:headEnd/>
            <a:tailEnd/>
          </a:ln>
        </xdr:spPr>
      </xdr:sp>
      <xdr:sp macro="" textlink="">
        <xdr:nvSpPr>
          <xdr:cNvPr id="179" name="Line 1213"/>
          <xdr:cNvSpPr>
            <a:spLocks noChangeShapeType="1"/>
          </xdr:cNvSpPr>
        </xdr:nvSpPr>
        <xdr:spPr bwMode="auto">
          <a:xfrm>
            <a:off x="5238" y="5487"/>
            <a:ext cx="342" cy="1"/>
          </a:xfrm>
          <a:prstGeom prst="line">
            <a:avLst/>
          </a:prstGeom>
          <a:noFill/>
          <a:ln w="9525">
            <a:solidFill>
              <a:srgbClr val="FF0000"/>
            </a:solidFill>
            <a:round/>
            <a:headEnd/>
            <a:tailEnd/>
          </a:ln>
        </xdr:spPr>
      </xdr:sp>
      <xdr:sp macro="" textlink="">
        <xdr:nvSpPr>
          <xdr:cNvPr id="180" name="Line 1214"/>
          <xdr:cNvSpPr>
            <a:spLocks noChangeShapeType="1"/>
          </xdr:cNvSpPr>
        </xdr:nvSpPr>
        <xdr:spPr bwMode="auto">
          <a:xfrm flipH="1">
            <a:off x="5409" y="5487"/>
            <a:ext cx="172" cy="456"/>
          </a:xfrm>
          <a:prstGeom prst="line">
            <a:avLst/>
          </a:prstGeom>
          <a:noFill/>
          <a:ln w="9525">
            <a:solidFill>
              <a:srgbClr val="FF0000"/>
            </a:solidFill>
            <a:round/>
            <a:headEnd/>
            <a:tailEnd/>
          </a:ln>
        </xdr:spPr>
      </xdr:sp>
      <xdr:sp macro="" textlink="">
        <xdr:nvSpPr>
          <xdr:cNvPr id="181" name="Line 1215"/>
          <xdr:cNvSpPr>
            <a:spLocks noChangeShapeType="1"/>
          </xdr:cNvSpPr>
        </xdr:nvSpPr>
        <xdr:spPr bwMode="auto">
          <a:xfrm flipV="1">
            <a:off x="5409" y="5487"/>
            <a:ext cx="627" cy="456"/>
          </a:xfrm>
          <a:prstGeom prst="line">
            <a:avLst/>
          </a:prstGeom>
          <a:noFill/>
          <a:ln w="9525">
            <a:solidFill>
              <a:srgbClr val="FF0000"/>
            </a:solidFill>
            <a:round/>
            <a:headEnd/>
            <a:tailEnd/>
          </a:ln>
        </xdr:spPr>
      </xdr:sp>
      <xdr:sp macro="" textlink="">
        <xdr:nvSpPr>
          <xdr:cNvPr id="182" name="Line 1216"/>
          <xdr:cNvSpPr>
            <a:spLocks noChangeShapeType="1"/>
          </xdr:cNvSpPr>
        </xdr:nvSpPr>
        <xdr:spPr bwMode="auto">
          <a:xfrm>
            <a:off x="6036" y="5487"/>
            <a:ext cx="799" cy="1"/>
          </a:xfrm>
          <a:prstGeom prst="line">
            <a:avLst/>
          </a:prstGeom>
          <a:noFill/>
          <a:ln w="9525">
            <a:solidFill>
              <a:srgbClr val="FF0000"/>
            </a:solidFill>
            <a:round/>
            <a:headEnd/>
            <a:tailEnd/>
          </a:ln>
        </xdr:spPr>
      </xdr:sp>
      <xdr:sp macro="" textlink="">
        <xdr:nvSpPr>
          <xdr:cNvPr id="183" name="Line 1217"/>
          <xdr:cNvSpPr>
            <a:spLocks noChangeShapeType="1"/>
          </xdr:cNvSpPr>
        </xdr:nvSpPr>
        <xdr:spPr bwMode="auto">
          <a:xfrm>
            <a:off x="6835" y="4632"/>
            <a:ext cx="0" cy="856"/>
          </a:xfrm>
          <a:prstGeom prst="line">
            <a:avLst/>
          </a:prstGeom>
          <a:noFill/>
          <a:ln w="9525">
            <a:solidFill>
              <a:srgbClr val="FF0000"/>
            </a:solidFill>
            <a:round/>
            <a:headEnd/>
            <a:tailEnd/>
          </a:ln>
        </xdr:spPr>
      </xdr:sp>
    </xdr:grpSp>
    <xdr:clientData/>
  </xdr:twoCellAnchor>
  <xdr:twoCellAnchor>
    <xdr:from>
      <xdr:col>4</xdr:col>
      <xdr:colOff>541020</xdr:colOff>
      <xdr:row>39</xdr:row>
      <xdr:rowOff>76200</xdr:rowOff>
    </xdr:from>
    <xdr:to>
      <xdr:col>4</xdr:col>
      <xdr:colOff>647700</xdr:colOff>
      <xdr:row>41</xdr:row>
      <xdr:rowOff>83820</xdr:rowOff>
    </xdr:to>
    <xdr:grpSp>
      <xdr:nvGrpSpPr>
        <xdr:cNvPr id="184" name="Group 1278"/>
        <xdr:cNvGrpSpPr>
          <a:grpSpLocks/>
        </xdr:cNvGrpSpPr>
      </xdr:nvGrpSpPr>
      <xdr:grpSpPr bwMode="auto">
        <a:xfrm>
          <a:off x="5319849" y="5573486"/>
          <a:ext cx="106680" cy="345077"/>
          <a:chOff x="3771" y="1155"/>
          <a:chExt cx="4759" cy="14934"/>
        </a:xfrm>
      </xdr:grpSpPr>
      <xdr:sp macro="" textlink="">
        <xdr:nvSpPr>
          <xdr:cNvPr id="185" name="Oval 1279"/>
          <xdr:cNvSpPr>
            <a:spLocks noChangeArrowheads="1"/>
          </xdr:cNvSpPr>
        </xdr:nvSpPr>
        <xdr:spPr bwMode="auto">
          <a:xfrm>
            <a:off x="4643" y="1155"/>
            <a:ext cx="2999" cy="3003"/>
          </a:xfrm>
          <a:prstGeom prst="ellipse">
            <a:avLst/>
          </a:prstGeom>
          <a:solidFill>
            <a:srgbClr val="FFFFFF"/>
          </a:solidFill>
          <a:ln w="9525" algn="ctr">
            <a:solidFill>
              <a:srgbClr val="FF0000"/>
            </a:solidFill>
            <a:round/>
            <a:headEnd/>
            <a:tailEnd/>
          </a:ln>
        </xdr:spPr>
      </xdr:sp>
      <xdr:sp macro="" textlink="">
        <xdr:nvSpPr>
          <xdr:cNvPr id="186" name="Arc 1280"/>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187" name="Arc 1281"/>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188" name="Line 1282"/>
          <xdr:cNvSpPr>
            <a:spLocks noChangeShapeType="1"/>
          </xdr:cNvSpPr>
        </xdr:nvSpPr>
        <xdr:spPr bwMode="auto">
          <a:xfrm>
            <a:off x="3771" y="6471"/>
            <a:ext cx="0" cy="3793"/>
          </a:xfrm>
          <a:prstGeom prst="line">
            <a:avLst/>
          </a:prstGeom>
          <a:noFill/>
          <a:ln w="9525">
            <a:solidFill>
              <a:srgbClr val="FF0000"/>
            </a:solidFill>
            <a:round/>
            <a:headEnd/>
            <a:tailEnd/>
          </a:ln>
        </xdr:spPr>
      </xdr:sp>
      <xdr:sp macro="" textlink="">
        <xdr:nvSpPr>
          <xdr:cNvPr id="189" name="Line 1283"/>
          <xdr:cNvSpPr>
            <a:spLocks noChangeShapeType="1"/>
          </xdr:cNvSpPr>
        </xdr:nvSpPr>
        <xdr:spPr bwMode="auto">
          <a:xfrm>
            <a:off x="3771" y="10264"/>
            <a:ext cx="861" cy="4"/>
          </a:xfrm>
          <a:prstGeom prst="line">
            <a:avLst/>
          </a:prstGeom>
          <a:noFill/>
          <a:ln w="9525">
            <a:solidFill>
              <a:srgbClr val="FF0000"/>
            </a:solidFill>
            <a:round/>
            <a:headEnd/>
            <a:tailEnd/>
          </a:ln>
        </xdr:spPr>
      </xdr:sp>
      <xdr:sp macro="" textlink="">
        <xdr:nvSpPr>
          <xdr:cNvPr id="190" name="Line 1284"/>
          <xdr:cNvSpPr>
            <a:spLocks noChangeShapeType="1"/>
          </xdr:cNvSpPr>
        </xdr:nvSpPr>
        <xdr:spPr bwMode="auto">
          <a:xfrm flipV="1">
            <a:off x="4632" y="6384"/>
            <a:ext cx="4" cy="3880"/>
          </a:xfrm>
          <a:prstGeom prst="line">
            <a:avLst/>
          </a:prstGeom>
          <a:noFill/>
          <a:ln w="9525">
            <a:solidFill>
              <a:srgbClr val="FF0000"/>
            </a:solidFill>
            <a:round/>
            <a:headEnd/>
            <a:tailEnd/>
          </a:ln>
        </xdr:spPr>
      </xdr:sp>
      <xdr:sp macro="" textlink="">
        <xdr:nvSpPr>
          <xdr:cNvPr id="191" name="Line 1285"/>
          <xdr:cNvSpPr>
            <a:spLocks noChangeShapeType="1"/>
          </xdr:cNvSpPr>
        </xdr:nvSpPr>
        <xdr:spPr bwMode="auto">
          <a:xfrm>
            <a:off x="4636" y="6384"/>
            <a:ext cx="211" cy="0"/>
          </a:xfrm>
          <a:prstGeom prst="line">
            <a:avLst/>
          </a:prstGeom>
          <a:noFill/>
          <a:ln w="9525">
            <a:solidFill>
              <a:srgbClr val="FF0000"/>
            </a:solidFill>
            <a:round/>
            <a:headEnd/>
            <a:tailEnd/>
          </a:ln>
        </xdr:spPr>
      </xdr:sp>
      <xdr:sp macro="" textlink="">
        <xdr:nvSpPr>
          <xdr:cNvPr id="192" name="Line 1286"/>
          <xdr:cNvSpPr>
            <a:spLocks noChangeShapeType="1"/>
          </xdr:cNvSpPr>
        </xdr:nvSpPr>
        <xdr:spPr bwMode="auto">
          <a:xfrm>
            <a:off x="4847" y="6384"/>
            <a:ext cx="0" cy="9701"/>
          </a:xfrm>
          <a:prstGeom prst="line">
            <a:avLst/>
          </a:prstGeom>
          <a:noFill/>
          <a:ln w="9525">
            <a:solidFill>
              <a:srgbClr val="FF0000"/>
            </a:solidFill>
            <a:round/>
            <a:headEnd/>
            <a:tailEnd/>
          </a:ln>
        </xdr:spPr>
      </xdr:sp>
      <xdr:sp macro="" textlink="">
        <xdr:nvSpPr>
          <xdr:cNvPr id="193" name="Line 1287"/>
          <xdr:cNvSpPr>
            <a:spLocks noChangeShapeType="1"/>
          </xdr:cNvSpPr>
        </xdr:nvSpPr>
        <xdr:spPr bwMode="auto">
          <a:xfrm>
            <a:off x="4847" y="16085"/>
            <a:ext cx="1077" cy="0"/>
          </a:xfrm>
          <a:prstGeom prst="line">
            <a:avLst/>
          </a:prstGeom>
          <a:noFill/>
          <a:ln w="9525">
            <a:solidFill>
              <a:srgbClr val="FF0000"/>
            </a:solidFill>
            <a:round/>
            <a:headEnd/>
            <a:tailEnd/>
          </a:ln>
        </xdr:spPr>
      </xdr:sp>
      <xdr:sp macro="" textlink="">
        <xdr:nvSpPr>
          <xdr:cNvPr id="194" name="Line 1288"/>
          <xdr:cNvSpPr>
            <a:spLocks noChangeShapeType="1"/>
          </xdr:cNvSpPr>
        </xdr:nvSpPr>
        <xdr:spPr bwMode="auto">
          <a:xfrm flipV="1">
            <a:off x="5924" y="10696"/>
            <a:ext cx="0" cy="5389"/>
          </a:xfrm>
          <a:prstGeom prst="line">
            <a:avLst/>
          </a:prstGeom>
          <a:noFill/>
          <a:ln w="9525">
            <a:solidFill>
              <a:srgbClr val="FF0000"/>
            </a:solidFill>
            <a:round/>
            <a:headEnd/>
            <a:tailEnd/>
          </a:ln>
        </xdr:spPr>
      </xdr:sp>
      <xdr:sp macro="" textlink="">
        <xdr:nvSpPr>
          <xdr:cNvPr id="195" name="Line 1289"/>
          <xdr:cNvSpPr>
            <a:spLocks noChangeShapeType="1"/>
          </xdr:cNvSpPr>
        </xdr:nvSpPr>
        <xdr:spPr bwMode="auto">
          <a:xfrm>
            <a:off x="5924" y="10696"/>
            <a:ext cx="430" cy="3"/>
          </a:xfrm>
          <a:prstGeom prst="line">
            <a:avLst/>
          </a:prstGeom>
          <a:noFill/>
          <a:ln w="9525">
            <a:solidFill>
              <a:srgbClr val="FF0000"/>
            </a:solidFill>
            <a:round/>
            <a:headEnd/>
            <a:tailEnd/>
          </a:ln>
        </xdr:spPr>
      </xdr:sp>
      <xdr:sp macro="" textlink="">
        <xdr:nvSpPr>
          <xdr:cNvPr id="196" name="Line 1290"/>
          <xdr:cNvSpPr>
            <a:spLocks noChangeShapeType="1"/>
          </xdr:cNvSpPr>
        </xdr:nvSpPr>
        <xdr:spPr bwMode="auto">
          <a:xfrm flipV="1">
            <a:off x="6354" y="10696"/>
            <a:ext cx="4" cy="5389"/>
          </a:xfrm>
          <a:prstGeom prst="line">
            <a:avLst/>
          </a:prstGeom>
          <a:noFill/>
          <a:ln w="9525">
            <a:solidFill>
              <a:srgbClr val="FF0000"/>
            </a:solidFill>
            <a:round/>
            <a:headEnd/>
            <a:tailEnd/>
          </a:ln>
        </xdr:spPr>
      </xdr:sp>
      <xdr:sp macro="" textlink="">
        <xdr:nvSpPr>
          <xdr:cNvPr id="197" name="Line 1291"/>
          <xdr:cNvSpPr>
            <a:spLocks noChangeShapeType="1"/>
          </xdr:cNvSpPr>
        </xdr:nvSpPr>
        <xdr:spPr bwMode="auto">
          <a:xfrm>
            <a:off x="6354" y="16085"/>
            <a:ext cx="1077" cy="4"/>
          </a:xfrm>
          <a:prstGeom prst="line">
            <a:avLst/>
          </a:prstGeom>
          <a:noFill/>
          <a:ln w="9525">
            <a:solidFill>
              <a:srgbClr val="FF0000"/>
            </a:solidFill>
            <a:round/>
            <a:headEnd/>
            <a:tailEnd/>
          </a:ln>
        </xdr:spPr>
      </xdr:sp>
      <xdr:sp macro="" textlink="">
        <xdr:nvSpPr>
          <xdr:cNvPr id="198" name="Line 1292"/>
          <xdr:cNvSpPr>
            <a:spLocks noChangeShapeType="1"/>
          </xdr:cNvSpPr>
        </xdr:nvSpPr>
        <xdr:spPr bwMode="auto">
          <a:xfrm flipV="1">
            <a:off x="7431" y="6384"/>
            <a:ext cx="0" cy="9701"/>
          </a:xfrm>
          <a:prstGeom prst="line">
            <a:avLst/>
          </a:prstGeom>
          <a:noFill/>
          <a:ln w="9525">
            <a:solidFill>
              <a:srgbClr val="FF0000"/>
            </a:solidFill>
            <a:round/>
            <a:headEnd/>
            <a:tailEnd/>
          </a:ln>
        </xdr:spPr>
      </xdr:sp>
      <xdr:sp macro="" textlink="">
        <xdr:nvSpPr>
          <xdr:cNvPr id="199" name="Line 1293"/>
          <xdr:cNvSpPr>
            <a:spLocks noChangeShapeType="1"/>
          </xdr:cNvSpPr>
        </xdr:nvSpPr>
        <xdr:spPr bwMode="auto">
          <a:xfrm>
            <a:off x="7431" y="6384"/>
            <a:ext cx="211" cy="4"/>
          </a:xfrm>
          <a:prstGeom prst="line">
            <a:avLst/>
          </a:prstGeom>
          <a:noFill/>
          <a:ln w="9525">
            <a:solidFill>
              <a:srgbClr val="FF0000"/>
            </a:solidFill>
            <a:round/>
            <a:headEnd/>
            <a:tailEnd/>
          </a:ln>
        </xdr:spPr>
      </xdr:sp>
      <xdr:sp macro="" textlink="">
        <xdr:nvSpPr>
          <xdr:cNvPr id="200" name="Line 1294"/>
          <xdr:cNvSpPr>
            <a:spLocks noChangeShapeType="1"/>
          </xdr:cNvSpPr>
        </xdr:nvSpPr>
        <xdr:spPr bwMode="auto">
          <a:xfrm>
            <a:off x="7665" y="6380"/>
            <a:ext cx="4" cy="3881"/>
          </a:xfrm>
          <a:prstGeom prst="line">
            <a:avLst/>
          </a:prstGeom>
          <a:noFill/>
          <a:ln w="9525">
            <a:solidFill>
              <a:srgbClr val="FF0000"/>
            </a:solidFill>
            <a:round/>
            <a:headEnd/>
            <a:tailEnd/>
          </a:ln>
        </xdr:spPr>
      </xdr:sp>
      <xdr:sp macro="" textlink="">
        <xdr:nvSpPr>
          <xdr:cNvPr id="201" name="Line 1295"/>
          <xdr:cNvSpPr>
            <a:spLocks noChangeShapeType="1"/>
          </xdr:cNvSpPr>
        </xdr:nvSpPr>
        <xdr:spPr bwMode="auto">
          <a:xfrm>
            <a:off x="7665" y="10261"/>
            <a:ext cx="861" cy="3"/>
          </a:xfrm>
          <a:prstGeom prst="line">
            <a:avLst/>
          </a:prstGeom>
          <a:noFill/>
          <a:ln w="9525">
            <a:solidFill>
              <a:srgbClr val="FF0000"/>
            </a:solidFill>
            <a:round/>
            <a:headEnd/>
            <a:tailEnd/>
          </a:ln>
        </xdr:spPr>
      </xdr:sp>
      <xdr:sp macro="" textlink="">
        <xdr:nvSpPr>
          <xdr:cNvPr id="202" name="Line 1296"/>
          <xdr:cNvSpPr>
            <a:spLocks noChangeShapeType="1"/>
          </xdr:cNvSpPr>
        </xdr:nvSpPr>
        <xdr:spPr bwMode="auto">
          <a:xfrm flipV="1">
            <a:off x="8526" y="6475"/>
            <a:ext cx="4" cy="3786"/>
          </a:xfrm>
          <a:prstGeom prst="line">
            <a:avLst/>
          </a:prstGeom>
          <a:noFill/>
          <a:ln w="9525">
            <a:solidFill>
              <a:srgbClr val="FF0000"/>
            </a:solidFill>
            <a:round/>
            <a:headEnd/>
            <a:tailEnd/>
          </a:ln>
        </xdr:spPr>
      </xdr:sp>
      <xdr:sp macro="" textlink="">
        <xdr:nvSpPr>
          <xdr:cNvPr id="203" name="Line 1297"/>
          <xdr:cNvSpPr>
            <a:spLocks noChangeShapeType="1"/>
          </xdr:cNvSpPr>
        </xdr:nvSpPr>
        <xdr:spPr bwMode="auto">
          <a:xfrm flipH="1">
            <a:off x="5807" y="4432"/>
            <a:ext cx="683" cy="0"/>
          </a:xfrm>
          <a:prstGeom prst="line">
            <a:avLst/>
          </a:prstGeom>
          <a:noFill/>
          <a:ln w="9525">
            <a:solidFill>
              <a:srgbClr val="FF0000"/>
            </a:solidFill>
            <a:round/>
            <a:headEnd/>
            <a:tailEnd/>
          </a:ln>
        </xdr:spPr>
      </xdr:sp>
    </xdr:grpSp>
    <xdr:clientData/>
  </xdr:twoCellAnchor>
  <xdr:twoCellAnchor>
    <xdr:from>
      <xdr:col>4</xdr:col>
      <xdr:colOff>838200</xdr:colOff>
      <xdr:row>39</xdr:row>
      <xdr:rowOff>60960</xdr:rowOff>
    </xdr:from>
    <xdr:to>
      <xdr:col>4</xdr:col>
      <xdr:colOff>975360</xdr:colOff>
      <xdr:row>41</xdr:row>
      <xdr:rowOff>83820</xdr:rowOff>
    </xdr:to>
    <xdr:grpSp>
      <xdr:nvGrpSpPr>
        <xdr:cNvPr id="204" name="Group 1298"/>
        <xdr:cNvGrpSpPr>
          <a:grpSpLocks/>
        </xdr:cNvGrpSpPr>
      </xdr:nvGrpSpPr>
      <xdr:grpSpPr bwMode="auto">
        <a:xfrm>
          <a:off x="5617029" y="5558246"/>
          <a:ext cx="137160" cy="360317"/>
          <a:chOff x="1857" y="2993"/>
          <a:chExt cx="4178" cy="10157"/>
        </a:xfrm>
      </xdr:grpSpPr>
      <xdr:grpSp>
        <xdr:nvGrpSpPr>
          <xdr:cNvPr id="205" name="Group 1299"/>
          <xdr:cNvGrpSpPr>
            <a:grpSpLocks/>
          </xdr:cNvGrpSpPr>
        </xdr:nvGrpSpPr>
        <xdr:grpSpPr bwMode="auto">
          <a:xfrm rot="1441604">
            <a:off x="4764" y="2993"/>
            <a:ext cx="570" cy="2736"/>
            <a:chOff x="4251" y="2947"/>
            <a:chExt cx="570" cy="2736"/>
          </a:xfrm>
        </xdr:grpSpPr>
        <xdr:sp macro="" textlink="">
          <xdr:nvSpPr>
            <xdr:cNvPr id="217" name="Line 1300"/>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218" name="Line 1301"/>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219" name="Line 1302"/>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220" name="Line 1303"/>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206" name="Group 1304"/>
          <xdr:cNvGrpSpPr>
            <a:grpSpLocks/>
          </xdr:cNvGrpSpPr>
        </xdr:nvGrpSpPr>
        <xdr:grpSpPr bwMode="auto">
          <a:xfrm rot="8464448">
            <a:off x="5468" y="5524"/>
            <a:ext cx="569" cy="2733"/>
            <a:chOff x="4677" y="4047"/>
            <a:chExt cx="495" cy="2386"/>
          </a:xfrm>
        </xdr:grpSpPr>
        <xdr:sp macro="" textlink="">
          <xdr:nvSpPr>
            <xdr:cNvPr id="213" name="Line 1305"/>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214" name="Line 1306"/>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215" name="Line 1307"/>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216" name="Line 1308"/>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207" name="Group 1309"/>
          <xdr:cNvGrpSpPr>
            <a:grpSpLocks/>
          </xdr:cNvGrpSpPr>
        </xdr:nvGrpSpPr>
        <xdr:grpSpPr bwMode="auto">
          <a:xfrm rot="-5905833">
            <a:off x="2936" y="4830"/>
            <a:ext cx="571" cy="2733"/>
            <a:chOff x="4677" y="4047"/>
            <a:chExt cx="495" cy="2386"/>
          </a:xfrm>
        </xdr:grpSpPr>
        <xdr:sp macro="" textlink="">
          <xdr:nvSpPr>
            <xdr:cNvPr id="209" name="Line 1310"/>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210" name="Line 1311"/>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211" name="Line 1312"/>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212" name="Line 1313"/>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208" name="AutoShape 1314"/>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39</xdr:row>
      <xdr:rowOff>76200</xdr:rowOff>
    </xdr:from>
    <xdr:to>
      <xdr:col>4</xdr:col>
      <xdr:colOff>342900</xdr:colOff>
      <xdr:row>41</xdr:row>
      <xdr:rowOff>83820</xdr:rowOff>
    </xdr:to>
    <xdr:grpSp>
      <xdr:nvGrpSpPr>
        <xdr:cNvPr id="221" name="Group 1315"/>
        <xdr:cNvGrpSpPr>
          <a:grpSpLocks/>
        </xdr:cNvGrpSpPr>
      </xdr:nvGrpSpPr>
      <xdr:grpSpPr bwMode="auto">
        <a:xfrm>
          <a:off x="4885509" y="5573486"/>
          <a:ext cx="236220" cy="345077"/>
          <a:chOff x="5163" y="2548"/>
          <a:chExt cx="2109" cy="2909"/>
        </a:xfrm>
      </xdr:grpSpPr>
      <xdr:sp macro="" textlink="">
        <xdr:nvSpPr>
          <xdr:cNvPr id="222" name="Rectangle 1316"/>
          <xdr:cNvSpPr>
            <a:spLocks noChangeArrowheads="1"/>
          </xdr:cNvSpPr>
        </xdr:nvSpPr>
        <xdr:spPr bwMode="auto">
          <a:xfrm>
            <a:off x="5163" y="2548"/>
            <a:ext cx="1938" cy="2736"/>
          </a:xfrm>
          <a:prstGeom prst="rect">
            <a:avLst/>
          </a:prstGeom>
          <a:solidFill>
            <a:srgbClr val="FFFFFF"/>
          </a:solidFill>
          <a:ln w="9525" algn="ctr">
            <a:solidFill>
              <a:srgbClr val="FF0000"/>
            </a:solidFill>
            <a:miter lim="800000"/>
            <a:headEnd/>
            <a:tailEnd/>
          </a:ln>
        </xdr:spPr>
      </xdr:sp>
      <xdr:sp macro="" textlink="">
        <xdr:nvSpPr>
          <xdr:cNvPr id="223" name="Line 1317"/>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224" name="Line 1318"/>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225" name="Line 1319"/>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226" name="Line 1320"/>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227" name="Line 1321"/>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228" name="Line 1322"/>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229" name="Line 1323"/>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230" name="Line 1324"/>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231" name="Line 1325"/>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232" name="Line 1326"/>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233" name="Line 1327"/>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234" name="Line 1328"/>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235" name="Line 1329"/>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39</xdr:row>
      <xdr:rowOff>114300</xdr:rowOff>
    </xdr:from>
    <xdr:to>
      <xdr:col>4</xdr:col>
      <xdr:colOff>1478280</xdr:colOff>
      <xdr:row>41</xdr:row>
      <xdr:rowOff>121920</xdr:rowOff>
    </xdr:to>
    <xdr:grpSp>
      <xdr:nvGrpSpPr>
        <xdr:cNvPr id="236" name="Group 1330"/>
        <xdr:cNvGrpSpPr>
          <a:grpSpLocks/>
        </xdr:cNvGrpSpPr>
      </xdr:nvGrpSpPr>
      <xdr:grpSpPr bwMode="auto">
        <a:xfrm>
          <a:off x="5952309" y="5611586"/>
          <a:ext cx="304800" cy="345077"/>
          <a:chOff x="5238" y="4632"/>
          <a:chExt cx="1597" cy="1311"/>
        </a:xfrm>
      </xdr:grpSpPr>
      <xdr:sp macro="" textlink="">
        <xdr:nvSpPr>
          <xdr:cNvPr id="237" name="Line 1331"/>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238" name="Line 1332"/>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239" name="Line 1333"/>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240" name="Line 1334"/>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241" name="Line 1335"/>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242" name="Line 1336"/>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243" name="Line 1337"/>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36</xdr:row>
      <xdr:rowOff>76200</xdr:rowOff>
    </xdr:from>
    <xdr:to>
      <xdr:col>4</xdr:col>
      <xdr:colOff>647700</xdr:colOff>
      <xdr:row>38</xdr:row>
      <xdr:rowOff>83820</xdr:rowOff>
    </xdr:to>
    <xdr:grpSp>
      <xdr:nvGrpSpPr>
        <xdr:cNvPr id="244" name="Group 1338"/>
        <xdr:cNvGrpSpPr>
          <a:grpSpLocks/>
        </xdr:cNvGrpSpPr>
      </xdr:nvGrpSpPr>
      <xdr:grpSpPr bwMode="auto">
        <a:xfrm>
          <a:off x="5319849" y="5040086"/>
          <a:ext cx="106680" cy="355963"/>
          <a:chOff x="3771" y="1155"/>
          <a:chExt cx="4759" cy="14934"/>
        </a:xfrm>
      </xdr:grpSpPr>
      <xdr:sp macro="" textlink="">
        <xdr:nvSpPr>
          <xdr:cNvPr id="245" name="Oval 1339"/>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246" name="Arc 1340"/>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247" name="Arc 1341"/>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248" name="Line 1342"/>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249" name="Line 1343"/>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250" name="Line 1344"/>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251" name="Line 1345"/>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252" name="Line 1346"/>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253" name="Line 1347"/>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254" name="Line 1348"/>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255" name="Line 1349"/>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256" name="Line 1350"/>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257" name="Line 1351"/>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258" name="Line 1352"/>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259" name="Line 1353"/>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260" name="Line 1354"/>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261" name="Line 1355"/>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262" name="Line 1356"/>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263" name="Line 1357"/>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36</xdr:row>
      <xdr:rowOff>60960</xdr:rowOff>
    </xdr:from>
    <xdr:to>
      <xdr:col>4</xdr:col>
      <xdr:colOff>975360</xdr:colOff>
      <xdr:row>38</xdr:row>
      <xdr:rowOff>83820</xdr:rowOff>
    </xdr:to>
    <xdr:grpSp>
      <xdr:nvGrpSpPr>
        <xdr:cNvPr id="264" name="Group 1358"/>
        <xdr:cNvGrpSpPr>
          <a:grpSpLocks/>
        </xdr:cNvGrpSpPr>
      </xdr:nvGrpSpPr>
      <xdr:grpSpPr bwMode="auto">
        <a:xfrm>
          <a:off x="5617029" y="5024846"/>
          <a:ext cx="137160" cy="371203"/>
          <a:chOff x="1857" y="2993"/>
          <a:chExt cx="4178" cy="10157"/>
        </a:xfrm>
      </xdr:grpSpPr>
      <xdr:grpSp>
        <xdr:nvGrpSpPr>
          <xdr:cNvPr id="265" name="Group 1359"/>
          <xdr:cNvGrpSpPr>
            <a:grpSpLocks/>
          </xdr:cNvGrpSpPr>
        </xdr:nvGrpSpPr>
        <xdr:grpSpPr bwMode="auto">
          <a:xfrm rot="1441604">
            <a:off x="4764" y="2993"/>
            <a:ext cx="570" cy="2736"/>
            <a:chOff x="4251" y="2947"/>
            <a:chExt cx="570" cy="2736"/>
          </a:xfrm>
        </xdr:grpSpPr>
        <xdr:sp macro="" textlink="">
          <xdr:nvSpPr>
            <xdr:cNvPr id="277" name="Line 1360"/>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278" name="Line 1361"/>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279" name="Line 1362"/>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280" name="Line 1363"/>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266" name="Group 1364"/>
          <xdr:cNvGrpSpPr>
            <a:grpSpLocks/>
          </xdr:cNvGrpSpPr>
        </xdr:nvGrpSpPr>
        <xdr:grpSpPr bwMode="auto">
          <a:xfrm rot="8464448">
            <a:off x="5468" y="5524"/>
            <a:ext cx="569" cy="2733"/>
            <a:chOff x="4677" y="4047"/>
            <a:chExt cx="495" cy="2386"/>
          </a:xfrm>
        </xdr:grpSpPr>
        <xdr:sp macro="" textlink="">
          <xdr:nvSpPr>
            <xdr:cNvPr id="273" name="Line 1365"/>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274" name="Line 1366"/>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275" name="Line 1367"/>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276" name="Line 1368"/>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267" name="Group 1369"/>
          <xdr:cNvGrpSpPr>
            <a:grpSpLocks/>
          </xdr:cNvGrpSpPr>
        </xdr:nvGrpSpPr>
        <xdr:grpSpPr bwMode="auto">
          <a:xfrm rot="-5905833">
            <a:off x="2936" y="4830"/>
            <a:ext cx="571" cy="2733"/>
            <a:chOff x="4677" y="4047"/>
            <a:chExt cx="495" cy="2386"/>
          </a:xfrm>
        </xdr:grpSpPr>
        <xdr:sp macro="" textlink="">
          <xdr:nvSpPr>
            <xdr:cNvPr id="269" name="Line 1370"/>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270" name="Line 1371"/>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271" name="Line 1372"/>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272" name="Line 1373"/>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268" name="AutoShape 1374"/>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36</xdr:row>
      <xdr:rowOff>76200</xdr:rowOff>
    </xdr:from>
    <xdr:to>
      <xdr:col>4</xdr:col>
      <xdr:colOff>342900</xdr:colOff>
      <xdr:row>38</xdr:row>
      <xdr:rowOff>83820</xdr:rowOff>
    </xdr:to>
    <xdr:grpSp>
      <xdr:nvGrpSpPr>
        <xdr:cNvPr id="281" name="Group 1375"/>
        <xdr:cNvGrpSpPr>
          <a:grpSpLocks/>
        </xdr:cNvGrpSpPr>
      </xdr:nvGrpSpPr>
      <xdr:grpSpPr bwMode="auto">
        <a:xfrm>
          <a:off x="4885509" y="5040086"/>
          <a:ext cx="236220" cy="355963"/>
          <a:chOff x="5163" y="2548"/>
          <a:chExt cx="2109" cy="2909"/>
        </a:xfrm>
      </xdr:grpSpPr>
      <xdr:sp macro="" textlink="">
        <xdr:nvSpPr>
          <xdr:cNvPr id="282" name="Rectangle 1376"/>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283" name="Line 1377"/>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284" name="Line 1378"/>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285" name="Line 1379"/>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286" name="Line 1380"/>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287" name="Line 1381"/>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288" name="Line 1382"/>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289" name="Line 1383"/>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290" name="Line 1384"/>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291" name="Line 1385"/>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292" name="Line 1386"/>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293" name="Line 1387"/>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294" name="Line 1388"/>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295" name="Line 1389"/>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36</xdr:row>
      <xdr:rowOff>114300</xdr:rowOff>
    </xdr:from>
    <xdr:to>
      <xdr:col>4</xdr:col>
      <xdr:colOff>1478280</xdr:colOff>
      <xdr:row>38</xdr:row>
      <xdr:rowOff>121920</xdr:rowOff>
    </xdr:to>
    <xdr:grpSp>
      <xdr:nvGrpSpPr>
        <xdr:cNvPr id="296" name="Group 1390"/>
        <xdr:cNvGrpSpPr>
          <a:grpSpLocks/>
        </xdr:cNvGrpSpPr>
      </xdr:nvGrpSpPr>
      <xdr:grpSpPr bwMode="auto">
        <a:xfrm>
          <a:off x="5952309" y="5078186"/>
          <a:ext cx="304800" cy="355963"/>
          <a:chOff x="5238" y="4632"/>
          <a:chExt cx="1597" cy="1311"/>
        </a:xfrm>
      </xdr:grpSpPr>
      <xdr:sp macro="" textlink="">
        <xdr:nvSpPr>
          <xdr:cNvPr id="297" name="Line 1391"/>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298" name="Line 1392"/>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299" name="Line 1393"/>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300" name="Line 1394"/>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301" name="Line 1395"/>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302" name="Line 1396"/>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303" name="Line 1397"/>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33</xdr:row>
      <xdr:rowOff>76200</xdr:rowOff>
    </xdr:from>
    <xdr:to>
      <xdr:col>4</xdr:col>
      <xdr:colOff>647700</xdr:colOff>
      <xdr:row>35</xdr:row>
      <xdr:rowOff>83820</xdr:rowOff>
    </xdr:to>
    <xdr:grpSp>
      <xdr:nvGrpSpPr>
        <xdr:cNvPr id="304" name="Group 1458"/>
        <xdr:cNvGrpSpPr>
          <a:grpSpLocks/>
        </xdr:cNvGrpSpPr>
      </xdr:nvGrpSpPr>
      <xdr:grpSpPr bwMode="auto">
        <a:xfrm>
          <a:off x="5319849" y="4506686"/>
          <a:ext cx="106680" cy="355963"/>
          <a:chOff x="3771" y="1155"/>
          <a:chExt cx="4759" cy="14934"/>
        </a:xfrm>
      </xdr:grpSpPr>
      <xdr:sp macro="" textlink="">
        <xdr:nvSpPr>
          <xdr:cNvPr id="305" name="Oval 1459"/>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306" name="Arc 1460"/>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307" name="Arc 1461"/>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308" name="Line 1462"/>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309" name="Line 1463"/>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310" name="Line 1464"/>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311" name="Line 1465"/>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312" name="Line 1466"/>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313" name="Line 1467"/>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314" name="Line 1468"/>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315" name="Line 1469"/>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316" name="Line 1470"/>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317" name="Line 1471"/>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318" name="Line 1472"/>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319" name="Line 1473"/>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320" name="Line 1474"/>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321" name="Line 1475"/>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322" name="Line 1476"/>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323" name="Line 1477"/>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33</xdr:row>
      <xdr:rowOff>60960</xdr:rowOff>
    </xdr:from>
    <xdr:to>
      <xdr:col>4</xdr:col>
      <xdr:colOff>975360</xdr:colOff>
      <xdr:row>35</xdr:row>
      <xdr:rowOff>83820</xdr:rowOff>
    </xdr:to>
    <xdr:grpSp>
      <xdr:nvGrpSpPr>
        <xdr:cNvPr id="324" name="Group 1478"/>
        <xdr:cNvGrpSpPr>
          <a:grpSpLocks/>
        </xdr:cNvGrpSpPr>
      </xdr:nvGrpSpPr>
      <xdr:grpSpPr bwMode="auto">
        <a:xfrm>
          <a:off x="5617029" y="4491446"/>
          <a:ext cx="137160" cy="371203"/>
          <a:chOff x="1857" y="2993"/>
          <a:chExt cx="4178" cy="10157"/>
        </a:xfrm>
      </xdr:grpSpPr>
      <xdr:grpSp>
        <xdr:nvGrpSpPr>
          <xdr:cNvPr id="325" name="Group 1479"/>
          <xdr:cNvGrpSpPr>
            <a:grpSpLocks/>
          </xdr:cNvGrpSpPr>
        </xdr:nvGrpSpPr>
        <xdr:grpSpPr bwMode="auto">
          <a:xfrm rot="1441604">
            <a:off x="4764" y="2993"/>
            <a:ext cx="570" cy="2736"/>
            <a:chOff x="4251" y="2947"/>
            <a:chExt cx="570" cy="2736"/>
          </a:xfrm>
        </xdr:grpSpPr>
        <xdr:sp macro="" textlink="">
          <xdr:nvSpPr>
            <xdr:cNvPr id="337" name="Line 1480"/>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338" name="Line 1481"/>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339" name="Line 1482"/>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340" name="Line 1483"/>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326" name="Group 1484"/>
          <xdr:cNvGrpSpPr>
            <a:grpSpLocks/>
          </xdr:cNvGrpSpPr>
        </xdr:nvGrpSpPr>
        <xdr:grpSpPr bwMode="auto">
          <a:xfrm rot="8464448">
            <a:off x="5468" y="5524"/>
            <a:ext cx="569" cy="2733"/>
            <a:chOff x="4677" y="4047"/>
            <a:chExt cx="495" cy="2386"/>
          </a:xfrm>
        </xdr:grpSpPr>
        <xdr:sp macro="" textlink="">
          <xdr:nvSpPr>
            <xdr:cNvPr id="333" name="Line 1485"/>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334" name="Line 1486"/>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335" name="Line 1487"/>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336" name="Line 1488"/>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327" name="Group 1489"/>
          <xdr:cNvGrpSpPr>
            <a:grpSpLocks/>
          </xdr:cNvGrpSpPr>
        </xdr:nvGrpSpPr>
        <xdr:grpSpPr bwMode="auto">
          <a:xfrm rot="-5905833">
            <a:off x="2936" y="4830"/>
            <a:ext cx="571" cy="2733"/>
            <a:chOff x="4677" y="4047"/>
            <a:chExt cx="495" cy="2386"/>
          </a:xfrm>
        </xdr:grpSpPr>
        <xdr:sp macro="" textlink="">
          <xdr:nvSpPr>
            <xdr:cNvPr id="329" name="Line 1490"/>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330" name="Line 1491"/>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331" name="Line 1492"/>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332" name="Line 1493"/>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328" name="AutoShape 1494"/>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33</xdr:row>
      <xdr:rowOff>76200</xdr:rowOff>
    </xdr:from>
    <xdr:to>
      <xdr:col>4</xdr:col>
      <xdr:colOff>342900</xdr:colOff>
      <xdr:row>35</xdr:row>
      <xdr:rowOff>83820</xdr:rowOff>
    </xdr:to>
    <xdr:grpSp>
      <xdr:nvGrpSpPr>
        <xdr:cNvPr id="341" name="Group 1495"/>
        <xdr:cNvGrpSpPr>
          <a:grpSpLocks/>
        </xdr:cNvGrpSpPr>
      </xdr:nvGrpSpPr>
      <xdr:grpSpPr bwMode="auto">
        <a:xfrm>
          <a:off x="4885509" y="4506686"/>
          <a:ext cx="236220" cy="355963"/>
          <a:chOff x="5163" y="2548"/>
          <a:chExt cx="2109" cy="2909"/>
        </a:xfrm>
      </xdr:grpSpPr>
      <xdr:sp macro="" textlink="">
        <xdr:nvSpPr>
          <xdr:cNvPr id="342" name="Rectangle 1496"/>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343" name="Line 1497"/>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344" name="Line 1498"/>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345" name="Line 1499"/>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346" name="Line 1500"/>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347" name="Line 1501"/>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348" name="Line 1502"/>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349" name="Line 1503"/>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350" name="Line 1504"/>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351" name="Line 1505"/>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352" name="Line 1506"/>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353" name="Line 1507"/>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354" name="Line 1508"/>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355" name="Line 1509"/>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33</xdr:row>
      <xdr:rowOff>114300</xdr:rowOff>
    </xdr:from>
    <xdr:to>
      <xdr:col>4</xdr:col>
      <xdr:colOff>1478280</xdr:colOff>
      <xdr:row>35</xdr:row>
      <xdr:rowOff>121920</xdr:rowOff>
    </xdr:to>
    <xdr:grpSp>
      <xdr:nvGrpSpPr>
        <xdr:cNvPr id="356" name="Group 1510"/>
        <xdr:cNvGrpSpPr>
          <a:grpSpLocks/>
        </xdr:cNvGrpSpPr>
      </xdr:nvGrpSpPr>
      <xdr:grpSpPr bwMode="auto">
        <a:xfrm>
          <a:off x="5952309" y="4544786"/>
          <a:ext cx="304800" cy="355963"/>
          <a:chOff x="5238" y="4632"/>
          <a:chExt cx="1597" cy="1311"/>
        </a:xfrm>
      </xdr:grpSpPr>
      <xdr:sp macro="" textlink="">
        <xdr:nvSpPr>
          <xdr:cNvPr id="357" name="Line 1511"/>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358" name="Line 1512"/>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359" name="Line 1513"/>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360" name="Line 1514"/>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361" name="Line 1515"/>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362" name="Line 1516"/>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363" name="Line 1517"/>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30</xdr:row>
      <xdr:rowOff>76200</xdr:rowOff>
    </xdr:from>
    <xdr:to>
      <xdr:col>4</xdr:col>
      <xdr:colOff>647700</xdr:colOff>
      <xdr:row>32</xdr:row>
      <xdr:rowOff>83820</xdr:rowOff>
    </xdr:to>
    <xdr:grpSp>
      <xdr:nvGrpSpPr>
        <xdr:cNvPr id="364" name="Group 1518"/>
        <xdr:cNvGrpSpPr>
          <a:grpSpLocks/>
        </xdr:cNvGrpSpPr>
      </xdr:nvGrpSpPr>
      <xdr:grpSpPr bwMode="auto">
        <a:xfrm>
          <a:off x="5319849" y="3973286"/>
          <a:ext cx="106680" cy="355963"/>
          <a:chOff x="3771" y="1155"/>
          <a:chExt cx="4759" cy="14934"/>
        </a:xfrm>
      </xdr:grpSpPr>
      <xdr:sp macro="" textlink="">
        <xdr:nvSpPr>
          <xdr:cNvPr id="365" name="Oval 1519"/>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366" name="Arc 1520"/>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367" name="Arc 1521"/>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368" name="Line 1522"/>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369" name="Line 1523"/>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370" name="Line 1524"/>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371" name="Line 1525"/>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372" name="Line 1526"/>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373" name="Line 1527"/>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374" name="Line 1528"/>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375" name="Line 1529"/>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376" name="Line 1530"/>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377" name="Line 1531"/>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378" name="Line 1532"/>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379" name="Line 1533"/>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380" name="Line 1534"/>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381" name="Line 1535"/>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382" name="Line 1536"/>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383" name="Line 1537"/>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30</xdr:row>
      <xdr:rowOff>60960</xdr:rowOff>
    </xdr:from>
    <xdr:to>
      <xdr:col>4</xdr:col>
      <xdr:colOff>975360</xdr:colOff>
      <xdr:row>32</xdr:row>
      <xdr:rowOff>83820</xdr:rowOff>
    </xdr:to>
    <xdr:grpSp>
      <xdr:nvGrpSpPr>
        <xdr:cNvPr id="384" name="Group 1538"/>
        <xdr:cNvGrpSpPr>
          <a:grpSpLocks/>
        </xdr:cNvGrpSpPr>
      </xdr:nvGrpSpPr>
      <xdr:grpSpPr bwMode="auto">
        <a:xfrm>
          <a:off x="5617029" y="3958046"/>
          <a:ext cx="137160" cy="371203"/>
          <a:chOff x="1857" y="2993"/>
          <a:chExt cx="4178" cy="10157"/>
        </a:xfrm>
      </xdr:grpSpPr>
      <xdr:grpSp>
        <xdr:nvGrpSpPr>
          <xdr:cNvPr id="385" name="Group 1539"/>
          <xdr:cNvGrpSpPr>
            <a:grpSpLocks/>
          </xdr:cNvGrpSpPr>
        </xdr:nvGrpSpPr>
        <xdr:grpSpPr bwMode="auto">
          <a:xfrm rot="1441604">
            <a:off x="4764" y="2993"/>
            <a:ext cx="570" cy="2736"/>
            <a:chOff x="4251" y="2947"/>
            <a:chExt cx="570" cy="2736"/>
          </a:xfrm>
        </xdr:grpSpPr>
        <xdr:sp macro="" textlink="">
          <xdr:nvSpPr>
            <xdr:cNvPr id="397" name="Line 1540"/>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398" name="Line 1541"/>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399" name="Line 1542"/>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400" name="Line 1543"/>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386" name="Group 1544"/>
          <xdr:cNvGrpSpPr>
            <a:grpSpLocks/>
          </xdr:cNvGrpSpPr>
        </xdr:nvGrpSpPr>
        <xdr:grpSpPr bwMode="auto">
          <a:xfrm rot="8464448">
            <a:off x="5468" y="5524"/>
            <a:ext cx="569" cy="2733"/>
            <a:chOff x="4677" y="4047"/>
            <a:chExt cx="495" cy="2386"/>
          </a:xfrm>
        </xdr:grpSpPr>
        <xdr:sp macro="" textlink="">
          <xdr:nvSpPr>
            <xdr:cNvPr id="393" name="Line 1545"/>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394" name="Line 1546"/>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395" name="Line 1547"/>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396" name="Line 1548"/>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387" name="Group 1549"/>
          <xdr:cNvGrpSpPr>
            <a:grpSpLocks/>
          </xdr:cNvGrpSpPr>
        </xdr:nvGrpSpPr>
        <xdr:grpSpPr bwMode="auto">
          <a:xfrm rot="-5905833">
            <a:off x="2936" y="4830"/>
            <a:ext cx="571" cy="2733"/>
            <a:chOff x="4677" y="4047"/>
            <a:chExt cx="495" cy="2386"/>
          </a:xfrm>
        </xdr:grpSpPr>
        <xdr:sp macro="" textlink="">
          <xdr:nvSpPr>
            <xdr:cNvPr id="389" name="Line 1550"/>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390" name="Line 1551"/>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391" name="Line 1552"/>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392" name="Line 1553"/>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388" name="AutoShape 1554"/>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30</xdr:row>
      <xdr:rowOff>76200</xdr:rowOff>
    </xdr:from>
    <xdr:to>
      <xdr:col>4</xdr:col>
      <xdr:colOff>342900</xdr:colOff>
      <xdr:row>32</xdr:row>
      <xdr:rowOff>83820</xdr:rowOff>
    </xdr:to>
    <xdr:grpSp>
      <xdr:nvGrpSpPr>
        <xdr:cNvPr id="401" name="Group 1555"/>
        <xdr:cNvGrpSpPr>
          <a:grpSpLocks/>
        </xdr:cNvGrpSpPr>
      </xdr:nvGrpSpPr>
      <xdr:grpSpPr bwMode="auto">
        <a:xfrm>
          <a:off x="4885509" y="3973286"/>
          <a:ext cx="236220" cy="355963"/>
          <a:chOff x="5163" y="2548"/>
          <a:chExt cx="2109" cy="2909"/>
        </a:xfrm>
      </xdr:grpSpPr>
      <xdr:sp macro="" textlink="">
        <xdr:nvSpPr>
          <xdr:cNvPr id="402" name="Rectangle 1556"/>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403" name="Line 1557"/>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404" name="Line 1558"/>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405" name="Line 1559"/>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406" name="Line 1560"/>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407" name="Line 1561"/>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408" name="Line 1562"/>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409" name="Line 1563"/>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410" name="Line 1564"/>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411" name="Line 1565"/>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412" name="Line 1566"/>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413" name="Line 1567"/>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414" name="Line 1568"/>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415" name="Line 1569"/>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30</xdr:row>
      <xdr:rowOff>114300</xdr:rowOff>
    </xdr:from>
    <xdr:to>
      <xdr:col>4</xdr:col>
      <xdr:colOff>1478280</xdr:colOff>
      <xdr:row>32</xdr:row>
      <xdr:rowOff>121920</xdr:rowOff>
    </xdr:to>
    <xdr:grpSp>
      <xdr:nvGrpSpPr>
        <xdr:cNvPr id="416" name="Group 1570"/>
        <xdr:cNvGrpSpPr>
          <a:grpSpLocks/>
        </xdr:cNvGrpSpPr>
      </xdr:nvGrpSpPr>
      <xdr:grpSpPr bwMode="auto">
        <a:xfrm>
          <a:off x="5952309" y="4011386"/>
          <a:ext cx="304800" cy="355963"/>
          <a:chOff x="5238" y="4632"/>
          <a:chExt cx="1597" cy="1311"/>
        </a:xfrm>
      </xdr:grpSpPr>
      <xdr:sp macro="" textlink="">
        <xdr:nvSpPr>
          <xdr:cNvPr id="417" name="Line 1571"/>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418" name="Line 1572"/>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419" name="Line 1573"/>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420" name="Line 1574"/>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421" name="Line 1575"/>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422" name="Line 1576"/>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423" name="Line 1577"/>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168</xdr:row>
      <xdr:rowOff>76200</xdr:rowOff>
    </xdr:from>
    <xdr:to>
      <xdr:col>4</xdr:col>
      <xdr:colOff>647700</xdr:colOff>
      <xdr:row>170</xdr:row>
      <xdr:rowOff>83820</xdr:rowOff>
    </xdr:to>
    <xdr:grpSp>
      <xdr:nvGrpSpPr>
        <xdr:cNvPr id="544" name="Group 4311"/>
        <xdr:cNvGrpSpPr>
          <a:grpSpLocks/>
        </xdr:cNvGrpSpPr>
      </xdr:nvGrpSpPr>
      <xdr:grpSpPr bwMode="auto">
        <a:xfrm>
          <a:off x="5319849" y="28346400"/>
          <a:ext cx="106680" cy="355963"/>
          <a:chOff x="3771" y="1155"/>
          <a:chExt cx="4759" cy="14934"/>
        </a:xfrm>
      </xdr:grpSpPr>
      <xdr:sp macro="" textlink="">
        <xdr:nvSpPr>
          <xdr:cNvPr id="545" name="Oval 4312"/>
          <xdr:cNvSpPr>
            <a:spLocks noChangeArrowheads="1"/>
          </xdr:cNvSpPr>
        </xdr:nvSpPr>
        <xdr:spPr bwMode="auto">
          <a:xfrm>
            <a:off x="4643" y="1155"/>
            <a:ext cx="2999" cy="3003"/>
          </a:xfrm>
          <a:prstGeom prst="ellipse">
            <a:avLst/>
          </a:prstGeom>
          <a:solidFill>
            <a:srgbClr val="FFFFFF"/>
          </a:solidFill>
          <a:ln w="9525" algn="ctr">
            <a:solidFill>
              <a:srgbClr val="FF0000"/>
            </a:solidFill>
            <a:round/>
            <a:headEnd/>
            <a:tailEnd/>
          </a:ln>
        </xdr:spPr>
      </xdr:sp>
      <xdr:sp macro="" textlink="">
        <xdr:nvSpPr>
          <xdr:cNvPr id="546" name="Arc 4313"/>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547" name="Arc 4314"/>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548" name="Line 4315"/>
          <xdr:cNvSpPr>
            <a:spLocks noChangeShapeType="1"/>
          </xdr:cNvSpPr>
        </xdr:nvSpPr>
        <xdr:spPr bwMode="auto">
          <a:xfrm>
            <a:off x="3771" y="6471"/>
            <a:ext cx="0" cy="3793"/>
          </a:xfrm>
          <a:prstGeom prst="line">
            <a:avLst/>
          </a:prstGeom>
          <a:noFill/>
          <a:ln w="9525">
            <a:solidFill>
              <a:srgbClr val="FF0000"/>
            </a:solidFill>
            <a:round/>
            <a:headEnd/>
            <a:tailEnd/>
          </a:ln>
        </xdr:spPr>
      </xdr:sp>
      <xdr:sp macro="" textlink="">
        <xdr:nvSpPr>
          <xdr:cNvPr id="549" name="Line 4316"/>
          <xdr:cNvSpPr>
            <a:spLocks noChangeShapeType="1"/>
          </xdr:cNvSpPr>
        </xdr:nvSpPr>
        <xdr:spPr bwMode="auto">
          <a:xfrm>
            <a:off x="3771" y="10264"/>
            <a:ext cx="861" cy="4"/>
          </a:xfrm>
          <a:prstGeom prst="line">
            <a:avLst/>
          </a:prstGeom>
          <a:noFill/>
          <a:ln w="9525">
            <a:solidFill>
              <a:srgbClr val="FF0000"/>
            </a:solidFill>
            <a:round/>
            <a:headEnd/>
            <a:tailEnd/>
          </a:ln>
        </xdr:spPr>
      </xdr:sp>
      <xdr:sp macro="" textlink="">
        <xdr:nvSpPr>
          <xdr:cNvPr id="550" name="Line 4317"/>
          <xdr:cNvSpPr>
            <a:spLocks noChangeShapeType="1"/>
          </xdr:cNvSpPr>
        </xdr:nvSpPr>
        <xdr:spPr bwMode="auto">
          <a:xfrm flipV="1">
            <a:off x="4632" y="6384"/>
            <a:ext cx="4" cy="3880"/>
          </a:xfrm>
          <a:prstGeom prst="line">
            <a:avLst/>
          </a:prstGeom>
          <a:noFill/>
          <a:ln w="9525">
            <a:solidFill>
              <a:srgbClr val="FF0000"/>
            </a:solidFill>
            <a:round/>
            <a:headEnd/>
            <a:tailEnd/>
          </a:ln>
        </xdr:spPr>
      </xdr:sp>
      <xdr:sp macro="" textlink="">
        <xdr:nvSpPr>
          <xdr:cNvPr id="551" name="Line 4318"/>
          <xdr:cNvSpPr>
            <a:spLocks noChangeShapeType="1"/>
          </xdr:cNvSpPr>
        </xdr:nvSpPr>
        <xdr:spPr bwMode="auto">
          <a:xfrm>
            <a:off x="4636" y="6384"/>
            <a:ext cx="211" cy="0"/>
          </a:xfrm>
          <a:prstGeom prst="line">
            <a:avLst/>
          </a:prstGeom>
          <a:noFill/>
          <a:ln w="9525">
            <a:solidFill>
              <a:srgbClr val="FF0000"/>
            </a:solidFill>
            <a:round/>
            <a:headEnd/>
            <a:tailEnd/>
          </a:ln>
        </xdr:spPr>
      </xdr:sp>
      <xdr:sp macro="" textlink="">
        <xdr:nvSpPr>
          <xdr:cNvPr id="552" name="Line 4319"/>
          <xdr:cNvSpPr>
            <a:spLocks noChangeShapeType="1"/>
          </xdr:cNvSpPr>
        </xdr:nvSpPr>
        <xdr:spPr bwMode="auto">
          <a:xfrm>
            <a:off x="4847" y="6384"/>
            <a:ext cx="0" cy="9701"/>
          </a:xfrm>
          <a:prstGeom prst="line">
            <a:avLst/>
          </a:prstGeom>
          <a:noFill/>
          <a:ln w="9525">
            <a:solidFill>
              <a:srgbClr val="FF0000"/>
            </a:solidFill>
            <a:round/>
            <a:headEnd/>
            <a:tailEnd/>
          </a:ln>
        </xdr:spPr>
      </xdr:sp>
      <xdr:sp macro="" textlink="">
        <xdr:nvSpPr>
          <xdr:cNvPr id="553" name="Line 4320"/>
          <xdr:cNvSpPr>
            <a:spLocks noChangeShapeType="1"/>
          </xdr:cNvSpPr>
        </xdr:nvSpPr>
        <xdr:spPr bwMode="auto">
          <a:xfrm>
            <a:off x="4847" y="16085"/>
            <a:ext cx="1077" cy="0"/>
          </a:xfrm>
          <a:prstGeom prst="line">
            <a:avLst/>
          </a:prstGeom>
          <a:noFill/>
          <a:ln w="9525">
            <a:solidFill>
              <a:srgbClr val="FF0000"/>
            </a:solidFill>
            <a:round/>
            <a:headEnd/>
            <a:tailEnd/>
          </a:ln>
        </xdr:spPr>
      </xdr:sp>
      <xdr:sp macro="" textlink="">
        <xdr:nvSpPr>
          <xdr:cNvPr id="554" name="Line 4321"/>
          <xdr:cNvSpPr>
            <a:spLocks noChangeShapeType="1"/>
          </xdr:cNvSpPr>
        </xdr:nvSpPr>
        <xdr:spPr bwMode="auto">
          <a:xfrm flipV="1">
            <a:off x="5924" y="10696"/>
            <a:ext cx="0" cy="5389"/>
          </a:xfrm>
          <a:prstGeom prst="line">
            <a:avLst/>
          </a:prstGeom>
          <a:noFill/>
          <a:ln w="9525">
            <a:solidFill>
              <a:srgbClr val="FF0000"/>
            </a:solidFill>
            <a:round/>
            <a:headEnd/>
            <a:tailEnd/>
          </a:ln>
        </xdr:spPr>
      </xdr:sp>
      <xdr:sp macro="" textlink="">
        <xdr:nvSpPr>
          <xdr:cNvPr id="555" name="Line 4322"/>
          <xdr:cNvSpPr>
            <a:spLocks noChangeShapeType="1"/>
          </xdr:cNvSpPr>
        </xdr:nvSpPr>
        <xdr:spPr bwMode="auto">
          <a:xfrm>
            <a:off x="5924" y="10696"/>
            <a:ext cx="430" cy="3"/>
          </a:xfrm>
          <a:prstGeom prst="line">
            <a:avLst/>
          </a:prstGeom>
          <a:noFill/>
          <a:ln w="9525">
            <a:solidFill>
              <a:srgbClr val="FF0000"/>
            </a:solidFill>
            <a:round/>
            <a:headEnd/>
            <a:tailEnd/>
          </a:ln>
        </xdr:spPr>
      </xdr:sp>
      <xdr:sp macro="" textlink="">
        <xdr:nvSpPr>
          <xdr:cNvPr id="556" name="Line 4323"/>
          <xdr:cNvSpPr>
            <a:spLocks noChangeShapeType="1"/>
          </xdr:cNvSpPr>
        </xdr:nvSpPr>
        <xdr:spPr bwMode="auto">
          <a:xfrm flipV="1">
            <a:off x="6354" y="10696"/>
            <a:ext cx="4" cy="5389"/>
          </a:xfrm>
          <a:prstGeom prst="line">
            <a:avLst/>
          </a:prstGeom>
          <a:noFill/>
          <a:ln w="9525">
            <a:solidFill>
              <a:srgbClr val="FF0000"/>
            </a:solidFill>
            <a:round/>
            <a:headEnd/>
            <a:tailEnd/>
          </a:ln>
        </xdr:spPr>
      </xdr:sp>
      <xdr:sp macro="" textlink="">
        <xdr:nvSpPr>
          <xdr:cNvPr id="557" name="Line 4324"/>
          <xdr:cNvSpPr>
            <a:spLocks noChangeShapeType="1"/>
          </xdr:cNvSpPr>
        </xdr:nvSpPr>
        <xdr:spPr bwMode="auto">
          <a:xfrm>
            <a:off x="6354" y="16085"/>
            <a:ext cx="1077" cy="4"/>
          </a:xfrm>
          <a:prstGeom prst="line">
            <a:avLst/>
          </a:prstGeom>
          <a:noFill/>
          <a:ln w="9525">
            <a:solidFill>
              <a:srgbClr val="FF0000"/>
            </a:solidFill>
            <a:round/>
            <a:headEnd/>
            <a:tailEnd/>
          </a:ln>
        </xdr:spPr>
      </xdr:sp>
      <xdr:sp macro="" textlink="">
        <xdr:nvSpPr>
          <xdr:cNvPr id="558" name="Line 4325"/>
          <xdr:cNvSpPr>
            <a:spLocks noChangeShapeType="1"/>
          </xdr:cNvSpPr>
        </xdr:nvSpPr>
        <xdr:spPr bwMode="auto">
          <a:xfrm flipV="1">
            <a:off x="7431" y="6384"/>
            <a:ext cx="0" cy="9701"/>
          </a:xfrm>
          <a:prstGeom prst="line">
            <a:avLst/>
          </a:prstGeom>
          <a:noFill/>
          <a:ln w="9525">
            <a:solidFill>
              <a:srgbClr val="FF0000"/>
            </a:solidFill>
            <a:round/>
            <a:headEnd/>
            <a:tailEnd/>
          </a:ln>
        </xdr:spPr>
      </xdr:sp>
      <xdr:sp macro="" textlink="">
        <xdr:nvSpPr>
          <xdr:cNvPr id="559" name="Line 4326"/>
          <xdr:cNvSpPr>
            <a:spLocks noChangeShapeType="1"/>
          </xdr:cNvSpPr>
        </xdr:nvSpPr>
        <xdr:spPr bwMode="auto">
          <a:xfrm>
            <a:off x="7431" y="6384"/>
            <a:ext cx="211" cy="4"/>
          </a:xfrm>
          <a:prstGeom prst="line">
            <a:avLst/>
          </a:prstGeom>
          <a:noFill/>
          <a:ln w="9525">
            <a:solidFill>
              <a:srgbClr val="FF0000"/>
            </a:solidFill>
            <a:round/>
            <a:headEnd/>
            <a:tailEnd/>
          </a:ln>
        </xdr:spPr>
      </xdr:sp>
      <xdr:sp macro="" textlink="">
        <xdr:nvSpPr>
          <xdr:cNvPr id="560" name="Line 4327"/>
          <xdr:cNvSpPr>
            <a:spLocks noChangeShapeType="1"/>
          </xdr:cNvSpPr>
        </xdr:nvSpPr>
        <xdr:spPr bwMode="auto">
          <a:xfrm>
            <a:off x="7665" y="6380"/>
            <a:ext cx="4" cy="3881"/>
          </a:xfrm>
          <a:prstGeom prst="line">
            <a:avLst/>
          </a:prstGeom>
          <a:noFill/>
          <a:ln w="9525">
            <a:solidFill>
              <a:srgbClr val="FF0000"/>
            </a:solidFill>
            <a:round/>
            <a:headEnd/>
            <a:tailEnd/>
          </a:ln>
        </xdr:spPr>
      </xdr:sp>
      <xdr:sp macro="" textlink="">
        <xdr:nvSpPr>
          <xdr:cNvPr id="561" name="Line 4328"/>
          <xdr:cNvSpPr>
            <a:spLocks noChangeShapeType="1"/>
          </xdr:cNvSpPr>
        </xdr:nvSpPr>
        <xdr:spPr bwMode="auto">
          <a:xfrm>
            <a:off x="7665" y="10261"/>
            <a:ext cx="861" cy="3"/>
          </a:xfrm>
          <a:prstGeom prst="line">
            <a:avLst/>
          </a:prstGeom>
          <a:noFill/>
          <a:ln w="9525">
            <a:solidFill>
              <a:srgbClr val="FF0000"/>
            </a:solidFill>
            <a:round/>
            <a:headEnd/>
            <a:tailEnd/>
          </a:ln>
        </xdr:spPr>
      </xdr:sp>
      <xdr:sp macro="" textlink="">
        <xdr:nvSpPr>
          <xdr:cNvPr id="562" name="Line 4329"/>
          <xdr:cNvSpPr>
            <a:spLocks noChangeShapeType="1"/>
          </xdr:cNvSpPr>
        </xdr:nvSpPr>
        <xdr:spPr bwMode="auto">
          <a:xfrm flipV="1">
            <a:off x="8526" y="6475"/>
            <a:ext cx="4" cy="3786"/>
          </a:xfrm>
          <a:prstGeom prst="line">
            <a:avLst/>
          </a:prstGeom>
          <a:noFill/>
          <a:ln w="9525">
            <a:solidFill>
              <a:srgbClr val="FF0000"/>
            </a:solidFill>
            <a:round/>
            <a:headEnd/>
            <a:tailEnd/>
          </a:ln>
        </xdr:spPr>
      </xdr:sp>
      <xdr:sp macro="" textlink="">
        <xdr:nvSpPr>
          <xdr:cNvPr id="563" name="Line 4330"/>
          <xdr:cNvSpPr>
            <a:spLocks noChangeShapeType="1"/>
          </xdr:cNvSpPr>
        </xdr:nvSpPr>
        <xdr:spPr bwMode="auto">
          <a:xfrm flipH="1">
            <a:off x="5807" y="4432"/>
            <a:ext cx="683" cy="0"/>
          </a:xfrm>
          <a:prstGeom prst="line">
            <a:avLst/>
          </a:prstGeom>
          <a:noFill/>
          <a:ln w="9525">
            <a:solidFill>
              <a:srgbClr val="FF0000"/>
            </a:solidFill>
            <a:round/>
            <a:headEnd/>
            <a:tailEnd/>
          </a:ln>
        </xdr:spPr>
      </xdr:sp>
    </xdr:grpSp>
    <xdr:clientData/>
  </xdr:twoCellAnchor>
  <xdr:twoCellAnchor>
    <xdr:from>
      <xdr:col>4</xdr:col>
      <xdr:colOff>838200</xdr:colOff>
      <xdr:row>168</xdr:row>
      <xdr:rowOff>60960</xdr:rowOff>
    </xdr:from>
    <xdr:to>
      <xdr:col>4</xdr:col>
      <xdr:colOff>975360</xdr:colOff>
      <xdr:row>170</xdr:row>
      <xdr:rowOff>83820</xdr:rowOff>
    </xdr:to>
    <xdr:grpSp>
      <xdr:nvGrpSpPr>
        <xdr:cNvPr id="564" name="Group 4331"/>
        <xdr:cNvGrpSpPr>
          <a:grpSpLocks/>
        </xdr:cNvGrpSpPr>
      </xdr:nvGrpSpPr>
      <xdr:grpSpPr bwMode="auto">
        <a:xfrm>
          <a:off x="5617029" y="28331160"/>
          <a:ext cx="137160" cy="371203"/>
          <a:chOff x="1857" y="2993"/>
          <a:chExt cx="4178" cy="10157"/>
        </a:xfrm>
      </xdr:grpSpPr>
      <xdr:grpSp>
        <xdr:nvGrpSpPr>
          <xdr:cNvPr id="565" name="Group 4332"/>
          <xdr:cNvGrpSpPr>
            <a:grpSpLocks/>
          </xdr:cNvGrpSpPr>
        </xdr:nvGrpSpPr>
        <xdr:grpSpPr bwMode="auto">
          <a:xfrm rot="1441604">
            <a:off x="4764" y="2993"/>
            <a:ext cx="570" cy="2736"/>
            <a:chOff x="4251" y="2947"/>
            <a:chExt cx="570" cy="2736"/>
          </a:xfrm>
        </xdr:grpSpPr>
        <xdr:sp macro="" textlink="">
          <xdr:nvSpPr>
            <xdr:cNvPr id="577" name="Line 4333"/>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578" name="Line 4334"/>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579" name="Line 4335"/>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580" name="Line 4336"/>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566" name="Group 4337"/>
          <xdr:cNvGrpSpPr>
            <a:grpSpLocks/>
          </xdr:cNvGrpSpPr>
        </xdr:nvGrpSpPr>
        <xdr:grpSpPr bwMode="auto">
          <a:xfrm rot="8464448">
            <a:off x="5468" y="5524"/>
            <a:ext cx="569" cy="2733"/>
            <a:chOff x="4677" y="4047"/>
            <a:chExt cx="495" cy="2386"/>
          </a:xfrm>
        </xdr:grpSpPr>
        <xdr:sp macro="" textlink="">
          <xdr:nvSpPr>
            <xdr:cNvPr id="573" name="Line 4338"/>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74" name="Line 4339"/>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75" name="Line 4340"/>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76" name="Line 4341"/>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567" name="Group 4342"/>
          <xdr:cNvGrpSpPr>
            <a:grpSpLocks/>
          </xdr:cNvGrpSpPr>
        </xdr:nvGrpSpPr>
        <xdr:grpSpPr bwMode="auto">
          <a:xfrm rot="-5905833">
            <a:off x="2936" y="4830"/>
            <a:ext cx="571" cy="2733"/>
            <a:chOff x="4677" y="4047"/>
            <a:chExt cx="495" cy="2386"/>
          </a:xfrm>
        </xdr:grpSpPr>
        <xdr:sp macro="" textlink="">
          <xdr:nvSpPr>
            <xdr:cNvPr id="569" name="Line 4343"/>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70" name="Line 4344"/>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71" name="Line 4345"/>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72" name="Line 4346"/>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568" name="AutoShape 4347"/>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168</xdr:row>
      <xdr:rowOff>76200</xdr:rowOff>
    </xdr:from>
    <xdr:to>
      <xdr:col>4</xdr:col>
      <xdr:colOff>342900</xdr:colOff>
      <xdr:row>170</xdr:row>
      <xdr:rowOff>83820</xdr:rowOff>
    </xdr:to>
    <xdr:grpSp>
      <xdr:nvGrpSpPr>
        <xdr:cNvPr id="581" name="Group 4348"/>
        <xdr:cNvGrpSpPr>
          <a:grpSpLocks/>
        </xdr:cNvGrpSpPr>
      </xdr:nvGrpSpPr>
      <xdr:grpSpPr bwMode="auto">
        <a:xfrm>
          <a:off x="4885509" y="28346400"/>
          <a:ext cx="236220" cy="355963"/>
          <a:chOff x="5163" y="2548"/>
          <a:chExt cx="2109" cy="2909"/>
        </a:xfrm>
      </xdr:grpSpPr>
      <xdr:sp macro="" textlink="">
        <xdr:nvSpPr>
          <xdr:cNvPr id="582" name="Rectangle 4349"/>
          <xdr:cNvSpPr>
            <a:spLocks noChangeArrowheads="1"/>
          </xdr:cNvSpPr>
        </xdr:nvSpPr>
        <xdr:spPr bwMode="auto">
          <a:xfrm>
            <a:off x="5163" y="2548"/>
            <a:ext cx="1938" cy="2736"/>
          </a:xfrm>
          <a:prstGeom prst="rect">
            <a:avLst/>
          </a:prstGeom>
          <a:solidFill>
            <a:srgbClr val="FFFFFF"/>
          </a:solidFill>
          <a:ln w="9525" algn="ctr">
            <a:solidFill>
              <a:srgbClr val="FF0000"/>
            </a:solidFill>
            <a:miter lim="800000"/>
            <a:headEnd/>
            <a:tailEnd/>
          </a:ln>
        </xdr:spPr>
      </xdr:sp>
      <xdr:sp macro="" textlink="">
        <xdr:nvSpPr>
          <xdr:cNvPr id="583" name="Line 4350"/>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584" name="Line 4351"/>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585" name="Line 4352"/>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586" name="Line 4353"/>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587" name="Line 4354"/>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588" name="Line 4355"/>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589" name="Line 4356"/>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590" name="Line 4357"/>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591" name="Line 4358"/>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592" name="Line 4359"/>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593" name="Line 4360"/>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594" name="Line 4361"/>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595" name="Line 4362"/>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168</xdr:row>
      <xdr:rowOff>114300</xdr:rowOff>
    </xdr:from>
    <xdr:to>
      <xdr:col>4</xdr:col>
      <xdr:colOff>1478280</xdr:colOff>
      <xdr:row>170</xdr:row>
      <xdr:rowOff>121920</xdr:rowOff>
    </xdr:to>
    <xdr:grpSp>
      <xdr:nvGrpSpPr>
        <xdr:cNvPr id="596" name="Group 4363"/>
        <xdr:cNvGrpSpPr>
          <a:grpSpLocks/>
        </xdr:cNvGrpSpPr>
      </xdr:nvGrpSpPr>
      <xdr:grpSpPr bwMode="auto">
        <a:xfrm>
          <a:off x="5952309" y="28384500"/>
          <a:ext cx="304800" cy="355963"/>
          <a:chOff x="5238" y="4632"/>
          <a:chExt cx="1597" cy="1311"/>
        </a:xfrm>
      </xdr:grpSpPr>
      <xdr:sp macro="" textlink="">
        <xdr:nvSpPr>
          <xdr:cNvPr id="597" name="Line 4364"/>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598" name="Line 4365"/>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599" name="Line 4366"/>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600" name="Line 4367"/>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601" name="Line 4368"/>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602" name="Line 4369"/>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603" name="Line 4370"/>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171</xdr:row>
      <xdr:rowOff>76200</xdr:rowOff>
    </xdr:from>
    <xdr:to>
      <xdr:col>4</xdr:col>
      <xdr:colOff>647700</xdr:colOff>
      <xdr:row>173</xdr:row>
      <xdr:rowOff>83820</xdr:rowOff>
    </xdr:to>
    <xdr:grpSp>
      <xdr:nvGrpSpPr>
        <xdr:cNvPr id="604" name="Group 4380"/>
        <xdr:cNvGrpSpPr>
          <a:grpSpLocks/>
        </xdr:cNvGrpSpPr>
      </xdr:nvGrpSpPr>
      <xdr:grpSpPr bwMode="auto">
        <a:xfrm>
          <a:off x="5319849" y="28879800"/>
          <a:ext cx="106680" cy="355963"/>
          <a:chOff x="3771" y="1155"/>
          <a:chExt cx="4759" cy="14934"/>
        </a:xfrm>
      </xdr:grpSpPr>
      <xdr:sp macro="" textlink="">
        <xdr:nvSpPr>
          <xdr:cNvPr id="605" name="Oval 4381"/>
          <xdr:cNvSpPr>
            <a:spLocks noChangeArrowheads="1"/>
          </xdr:cNvSpPr>
        </xdr:nvSpPr>
        <xdr:spPr bwMode="auto">
          <a:xfrm>
            <a:off x="4643" y="1155"/>
            <a:ext cx="2999" cy="3003"/>
          </a:xfrm>
          <a:prstGeom prst="ellipse">
            <a:avLst/>
          </a:prstGeom>
          <a:solidFill>
            <a:srgbClr val="FFFFFF"/>
          </a:solidFill>
          <a:ln w="9525" algn="ctr">
            <a:solidFill>
              <a:srgbClr val="FF0000"/>
            </a:solidFill>
            <a:round/>
            <a:headEnd/>
            <a:tailEnd/>
          </a:ln>
        </xdr:spPr>
      </xdr:sp>
      <xdr:sp macro="" textlink="">
        <xdr:nvSpPr>
          <xdr:cNvPr id="606" name="Arc 438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607" name="Arc 438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608" name="Line 4384"/>
          <xdr:cNvSpPr>
            <a:spLocks noChangeShapeType="1"/>
          </xdr:cNvSpPr>
        </xdr:nvSpPr>
        <xdr:spPr bwMode="auto">
          <a:xfrm>
            <a:off x="3771" y="6471"/>
            <a:ext cx="0" cy="3793"/>
          </a:xfrm>
          <a:prstGeom prst="line">
            <a:avLst/>
          </a:prstGeom>
          <a:noFill/>
          <a:ln w="9525">
            <a:solidFill>
              <a:srgbClr val="FF0000"/>
            </a:solidFill>
            <a:round/>
            <a:headEnd/>
            <a:tailEnd/>
          </a:ln>
        </xdr:spPr>
      </xdr:sp>
      <xdr:sp macro="" textlink="">
        <xdr:nvSpPr>
          <xdr:cNvPr id="609" name="Line 4385"/>
          <xdr:cNvSpPr>
            <a:spLocks noChangeShapeType="1"/>
          </xdr:cNvSpPr>
        </xdr:nvSpPr>
        <xdr:spPr bwMode="auto">
          <a:xfrm>
            <a:off x="3771" y="10264"/>
            <a:ext cx="861" cy="4"/>
          </a:xfrm>
          <a:prstGeom prst="line">
            <a:avLst/>
          </a:prstGeom>
          <a:noFill/>
          <a:ln w="9525">
            <a:solidFill>
              <a:srgbClr val="FF0000"/>
            </a:solidFill>
            <a:round/>
            <a:headEnd/>
            <a:tailEnd/>
          </a:ln>
        </xdr:spPr>
      </xdr:sp>
      <xdr:sp macro="" textlink="">
        <xdr:nvSpPr>
          <xdr:cNvPr id="610" name="Line 4386"/>
          <xdr:cNvSpPr>
            <a:spLocks noChangeShapeType="1"/>
          </xdr:cNvSpPr>
        </xdr:nvSpPr>
        <xdr:spPr bwMode="auto">
          <a:xfrm flipV="1">
            <a:off x="4632" y="6384"/>
            <a:ext cx="4" cy="3880"/>
          </a:xfrm>
          <a:prstGeom prst="line">
            <a:avLst/>
          </a:prstGeom>
          <a:noFill/>
          <a:ln w="9525">
            <a:solidFill>
              <a:srgbClr val="FF0000"/>
            </a:solidFill>
            <a:round/>
            <a:headEnd/>
            <a:tailEnd/>
          </a:ln>
        </xdr:spPr>
      </xdr:sp>
      <xdr:sp macro="" textlink="">
        <xdr:nvSpPr>
          <xdr:cNvPr id="611" name="Line 4387"/>
          <xdr:cNvSpPr>
            <a:spLocks noChangeShapeType="1"/>
          </xdr:cNvSpPr>
        </xdr:nvSpPr>
        <xdr:spPr bwMode="auto">
          <a:xfrm>
            <a:off x="4636" y="6384"/>
            <a:ext cx="211" cy="0"/>
          </a:xfrm>
          <a:prstGeom prst="line">
            <a:avLst/>
          </a:prstGeom>
          <a:noFill/>
          <a:ln w="9525">
            <a:solidFill>
              <a:srgbClr val="FF0000"/>
            </a:solidFill>
            <a:round/>
            <a:headEnd/>
            <a:tailEnd/>
          </a:ln>
        </xdr:spPr>
      </xdr:sp>
      <xdr:sp macro="" textlink="">
        <xdr:nvSpPr>
          <xdr:cNvPr id="612" name="Line 4388"/>
          <xdr:cNvSpPr>
            <a:spLocks noChangeShapeType="1"/>
          </xdr:cNvSpPr>
        </xdr:nvSpPr>
        <xdr:spPr bwMode="auto">
          <a:xfrm>
            <a:off x="4847" y="6384"/>
            <a:ext cx="0" cy="9701"/>
          </a:xfrm>
          <a:prstGeom prst="line">
            <a:avLst/>
          </a:prstGeom>
          <a:noFill/>
          <a:ln w="9525">
            <a:solidFill>
              <a:srgbClr val="FF0000"/>
            </a:solidFill>
            <a:round/>
            <a:headEnd/>
            <a:tailEnd/>
          </a:ln>
        </xdr:spPr>
      </xdr:sp>
      <xdr:sp macro="" textlink="">
        <xdr:nvSpPr>
          <xdr:cNvPr id="613" name="Line 4389"/>
          <xdr:cNvSpPr>
            <a:spLocks noChangeShapeType="1"/>
          </xdr:cNvSpPr>
        </xdr:nvSpPr>
        <xdr:spPr bwMode="auto">
          <a:xfrm>
            <a:off x="4847" y="16085"/>
            <a:ext cx="1077" cy="0"/>
          </a:xfrm>
          <a:prstGeom prst="line">
            <a:avLst/>
          </a:prstGeom>
          <a:noFill/>
          <a:ln w="9525">
            <a:solidFill>
              <a:srgbClr val="FF0000"/>
            </a:solidFill>
            <a:round/>
            <a:headEnd/>
            <a:tailEnd/>
          </a:ln>
        </xdr:spPr>
      </xdr:sp>
      <xdr:sp macro="" textlink="">
        <xdr:nvSpPr>
          <xdr:cNvPr id="614" name="Line 4390"/>
          <xdr:cNvSpPr>
            <a:spLocks noChangeShapeType="1"/>
          </xdr:cNvSpPr>
        </xdr:nvSpPr>
        <xdr:spPr bwMode="auto">
          <a:xfrm flipV="1">
            <a:off x="5924" y="10696"/>
            <a:ext cx="0" cy="5389"/>
          </a:xfrm>
          <a:prstGeom prst="line">
            <a:avLst/>
          </a:prstGeom>
          <a:noFill/>
          <a:ln w="9525">
            <a:solidFill>
              <a:srgbClr val="FF0000"/>
            </a:solidFill>
            <a:round/>
            <a:headEnd/>
            <a:tailEnd/>
          </a:ln>
        </xdr:spPr>
      </xdr:sp>
      <xdr:sp macro="" textlink="">
        <xdr:nvSpPr>
          <xdr:cNvPr id="615" name="Line 4391"/>
          <xdr:cNvSpPr>
            <a:spLocks noChangeShapeType="1"/>
          </xdr:cNvSpPr>
        </xdr:nvSpPr>
        <xdr:spPr bwMode="auto">
          <a:xfrm>
            <a:off x="5924" y="10696"/>
            <a:ext cx="430" cy="3"/>
          </a:xfrm>
          <a:prstGeom prst="line">
            <a:avLst/>
          </a:prstGeom>
          <a:noFill/>
          <a:ln w="9525">
            <a:solidFill>
              <a:srgbClr val="FF0000"/>
            </a:solidFill>
            <a:round/>
            <a:headEnd/>
            <a:tailEnd/>
          </a:ln>
        </xdr:spPr>
      </xdr:sp>
      <xdr:sp macro="" textlink="">
        <xdr:nvSpPr>
          <xdr:cNvPr id="616" name="Line 4392"/>
          <xdr:cNvSpPr>
            <a:spLocks noChangeShapeType="1"/>
          </xdr:cNvSpPr>
        </xdr:nvSpPr>
        <xdr:spPr bwMode="auto">
          <a:xfrm flipV="1">
            <a:off x="6354" y="10696"/>
            <a:ext cx="4" cy="5389"/>
          </a:xfrm>
          <a:prstGeom prst="line">
            <a:avLst/>
          </a:prstGeom>
          <a:noFill/>
          <a:ln w="9525">
            <a:solidFill>
              <a:srgbClr val="FF0000"/>
            </a:solidFill>
            <a:round/>
            <a:headEnd/>
            <a:tailEnd/>
          </a:ln>
        </xdr:spPr>
      </xdr:sp>
      <xdr:sp macro="" textlink="">
        <xdr:nvSpPr>
          <xdr:cNvPr id="617" name="Line 4393"/>
          <xdr:cNvSpPr>
            <a:spLocks noChangeShapeType="1"/>
          </xdr:cNvSpPr>
        </xdr:nvSpPr>
        <xdr:spPr bwMode="auto">
          <a:xfrm>
            <a:off x="6354" y="16085"/>
            <a:ext cx="1077" cy="4"/>
          </a:xfrm>
          <a:prstGeom prst="line">
            <a:avLst/>
          </a:prstGeom>
          <a:noFill/>
          <a:ln w="9525">
            <a:solidFill>
              <a:srgbClr val="FF0000"/>
            </a:solidFill>
            <a:round/>
            <a:headEnd/>
            <a:tailEnd/>
          </a:ln>
        </xdr:spPr>
      </xdr:sp>
      <xdr:sp macro="" textlink="">
        <xdr:nvSpPr>
          <xdr:cNvPr id="618" name="Line 4394"/>
          <xdr:cNvSpPr>
            <a:spLocks noChangeShapeType="1"/>
          </xdr:cNvSpPr>
        </xdr:nvSpPr>
        <xdr:spPr bwMode="auto">
          <a:xfrm flipV="1">
            <a:off x="7431" y="6384"/>
            <a:ext cx="0" cy="9701"/>
          </a:xfrm>
          <a:prstGeom prst="line">
            <a:avLst/>
          </a:prstGeom>
          <a:noFill/>
          <a:ln w="9525">
            <a:solidFill>
              <a:srgbClr val="FF0000"/>
            </a:solidFill>
            <a:round/>
            <a:headEnd/>
            <a:tailEnd/>
          </a:ln>
        </xdr:spPr>
      </xdr:sp>
      <xdr:sp macro="" textlink="">
        <xdr:nvSpPr>
          <xdr:cNvPr id="619" name="Line 4395"/>
          <xdr:cNvSpPr>
            <a:spLocks noChangeShapeType="1"/>
          </xdr:cNvSpPr>
        </xdr:nvSpPr>
        <xdr:spPr bwMode="auto">
          <a:xfrm>
            <a:off x="7431" y="6384"/>
            <a:ext cx="211" cy="4"/>
          </a:xfrm>
          <a:prstGeom prst="line">
            <a:avLst/>
          </a:prstGeom>
          <a:noFill/>
          <a:ln w="9525">
            <a:solidFill>
              <a:srgbClr val="FF0000"/>
            </a:solidFill>
            <a:round/>
            <a:headEnd/>
            <a:tailEnd/>
          </a:ln>
        </xdr:spPr>
      </xdr:sp>
      <xdr:sp macro="" textlink="">
        <xdr:nvSpPr>
          <xdr:cNvPr id="620" name="Line 4396"/>
          <xdr:cNvSpPr>
            <a:spLocks noChangeShapeType="1"/>
          </xdr:cNvSpPr>
        </xdr:nvSpPr>
        <xdr:spPr bwMode="auto">
          <a:xfrm>
            <a:off x="7665" y="6380"/>
            <a:ext cx="4" cy="3881"/>
          </a:xfrm>
          <a:prstGeom prst="line">
            <a:avLst/>
          </a:prstGeom>
          <a:noFill/>
          <a:ln w="9525">
            <a:solidFill>
              <a:srgbClr val="FF0000"/>
            </a:solidFill>
            <a:round/>
            <a:headEnd/>
            <a:tailEnd/>
          </a:ln>
        </xdr:spPr>
      </xdr:sp>
      <xdr:sp macro="" textlink="">
        <xdr:nvSpPr>
          <xdr:cNvPr id="621" name="Line 4397"/>
          <xdr:cNvSpPr>
            <a:spLocks noChangeShapeType="1"/>
          </xdr:cNvSpPr>
        </xdr:nvSpPr>
        <xdr:spPr bwMode="auto">
          <a:xfrm>
            <a:off x="7665" y="10261"/>
            <a:ext cx="861" cy="3"/>
          </a:xfrm>
          <a:prstGeom prst="line">
            <a:avLst/>
          </a:prstGeom>
          <a:noFill/>
          <a:ln w="9525">
            <a:solidFill>
              <a:srgbClr val="FF0000"/>
            </a:solidFill>
            <a:round/>
            <a:headEnd/>
            <a:tailEnd/>
          </a:ln>
        </xdr:spPr>
      </xdr:sp>
      <xdr:sp macro="" textlink="">
        <xdr:nvSpPr>
          <xdr:cNvPr id="622" name="Line 4398"/>
          <xdr:cNvSpPr>
            <a:spLocks noChangeShapeType="1"/>
          </xdr:cNvSpPr>
        </xdr:nvSpPr>
        <xdr:spPr bwMode="auto">
          <a:xfrm flipV="1">
            <a:off x="8526" y="6475"/>
            <a:ext cx="4" cy="3786"/>
          </a:xfrm>
          <a:prstGeom prst="line">
            <a:avLst/>
          </a:prstGeom>
          <a:noFill/>
          <a:ln w="9525">
            <a:solidFill>
              <a:srgbClr val="FF0000"/>
            </a:solidFill>
            <a:round/>
            <a:headEnd/>
            <a:tailEnd/>
          </a:ln>
        </xdr:spPr>
      </xdr:sp>
      <xdr:sp macro="" textlink="">
        <xdr:nvSpPr>
          <xdr:cNvPr id="623" name="Line 4399"/>
          <xdr:cNvSpPr>
            <a:spLocks noChangeShapeType="1"/>
          </xdr:cNvSpPr>
        </xdr:nvSpPr>
        <xdr:spPr bwMode="auto">
          <a:xfrm flipH="1">
            <a:off x="5807" y="4432"/>
            <a:ext cx="683" cy="0"/>
          </a:xfrm>
          <a:prstGeom prst="line">
            <a:avLst/>
          </a:prstGeom>
          <a:noFill/>
          <a:ln w="9525">
            <a:solidFill>
              <a:srgbClr val="FF0000"/>
            </a:solidFill>
            <a:round/>
            <a:headEnd/>
            <a:tailEnd/>
          </a:ln>
        </xdr:spPr>
      </xdr:sp>
    </xdr:grpSp>
    <xdr:clientData/>
  </xdr:twoCellAnchor>
  <xdr:twoCellAnchor>
    <xdr:from>
      <xdr:col>4</xdr:col>
      <xdr:colOff>838200</xdr:colOff>
      <xdr:row>171</xdr:row>
      <xdr:rowOff>60960</xdr:rowOff>
    </xdr:from>
    <xdr:to>
      <xdr:col>4</xdr:col>
      <xdr:colOff>975360</xdr:colOff>
      <xdr:row>173</xdr:row>
      <xdr:rowOff>83820</xdr:rowOff>
    </xdr:to>
    <xdr:grpSp>
      <xdr:nvGrpSpPr>
        <xdr:cNvPr id="624" name="Group 4400"/>
        <xdr:cNvGrpSpPr>
          <a:grpSpLocks/>
        </xdr:cNvGrpSpPr>
      </xdr:nvGrpSpPr>
      <xdr:grpSpPr bwMode="auto">
        <a:xfrm>
          <a:off x="5617029" y="28864560"/>
          <a:ext cx="137160" cy="371203"/>
          <a:chOff x="1857" y="2993"/>
          <a:chExt cx="4178" cy="10157"/>
        </a:xfrm>
      </xdr:grpSpPr>
      <xdr:grpSp>
        <xdr:nvGrpSpPr>
          <xdr:cNvPr id="625" name="Group 4401"/>
          <xdr:cNvGrpSpPr>
            <a:grpSpLocks/>
          </xdr:cNvGrpSpPr>
        </xdr:nvGrpSpPr>
        <xdr:grpSpPr bwMode="auto">
          <a:xfrm rot="1441604">
            <a:off x="4764" y="2993"/>
            <a:ext cx="570" cy="2736"/>
            <a:chOff x="4251" y="2947"/>
            <a:chExt cx="570" cy="2736"/>
          </a:xfrm>
        </xdr:grpSpPr>
        <xdr:sp macro="" textlink="">
          <xdr:nvSpPr>
            <xdr:cNvPr id="637" name="Line 4402"/>
            <xdr:cNvSpPr>
              <a:spLocks noChangeShapeType="1"/>
            </xdr:cNvSpPr>
          </xdr:nvSpPr>
          <xdr:spPr bwMode="auto">
            <a:xfrm flipV="1">
              <a:off x="4251" y="2947"/>
              <a:ext cx="400" cy="1938"/>
            </a:xfrm>
            <a:prstGeom prst="line">
              <a:avLst/>
            </a:prstGeom>
            <a:noFill/>
            <a:ln w="9525">
              <a:solidFill>
                <a:srgbClr val="FF0000"/>
              </a:solidFill>
              <a:round/>
              <a:headEnd/>
              <a:tailEnd/>
            </a:ln>
          </xdr:spPr>
        </xdr:sp>
        <xdr:sp macro="" textlink="">
          <xdr:nvSpPr>
            <xdr:cNvPr id="638" name="Line 4403"/>
            <xdr:cNvSpPr>
              <a:spLocks noChangeShapeType="1"/>
            </xdr:cNvSpPr>
          </xdr:nvSpPr>
          <xdr:spPr bwMode="auto">
            <a:xfrm>
              <a:off x="4651" y="2947"/>
              <a:ext cx="170" cy="0"/>
            </a:xfrm>
            <a:prstGeom prst="line">
              <a:avLst/>
            </a:prstGeom>
            <a:noFill/>
            <a:ln w="9525">
              <a:solidFill>
                <a:srgbClr val="FF0000"/>
              </a:solidFill>
              <a:round/>
              <a:headEnd/>
              <a:tailEnd/>
            </a:ln>
          </xdr:spPr>
        </xdr:sp>
        <xdr:sp macro="" textlink="">
          <xdr:nvSpPr>
            <xdr:cNvPr id="639" name="Line 4404"/>
            <xdr:cNvSpPr>
              <a:spLocks noChangeShapeType="1"/>
            </xdr:cNvSpPr>
          </xdr:nvSpPr>
          <xdr:spPr bwMode="auto">
            <a:xfrm>
              <a:off x="4821" y="2947"/>
              <a:ext cx="0" cy="2678"/>
            </a:xfrm>
            <a:prstGeom prst="line">
              <a:avLst/>
            </a:prstGeom>
            <a:noFill/>
            <a:ln w="9525">
              <a:solidFill>
                <a:srgbClr val="FF0000"/>
              </a:solidFill>
              <a:round/>
              <a:headEnd/>
              <a:tailEnd/>
            </a:ln>
          </xdr:spPr>
        </xdr:sp>
        <xdr:sp macro="" textlink="">
          <xdr:nvSpPr>
            <xdr:cNvPr id="640" name="Line 4405"/>
            <xdr:cNvSpPr>
              <a:spLocks noChangeShapeType="1"/>
            </xdr:cNvSpPr>
          </xdr:nvSpPr>
          <xdr:spPr bwMode="auto">
            <a:xfrm>
              <a:off x="4251" y="4885"/>
              <a:ext cx="400" cy="798"/>
            </a:xfrm>
            <a:prstGeom prst="line">
              <a:avLst/>
            </a:prstGeom>
            <a:noFill/>
            <a:ln w="9525">
              <a:solidFill>
                <a:srgbClr val="FF0000"/>
              </a:solidFill>
              <a:round/>
              <a:headEnd/>
              <a:tailEnd/>
            </a:ln>
          </xdr:spPr>
        </xdr:sp>
      </xdr:grpSp>
      <xdr:grpSp>
        <xdr:nvGrpSpPr>
          <xdr:cNvPr id="626" name="Group 4406"/>
          <xdr:cNvGrpSpPr>
            <a:grpSpLocks/>
          </xdr:cNvGrpSpPr>
        </xdr:nvGrpSpPr>
        <xdr:grpSpPr bwMode="auto">
          <a:xfrm rot="8464448">
            <a:off x="5468" y="5524"/>
            <a:ext cx="569" cy="2733"/>
            <a:chOff x="4677" y="4047"/>
            <a:chExt cx="495" cy="2386"/>
          </a:xfrm>
        </xdr:grpSpPr>
        <xdr:sp macro="" textlink="">
          <xdr:nvSpPr>
            <xdr:cNvPr id="633" name="Line 4407"/>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634" name="Line 4408"/>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635" name="Line 4409"/>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636" name="Line 4410"/>
            <xdr:cNvSpPr>
              <a:spLocks noChangeShapeType="1"/>
            </xdr:cNvSpPr>
          </xdr:nvSpPr>
          <xdr:spPr bwMode="auto">
            <a:xfrm>
              <a:off x="4677" y="5737"/>
              <a:ext cx="347" cy="696"/>
            </a:xfrm>
            <a:prstGeom prst="line">
              <a:avLst/>
            </a:prstGeom>
            <a:noFill/>
            <a:ln w="9525">
              <a:solidFill>
                <a:srgbClr val="FF0000"/>
              </a:solidFill>
              <a:round/>
              <a:headEnd/>
              <a:tailEnd/>
            </a:ln>
          </xdr:spPr>
        </xdr:sp>
      </xdr:grpSp>
      <xdr:grpSp>
        <xdr:nvGrpSpPr>
          <xdr:cNvPr id="627" name="Group 4411"/>
          <xdr:cNvGrpSpPr>
            <a:grpSpLocks/>
          </xdr:cNvGrpSpPr>
        </xdr:nvGrpSpPr>
        <xdr:grpSpPr bwMode="auto">
          <a:xfrm rot="-5905833">
            <a:off x="2936" y="4830"/>
            <a:ext cx="571" cy="2733"/>
            <a:chOff x="4677" y="4047"/>
            <a:chExt cx="495" cy="2386"/>
          </a:xfrm>
        </xdr:grpSpPr>
        <xdr:sp macro="" textlink="">
          <xdr:nvSpPr>
            <xdr:cNvPr id="629" name="Line 4412"/>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630" name="Line 4413"/>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631" name="Line 4414"/>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632" name="Line 4415"/>
            <xdr:cNvSpPr>
              <a:spLocks noChangeShapeType="1"/>
            </xdr:cNvSpPr>
          </xdr:nvSpPr>
          <xdr:spPr bwMode="auto">
            <a:xfrm>
              <a:off x="4677" y="5737"/>
              <a:ext cx="347" cy="696"/>
            </a:xfrm>
            <a:prstGeom prst="line">
              <a:avLst/>
            </a:prstGeom>
            <a:noFill/>
            <a:ln w="9525">
              <a:solidFill>
                <a:srgbClr val="FF0000"/>
              </a:solidFill>
              <a:round/>
              <a:headEnd/>
              <a:tailEnd/>
            </a:ln>
          </xdr:spPr>
        </xdr:sp>
      </xdr:grpSp>
      <xdr:sp macro="" textlink="">
        <xdr:nvSpPr>
          <xdr:cNvPr id="628" name="AutoShape 441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FF0000"/>
            </a:solidFill>
            <a:miter lim="800000"/>
            <a:headEnd/>
            <a:tailEnd/>
          </a:ln>
        </xdr:spPr>
      </xdr:sp>
    </xdr:grpSp>
    <xdr:clientData/>
  </xdr:twoCellAnchor>
  <xdr:twoCellAnchor>
    <xdr:from>
      <xdr:col>4</xdr:col>
      <xdr:colOff>106680</xdr:colOff>
      <xdr:row>171</xdr:row>
      <xdr:rowOff>76200</xdr:rowOff>
    </xdr:from>
    <xdr:to>
      <xdr:col>4</xdr:col>
      <xdr:colOff>342900</xdr:colOff>
      <xdr:row>173</xdr:row>
      <xdr:rowOff>83820</xdr:rowOff>
    </xdr:to>
    <xdr:grpSp>
      <xdr:nvGrpSpPr>
        <xdr:cNvPr id="641" name="Group 4417"/>
        <xdr:cNvGrpSpPr>
          <a:grpSpLocks/>
        </xdr:cNvGrpSpPr>
      </xdr:nvGrpSpPr>
      <xdr:grpSpPr bwMode="auto">
        <a:xfrm>
          <a:off x="4885509" y="28879800"/>
          <a:ext cx="236220" cy="355963"/>
          <a:chOff x="5163" y="2548"/>
          <a:chExt cx="2109" cy="2909"/>
        </a:xfrm>
      </xdr:grpSpPr>
      <xdr:sp macro="" textlink="">
        <xdr:nvSpPr>
          <xdr:cNvPr id="642" name="Rectangle 4418"/>
          <xdr:cNvSpPr>
            <a:spLocks noChangeArrowheads="1"/>
          </xdr:cNvSpPr>
        </xdr:nvSpPr>
        <xdr:spPr bwMode="auto">
          <a:xfrm>
            <a:off x="5163" y="2548"/>
            <a:ext cx="1938" cy="2736"/>
          </a:xfrm>
          <a:prstGeom prst="rect">
            <a:avLst/>
          </a:prstGeom>
          <a:solidFill>
            <a:srgbClr val="FFFFFF"/>
          </a:solidFill>
          <a:ln w="9525" algn="ctr">
            <a:solidFill>
              <a:srgbClr val="FF0000"/>
            </a:solidFill>
            <a:miter lim="800000"/>
            <a:headEnd/>
            <a:tailEnd/>
          </a:ln>
        </xdr:spPr>
      </xdr:sp>
      <xdr:sp macro="" textlink="">
        <xdr:nvSpPr>
          <xdr:cNvPr id="643" name="Line 4419"/>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644" name="Line 4420"/>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645" name="Line 4421"/>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646" name="Line 4422"/>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647" name="Line 4423"/>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648" name="Line 4424"/>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649" name="Line 4425"/>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650" name="Line 4426"/>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651" name="Line 4427"/>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652" name="Line 4428"/>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653" name="Line 4429"/>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654" name="Line 4430"/>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655" name="Line 4431"/>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171</xdr:row>
      <xdr:rowOff>114300</xdr:rowOff>
    </xdr:from>
    <xdr:to>
      <xdr:col>4</xdr:col>
      <xdr:colOff>1478280</xdr:colOff>
      <xdr:row>173</xdr:row>
      <xdr:rowOff>121920</xdr:rowOff>
    </xdr:to>
    <xdr:grpSp>
      <xdr:nvGrpSpPr>
        <xdr:cNvPr id="656" name="Group 4432"/>
        <xdr:cNvGrpSpPr>
          <a:grpSpLocks/>
        </xdr:cNvGrpSpPr>
      </xdr:nvGrpSpPr>
      <xdr:grpSpPr bwMode="auto">
        <a:xfrm>
          <a:off x="5952309" y="28917900"/>
          <a:ext cx="304800" cy="355963"/>
          <a:chOff x="5238" y="4632"/>
          <a:chExt cx="1597" cy="1311"/>
        </a:xfrm>
      </xdr:grpSpPr>
      <xdr:sp macro="" textlink="">
        <xdr:nvSpPr>
          <xdr:cNvPr id="657" name="Line 443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658" name="Line 443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659" name="Line 443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660" name="Line 443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661" name="Line 443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662" name="Line 443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663" name="Line 443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174</xdr:row>
      <xdr:rowOff>76200</xdr:rowOff>
    </xdr:from>
    <xdr:to>
      <xdr:col>4</xdr:col>
      <xdr:colOff>647700</xdr:colOff>
      <xdr:row>176</xdr:row>
      <xdr:rowOff>83820</xdr:rowOff>
    </xdr:to>
    <xdr:grpSp>
      <xdr:nvGrpSpPr>
        <xdr:cNvPr id="724" name="Group 4514"/>
        <xdr:cNvGrpSpPr>
          <a:grpSpLocks/>
        </xdr:cNvGrpSpPr>
      </xdr:nvGrpSpPr>
      <xdr:grpSpPr bwMode="auto">
        <a:xfrm>
          <a:off x="5319849" y="29413200"/>
          <a:ext cx="106680" cy="355963"/>
          <a:chOff x="3771" y="1155"/>
          <a:chExt cx="4759" cy="14934"/>
        </a:xfrm>
      </xdr:grpSpPr>
      <xdr:sp macro="" textlink="">
        <xdr:nvSpPr>
          <xdr:cNvPr id="725" name="Oval 4515"/>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726" name="Arc 4516"/>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727" name="Arc 4517"/>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728" name="Line 4518"/>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729" name="Line 4519"/>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730" name="Line 4520"/>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731" name="Line 4521"/>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732" name="Line 4522"/>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733" name="Line 4523"/>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734" name="Line 4524"/>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735" name="Line 4525"/>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736" name="Line 4526"/>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737" name="Line 4527"/>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738" name="Line 4528"/>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739" name="Line 4529"/>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740" name="Line 4530"/>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741" name="Line 4531"/>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742" name="Line 4532"/>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743" name="Line 4533"/>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174</xdr:row>
      <xdr:rowOff>60960</xdr:rowOff>
    </xdr:from>
    <xdr:to>
      <xdr:col>4</xdr:col>
      <xdr:colOff>975360</xdr:colOff>
      <xdr:row>176</xdr:row>
      <xdr:rowOff>83820</xdr:rowOff>
    </xdr:to>
    <xdr:grpSp>
      <xdr:nvGrpSpPr>
        <xdr:cNvPr id="744" name="Group 4534"/>
        <xdr:cNvGrpSpPr>
          <a:grpSpLocks/>
        </xdr:cNvGrpSpPr>
      </xdr:nvGrpSpPr>
      <xdr:grpSpPr bwMode="auto">
        <a:xfrm>
          <a:off x="5617029" y="29397960"/>
          <a:ext cx="137160" cy="371203"/>
          <a:chOff x="1857" y="2993"/>
          <a:chExt cx="4178" cy="10157"/>
        </a:xfrm>
      </xdr:grpSpPr>
      <xdr:grpSp>
        <xdr:nvGrpSpPr>
          <xdr:cNvPr id="745" name="Group 4535"/>
          <xdr:cNvGrpSpPr>
            <a:grpSpLocks/>
          </xdr:cNvGrpSpPr>
        </xdr:nvGrpSpPr>
        <xdr:grpSpPr bwMode="auto">
          <a:xfrm rot="1441604">
            <a:off x="4764" y="2993"/>
            <a:ext cx="570" cy="2736"/>
            <a:chOff x="4251" y="2947"/>
            <a:chExt cx="570" cy="2736"/>
          </a:xfrm>
        </xdr:grpSpPr>
        <xdr:sp macro="" textlink="">
          <xdr:nvSpPr>
            <xdr:cNvPr id="757" name="Line 4536"/>
            <xdr:cNvSpPr>
              <a:spLocks noChangeShapeType="1"/>
            </xdr:cNvSpPr>
          </xdr:nvSpPr>
          <xdr:spPr bwMode="auto">
            <a:xfrm flipV="1">
              <a:off x="4251" y="2947"/>
              <a:ext cx="400" cy="1938"/>
            </a:xfrm>
            <a:prstGeom prst="line">
              <a:avLst/>
            </a:prstGeom>
            <a:noFill/>
            <a:ln w="9525">
              <a:solidFill>
                <a:srgbClr val="FF0000"/>
              </a:solidFill>
              <a:round/>
              <a:headEnd/>
              <a:tailEnd/>
            </a:ln>
          </xdr:spPr>
        </xdr:sp>
        <xdr:sp macro="" textlink="">
          <xdr:nvSpPr>
            <xdr:cNvPr id="758" name="Line 4537"/>
            <xdr:cNvSpPr>
              <a:spLocks noChangeShapeType="1"/>
            </xdr:cNvSpPr>
          </xdr:nvSpPr>
          <xdr:spPr bwMode="auto">
            <a:xfrm>
              <a:off x="4651" y="2947"/>
              <a:ext cx="170" cy="0"/>
            </a:xfrm>
            <a:prstGeom prst="line">
              <a:avLst/>
            </a:prstGeom>
            <a:noFill/>
            <a:ln w="9525">
              <a:solidFill>
                <a:srgbClr val="FF0000"/>
              </a:solidFill>
              <a:round/>
              <a:headEnd/>
              <a:tailEnd/>
            </a:ln>
          </xdr:spPr>
        </xdr:sp>
        <xdr:sp macro="" textlink="">
          <xdr:nvSpPr>
            <xdr:cNvPr id="759" name="Line 4538"/>
            <xdr:cNvSpPr>
              <a:spLocks noChangeShapeType="1"/>
            </xdr:cNvSpPr>
          </xdr:nvSpPr>
          <xdr:spPr bwMode="auto">
            <a:xfrm>
              <a:off x="4821" y="2947"/>
              <a:ext cx="0" cy="2678"/>
            </a:xfrm>
            <a:prstGeom prst="line">
              <a:avLst/>
            </a:prstGeom>
            <a:noFill/>
            <a:ln w="9525">
              <a:solidFill>
                <a:srgbClr val="FF0000"/>
              </a:solidFill>
              <a:round/>
              <a:headEnd/>
              <a:tailEnd/>
            </a:ln>
          </xdr:spPr>
        </xdr:sp>
        <xdr:sp macro="" textlink="">
          <xdr:nvSpPr>
            <xdr:cNvPr id="760" name="Line 4539"/>
            <xdr:cNvSpPr>
              <a:spLocks noChangeShapeType="1"/>
            </xdr:cNvSpPr>
          </xdr:nvSpPr>
          <xdr:spPr bwMode="auto">
            <a:xfrm>
              <a:off x="4251" y="4885"/>
              <a:ext cx="400" cy="798"/>
            </a:xfrm>
            <a:prstGeom prst="line">
              <a:avLst/>
            </a:prstGeom>
            <a:noFill/>
            <a:ln w="9525">
              <a:solidFill>
                <a:srgbClr val="FF0000"/>
              </a:solidFill>
              <a:round/>
              <a:headEnd/>
              <a:tailEnd/>
            </a:ln>
          </xdr:spPr>
        </xdr:sp>
      </xdr:grpSp>
      <xdr:grpSp>
        <xdr:nvGrpSpPr>
          <xdr:cNvPr id="746" name="Group 4540"/>
          <xdr:cNvGrpSpPr>
            <a:grpSpLocks/>
          </xdr:cNvGrpSpPr>
        </xdr:nvGrpSpPr>
        <xdr:grpSpPr bwMode="auto">
          <a:xfrm rot="8464448">
            <a:off x="5468" y="5524"/>
            <a:ext cx="569" cy="2733"/>
            <a:chOff x="4677" y="4047"/>
            <a:chExt cx="495" cy="2386"/>
          </a:xfrm>
        </xdr:grpSpPr>
        <xdr:sp macro="" textlink="">
          <xdr:nvSpPr>
            <xdr:cNvPr id="753" name="Line 4541"/>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754" name="Line 4542"/>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755" name="Line 4543"/>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756" name="Line 4544"/>
            <xdr:cNvSpPr>
              <a:spLocks noChangeShapeType="1"/>
            </xdr:cNvSpPr>
          </xdr:nvSpPr>
          <xdr:spPr bwMode="auto">
            <a:xfrm>
              <a:off x="4677" y="5737"/>
              <a:ext cx="347" cy="696"/>
            </a:xfrm>
            <a:prstGeom prst="line">
              <a:avLst/>
            </a:prstGeom>
            <a:noFill/>
            <a:ln w="9525">
              <a:solidFill>
                <a:srgbClr val="FF0000"/>
              </a:solidFill>
              <a:round/>
              <a:headEnd/>
              <a:tailEnd/>
            </a:ln>
          </xdr:spPr>
        </xdr:sp>
      </xdr:grpSp>
      <xdr:grpSp>
        <xdr:nvGrpSpPr>
          <xdr:cNvPr id="747" name="Group 4545"/>
          <xdr:cNvGrpSpPr>
            <a:grpSpLocks/>
          </xdr:cNvGrpSpPr>
        </xdr:nvGrpSpPr>
        <xdr:grpSpPr bwMode="auto">
          <a:xfrm rot="-5905833">
            <a:off x="2936" y="4830"/>
            <a:ext cx="571" cy="2733"/>
            <a:chOff x="4677" y="4047"/>
            <a:chExt cx="495" cy="2386"/>
          </a:xfrm>
        </xdr:grpSpPr>
        <xdr:sp macro="" textlink="">
          <xdr:nvSpPr>
            <xdr:cNvPr id="749" name="Line 4546"/>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750" name="Line 4547"/>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751" name="Line 4548"/>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752" name="Line 4549"/>
            <xdr:cNvSpPr>
              <a:spLocks noChangeShapeType="1"/>
            </xdr:cNvSpPr>
          </xdr:nvSpPr>
          <xdr:spPr bwMode="auto">
            <a:xfrm>
              <a:off x="4677" y="5737"/>
              <a:ext cx="347" cy="696"/>
            </a:xfrm>
            <a:prstGeom prst="line">
              <a:avLst/>
            </a:prstGeom>
            <a:noFill/>
            <a:ln w="9525">
              <a:solidFill>
                <a:srgbClr val="FF0000"/>
              </a:solidFill>
              <a:round/>
              <a:headEnd/>
              <a:tailEnd/>
            </a:ln>
          </xdr:spPr>
        </xdr:sp>
      </xdr:grpSp>
      <xdr:sp macro="" textlink="">
        <xdr:nvSpPr>
          <xdr:cNvPr id="748" name="AutoShape 4550"/>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FF0000"/>
            </a:solidFill>
            <a:miter lim="800000"/>
            <a:headEnd/>
            <a:tailEnd/>
          </a:ln>
        </xdr:spPr>
      </xdr:sp>
    </xdr:grpSp>
    <xdr:clientData/>
  </xdr:twoCellAnchor>
  <xdr:twoCellAnchor>
    <xdr:from>
      <xdr:col>4</xdr:col>
      <xdr:colOff>106680</xdr:colOff>
      <xdr:row>174</xdr:row>
      <xdr:rowOff>76200</xdr:rowOff>
    </xdr:from>
    <xdr:to>
      <xdr:col>4</xdr:col>
      <xdr:colOff>342900</xdr:colOff>
      <xdr:row>176</xdr:row>
      <xdr:rowOff>83820</xdr:rowOff>
    </xdr:to>
    <xdr:grpSp>
      <xdr:nvGrpSpPr>
        <xdr:cNvPr id="761" name="Group 4551"/>
        <xdr:cNvGrpSpPr>
          <a:grpSpLocks/>
        </xdr:cNvGrpSpPr>
      </xdr:nvGrpSpPr>
      <xdr:grpSpPr bwMode="auto">
        <a:xfrm>
          <a:off x="4885509" y="29413200"/>
          <a:ext cx="236220" cy="355963"/>
          <a:chOff x="5163" y="2548"/>
          <a:chExt cx="2109" cy="2909"/>
        </a:xfrm>
      </xdr:grpSpPr>
      <xdr:sp macro="" textlink="">
        <xdr:nvSpPr>
          <xdr:cNvPr id="762" name="Rectangle 4552"/>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763" name="Line 4553"/>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764" name="Line 4554"/>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765" name="Line 4555"/>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766" name="Line 4556"/>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767" name="Line 4557"/>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768" name="Line 4558"/>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769" name="Line 4559"/>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770" name="Line 4560"/>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771" name="Line 4561"/>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772" name="Line 4562"/>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773" name="Line 4563"/>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774" name="Line 4564"/>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775" name="Line 4565"/>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174</xdr:row>
      <xdr:rowOff>114300</xdr:rowOff>
    </xdr:from>
    <xdr:to>
      <xdr:col>4</xdr:col>
      <xdr:colOff>1478280</xdr:colOff>
      <xdr:row>176</xdr:row>
      <xdr:rowOff>121920</xdr:rowOff>
    </xdr:to>
    <xdr:grpSp>
      <xdr:nvGrpSpPr>
        <xdr:cNvPr id="776" name="Group 4566"/>
        <xdr:cNvGrpSpPr>
          <a:grpSpLocks/>
        </xdr:cNvGrpSpPr>
      </xdr:nvGrpSpPr>
      <xdr:grpSpPr bwMode="auto">
        <a:xfrm>
          <a:off x="5952309" y="29451300"/>
          <a:ext cx="304800" cy="355963"/>
          <a:chOff x="5238" y="4632"/>
          <a:chExt cx="1597" cy="1311"/>
        </a:xfrm>
      </xdr:grpSpPr>
      <xdr:sp macro="" textlink="">
        <xdr:nvSpPr>
          <xdr:cNvPr id="777" name="Line 4567"/>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778" name="Line 4568"/>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779" name="Line 4569"/>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780" name="Line 4570"/>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781" name="Line 4571"/>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782" name="Line 4572"/>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783" name="Line 4573"/>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180</xdr:row>
      <xdr:rowOff>76200</xdr:rowOff>
    </xdr:from>
    <xdr:to>
      <xdr:col>4</xdr:col>
      <xdr:colOff>647700</xdr:colOff>
      <xdr:row>182</xdr:row>
      <xdr:rowOff>83820</xdr:rowOff>
    </xdr:to>
    <xdr:grpSp>
      <xdr:nvGrpSpPr>
        <xdr:cNvPr id="784" name="Group 4582"/>
        <xdr:cNvGrpSpPr>
          <a:grpSpLocks/>
        </xdr:cNvGrpSpPr>
      </xdr:nvGrpSpPr>
      <xdr:grpSpPr bwMode="auto">
        <a:xfrm>
          <a:off x="5319849" y="30480000"/>
          <a:ext cx="106680" cy="355963"/>
          <a:chOff x="3771" y="1155"/>
          <a:chExt cx="4759" cy="14934"/>
        </a:xfrm>
      </xdr:grpSpPr>
      <xdr:sp macro="" textlink="">
        <xdr:nvSpPr>
          <xdr:cNvPr id="785" name="Oval 4583"/>
          <xdr:cNvSpPr>
            <a:spLocks noChangeArrowheads="1"/>
          </xdr:cNvSpPr>
        </xdr:nvSpPr>
        <xdr:spPr bwMode="auto">
          <a:xfrm>
            <a:off x="4643" y="1155"/>
            <a:ext cx="2999" cy="3003"/>
          </a:xfrm>
          <a:prstGeom prst="ellipse">
            <a:avLst/>
          </a:prstGeom>
          <a:solidFill>
            <a:srgbClr val="FFFFFF"/>
          </a:solidFill>
          <a:ln w="9525" algn="ctr">
            <a:solidFill>
              <a:srgbClr val="FF0000"/>
            </a:solidFill>
            <a:round/>
            <a:headEnd/>
            <a:tailEnd/>
          </a:ln>
        </xdr:spPr>
      </xdr:sp>
      <xdr:sp macro="" textlink="">
        <xdr:nvSpPr>
          <xdr:cNvPr id="786" name="Arc 4584"/>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787" name="Arc 4585"/>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788" name="Line 4586"/>
          <xdr:cNvSpPr>
            <a:spLocks noChangeShapeType="1"/>
          </xdr:cNvSpPr>
        </xdr:nvSpPr>
        <xdr:spPr bwMode="auto">
          <a:xfrm>
            <a:off x="3771" y="6471"/>
            <a:ext cx="0" cy="3793"/>
          </a:xfrm>
          <a:prstGeom prst="line">
            <a:avLst/>
          </a:prstGeom>
          <a:noFill/>
          <a:ln w="9525">
            <a:solidFill>
              <a:srgbClr val="FF0000"/>
            </a:solidFill>
            <a:round/>
            <a:headEnd/>
            <a:tailEnd/>
          </a:ln>
        </xdr:spPr>
      </xdr:sp>
      <xdr:sp macro="" textlink="">
        <xdr:nvSpPr>
          <xdr:cNvPr id="789" name="Line 4587"/>
          <xdr:cNvSpPr>
            <a:spLocks noChangeShapeType="1"/>
          </xdr:cNvSpPr>
        </xdr:nvSpPr>
        <xdr:spPr bwMode="auto">
          <a:xfrm>
            <a:off x="3771" y="10264"/>
            <a:ext cx="861" cy="4"/>
          </a:xfrm>
          <a:prstGeom prst="line">
            <a:avLst/>
          </a:prstGeom>
          <a:noFill/>
          <a:ln w="9525">
            <a:solidFill>
              <a:srgbClr val="FF0000"/>
            </a:solidFill>
            <a:round/>
            <a:headEnd/>
            <a:tailEnd/>
          </a:ln>
        </xdr:spPr>
      </xdr:sp>
      <xdr:sp macro="" textlink="">
        <xdr:nvSpPr>
          <xdr:cNvPr id="790" name="Line 4588"/>
          <xdr:cNvSpPr>
            <a:spLocks noChangeShapeType="1"/>
          </xdr:cNvSpPr>
        </xdr:nvSpPr>
        <xdr:spPr bwMode="auto">
          <a:xfrm flipV="1">
            <a:off x="4632" y="6384"/>
            <a:ext cx="4" cy="3880"/>
          </a:xfrm>
          <a:prstGeom prst="line">
            <a:avLst/>
          </a:prstGeom>
          <a:noFill/>
          <a:ln w="9525">
            <a:solidFill>
              <a:srgbClr val="FF0000"/>
            </a:solidFill>
            <a:round/>
            <a:headEnd/>
            <a:tailEnd/>
          </a:ln>
        </xdr:spPr>
      </xdr:sp>
      <xdr:sp macro="" textlink="">
        <xdr:nvSpPr>
          <xdr:cNvPr id="791" name="Line 4589"/>
          <xdr:cNvSpPr>
            <a:spLocks noChangeShapeType="1"/>
          </xdr:cNvSpPr>
        </xdr:nvSpPr>
        <xdr:spPr bwMode="auto">
          <a:xfrm>
            <a:off x="4636" y="6384"/>
            <a:ext cx="211" cy="0"/>
          </a:xfrm>
          <a:prstGeom prst="line">
            <a:avLst/>
          </a:prstGeom>
          <a:noFill/>
          <a:ln w="9525">
            <a:solidFill>
              <a:srgbClr val="FF0000"/>
            </a:solidFill>
            <a:round/>
            <a:headEnd/>
            <a:tailEnd/>
          </a:ln>
        </xdr:spPr>
      </xdr:sp>
      <xdr:sp macro="" textlink="">
        <xdr:nvSpPr>
          <xdr:cNvPr id="792" name="Line 4590"/>
          <xdr:cNvSpPr>
            <a:spLocks noChangeShapeType="1"/>
          </xdr:cNvSpPr>
        </xdr:nvSpPr>
        <xdr:spPr bwMode="auto">
          <a:xfrm>
            <a:off x="4847" y="6384"/>
            <a:ext cx="0" cy="9701"/>
          </a:xfrm>
          <a:prstGeom prst="line">
            <a:avLst/>
          </a:prstGeom>
          <a:noFill/>
          <a:ln w="9525">
            <a:solidFill>
              <a:srgbClr val="FF0000"/>
            </a:solidFill>
            <a:round/>
            <a:headEnd/>
            <a:tailEnd/>
          </a:ln>
        </xdr:spPr>
      </xdr:sp>
      <xdr:sp macro="" textlink="">
        <xdr:nvSpPr>
          <xdr:cNvPr id="793" name="Line 4591"/>
          <xdr:cNvSpPr>
            <a:spLocks noChangeShapeType="1"/>
          </xdr:cNvSpPr>
        </xdr:nvSpPr>
        <xdr:spPr bwMode="auto">
          <a:xfrm>
            <a:off x="4847" y="16085"/>
            <a:ext cx="1077" cy="0"/>
          </a:xfrm>
          <a:prstGeom prst="line">
            <a:avLst/>
          </a:prstGeom>
          <a:noFill/>
          <a:ln w="9525">
            <a:solidFill>
              <a:srgbClr val="FF0000"/>
            </a:solidFill>
            <a:round/>
            <a:headEnd/>
            <a:tailEnd/>
          </a:ln>
        </xdr:spPr>
      </xdr:sp>
      <xdr:sp macro="" textlink="">
        <xdr:nvSpPr>
          <xdr:cNvPr id="794" name="Line 4592"/>
          <xdr:cNvSpPr>
            <a:spLocks noChangeShapeType="1"/>
          </xdr:cNvSpPr>
        </xdr:nvSpPr>
        <xdr:spPr bwMode="auto">
          <a:xfrm flipV="1">
            <a:off x="5924" y="10696"/>
            <a:ext cx="0" cy="5389"/>
          </a:xfrm>
          <a:prstGeom prst="line">
            <a:avLst/>
          </a:prstGeom>
          <a:noFill/>
          <a:ln w="9525">
            <a:solidFill>
              <a:srgbClr val="FF0000"/>
            </a:solidFill>
            <a:round/>
            <a:headEnd/>
            <a:tailEnd/>
          </a:ln>
        </xdr:spPr>
      </xdr:sp>
      <xdr:sp macro="" textlink="">
        <xdr:nvSpPr>
          <xdr:cNvPr id="795" name="Line 4593"/>
          <xdr:cNvSpPr>
            <a:spLocks noChangeShapeType="1"/>
          </xdr:cNvSpPr>
        </xdr:nvSpPr>
        <xdr:spPr bwMode="auto">
          <a:xfrm>
            <a:off x="5924" y="10696"/>
            <a:ext cx="430" cy="3"/>
          </a:xfrm>
          <a:prstGeom prst="line">
            <a:avLst/>
          </a:prstGeom>
          <a:noFill/>
          <a:ln w="9525">
            <a:solidFill>
              <a:srgbClr val="FF0000"/>
            </a:solidFill>
            <a:round/>
            <a:headEnd/>
            <a:tailEnd/>
          </a:ln>
        </xdr:spPr>
      </xdr:sp>
      <xdr:sp macro="" textlink="">
        <xdr:nvSpPr>
          <xdr:cNvPr id="796" name="Line 4594"/>
          <xdr:cNvSpPr>
            <a:spLocks noChangeShapeType="1"/>
          </xdr:cNvSpPr>
        </xdr:nvSpPr>
        <xdr:spPr bwMode="auto">
          <a:xfrm flipV="1">
            <a:off x="6354" y="10696"/>
            <a:ext cx="4" cy="5389"/>
          </a:xfrm>
          <a:prstGeom prst="line">
            <a:avLst/>
          </a:prstGeom>
          <a:noFill/>
          <a:ln w="9525">
            <a:solidFill>
              <a:srgbClr val="FF0000"/>
            </a:solidFill>
            <a:round/>
            <a:headEnd/>
            <a:tailEnd/>
          </a:ln>
        </xdr:spPr>
      </xdr:sp>
      <xdr:sp macro="" textlink="">
        <xdr:nvSpPr>
          <xdr:cNvPr id="797" name="Line 4595"/>
          <xdr:cNvSpPr>
            <a:spLocks noChangeShapeType="1"/>
          </xdr:cNvSpPr>
        </xdr:nvSpPr>
        <xdr:spPr bwMode="auto">
          <a:xfrm>
            <a:off x="6354" y="16085"/>
            <a:ext cx="1077" cy="4"/>
          </a:xfrm>
          <a:prstGeom prst="line">
            <a:avLst/>
          </a:prstGeom>
          <a:noFill/>
          <a:ln w="9525">
            <a:solidFill>
              <a:srgbClr val="FF0000"/>
            </a:solidFill>
            <a:round/>
            <a:headEnd/>
            <a:tailEnd/>
          </a:ln>
        </xdr:spPr>
      </xdr:sp>
      <xdr:sp macro="" textlink="">
        <xdr:nvSpPr>
          <xdr:cNvPr id="798" name="Line 4596"/>
          <xdr:cNvSpPr>
            <a:spLocks noChangeShapeType="1"/>
          </xdr:cNvSpPr>
        </xdr:nvSpPr>
        <xdr:spPr bwMode="auto">
          <a:xfrm flipV="1">
            <a:off x="7431" y="6384"/>
            <a:ext cx="0" cy="9701"/>
          </a:xfrm>
          <a:prstGeom prst="line">
            <a:avLst/>
          </a:prstGeom>
          <a:noFill/>
          <a:ln w="9525">
            <a:solidFill>
              <a:srgbClr val="FF0000"/>
            </a:solidFill>
            <a:round/>
            <a:headEnd/>
            <a:tailEnd/>
          </a:ln>
        </xdr:spPr>
      </xdr:sp>
      <xdr:sp macro="" textlink="">
        <xdr:nvSpPr>
          <xdr:cNvPr id="799" name="Line 4597"/>
          <xdr:cNvSpPr>
            <a:spLocks noChangeShapeType="1"/>
          </xdr:cNvSpPr>
        </xdr:nvSpPr>
        <xdr:spPr bwMode="auto">
          <a:xfrm>
            <a:off x="7431" y="6384"/>
            <a:ext cx="211" cy="4"/>
          </a:xfrm>
          <a:prstGeom prst="line">
            <a:avLst/>
          </a:prstGeom>
          <a:noFill/>
          <a:ln w="9525">
            <a:solidFill>
              <a:srgbClr val="FF0000"/>
            </a:solidFill>
            <a:round/>
            <a:headEnd/>
            <a:tailEnd/>
          </a:ln>
        </xdr:spPr>
      </xdr:sp>
      <xdr:sp macro="" textlink="">
        <xdr:nvSpPr>
          <xdr:cNvPr id="800" name="Line 4598"/>
          <xdr:cNvSpPr>
            <a:spLocks noChangeShapeType="1"/>
          </xdr:cNvSpPr>
        </xdr:nvSpPr>
        <xdr:spPr bwMode="auto">
          <a:xfrm>
            <a:off x="7665" y="6380"/>
            <a:ext cx="4" cy="3881"/>
          </a:xfrm>
          <a:prstGeom prst="line">
            <a:avLst/>
          </a:prstGeom>
          <a:noFill/>
          <a:ln w="9525">
            <a:solidFill>
              <a:srgbClr val="FF0000"/>
            </a:solidFill>
            <a:round/>
            <a:headEnd/>
            <a:tailEnd/>
          </a:ln>
        </xdr:spPr>
      </xdr:sp>
      <xdr:sp macro="" textlink="">
        <xdr:nvSpPr>
          <xdr:cNvPr id="801" name="Line 4599"/>
          <xdr:cNvSpPr>
            <a:spLocks noChangeShapeType="1"/>
          </xdr:cNvSpPr>
        </xdr:nvSpPr>
        <xdr:spPr bwMode="auto">
          <a:xfrm>
            <a:off x="7665" y="10261"/>
            <a:ext cx="861" cy="3"/>
          </a:xfrm>
          <a:prstGeom prst="line">
            <a:avLst/>
          </a:prstGeom>
          <a:noFill/>
          <a:ln w="9525">
            <a:solidFill>
              <a:srgbClr val="FF0000"/>
            </a:solidFill>
            <a:round/>
            <a:headEnd/>
            <a:tailEnd/>
          </a:ln>
        </xdr:spPr>
      </xdr:sp>
      <xdr:sp macro="" textlink="">
        <xdr:nvSpPr>
          <xdr:cNvPr id="802" name="Line 4600"/>
          <xdr:cNvSpPr>
            <a:spLocks noChangeShapeType="1"/>
          </xdr:cNvSpPr>
        </xdr:nvSpPr>
        <xdr:spPr bwMode="auto">
          <a:xfrm flipV="1">
            <a:off x="8526" y="6475"/>
            <a:ext cx="4" cy="3786"/>
          </a:xfrm>
          <a:prstGeom prst="line">
            <a:avLst/>
          </a:prstGeom>
          <a:noFill/>
          <a:ln w="9525">
            <a:solidFill>
              <a:srgbClr val="FF0000"/>
            </a:solidFill>
            <a:round/>
            <a:headEnd/>
            <a:tailEnd/>
          </a:ln>
        </xdr:spPr>
      </xdr:sp>
      <xdr:sp macro="" textlink="">
        <xdr:nvSpPr>
          <xdr:cNvPr id="803" name="Line 4601"/>
          <xdr:cNvSpPr>
            <a:spLocks noChangeShapeType="1"/>
          </xdr:cNvSpPr>
        </xdr:nvSpPr>
        <xdr:spPr bwMode="auto">
          <a:xfrm flipH="1">
            <a:off x="5807" y="4432"/>
            <a:ext cx="683" cy="0"/>
          </a:xfrm>
          <a:prstGeom prst="line">
            <a:avLst/>
          </a:prstGeom>
          <a:noFill/>
          <a:ln w="9525">
            <a:solidFill>
              <a:srgbClr val="FF0000"/>
            </a:solidFill>
            <a:round/>
            <a:headEnd/>
            <a:tailEnd/>
          </a:ln>
        </xdr:spPr>
      </xdr:sp>
    </xdr:grpSp>
    <xdr:clientData/>
  </xdr:twoCellAnchor>
  <xdr:twoCellAnchor>
    <xdr:from>
      <xdr:col>4</xdr:col>
      <xdr:colOff>838200</xdr:colOff>
      <xdr:row>180</xdr:row>
      <xdr:rowOff>60960</xdr:rowOff>
    </xdr:from>
    <xdr:to>
      <xdr:col>4</xdr:col>
      <xdr:colOff>975360</xdr:colOff>
      <xdr:row>182</xdr:row>
      <xdr:rowOff>83820</xdr:rowOff>
    </xdr:to>
    <xdr:grpSp>
      <xdr:nvGrpSpPr>
        <xdr:cNvPr id="804" name="Group 4602"/>
        <xdr:cNvGrpSpPr>
          <a:grpSpLocks/>
        </xdr:cNvGrpSpPr>
      </xdr:nvGrpSpPr>
      <xdr:grpSpPr bwMode="auto">
        <a:xfrm>
          <a:off x="5617029" y="30464760"/>
          <a:ext cx="137160" cy="371203"/>
          <a:chOff x="1857" y="2993"/>
          <a:chExt cx="4178" cy="10157"/>
        </a:xfrm>
      </xdr:grpSpPr>
      <xdr:grpSp>
        <xdr:nvGrpSpPr>
          <xdr:cNvPr id="805" name="Group 4603"/>
          <xdr:cNvGrpSpPr>
            <a:grpSpLocks/>
          </xdr:cNvGrpSpPr>
        </xdr:nvGrpSpPr>
        <xdr:grpSpPr bwMode="auto">
          <a:xfrm rot="1441604">
            <a:off x="4764" y="2993"/>
            <a:ext cx="570" cy="2736"/>
            <a:chOff x="4251" y="2947"/>
            <a:chExt cx="570" cy="2736"/>
          </a:xfrm>
        </xdr:grpSpPr>
        <xdr:sp macro="" textlink="">
          <xdr:nvSpPr>
            <xdr:cNvPr id="817" name="Line 4604"/>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818" name="Line 4605"/>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819" name="Line 4606"/>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820" name="Line 4607"/>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806" name="Group 4608"/>
          <xdr:cNvGrpSpPr>
            <a:grpSpLocks/>
          </xdr:cNvGrpSpPr>
        </xdr:nvGrpSpPr>
        <xdr:grpSpPr bwMode="auto">
          <a:xfrm rot="8464448">
            <a:off x="5468" y="5524"/>
            <a:ext cx="569" cy="2733"/>
            <a:chOff x="4677" y="4047"/>
            <a:chExt cx="495" cy="2386"/>
          </a:xfrm>
        </xdr:grpSpPr>
        <xdr:sp macro="" textlink="">
          <xdr:nvSpPr>
            <xdr:cNvPr id="813" name="Line 4609"/>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814" name="Line 4610"/>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815" name="Line 4611"/>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816" name="Line 4612"/>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807" name="Group 4613"/>
          <xdr:cNvGrpSpPr>
            <a:grpSpLocks/>
          </xdr:cNvGrpSpPr>
        </xdr:nvGrpSpPr>
        <xdr:grpSpPr bwMode="auto">
          <a:xfrm rot="-5905833">
            <a:off x="2936" y="4830"/>
            <a:ext cx="571" cy="2733"/>
            <a:chOff x="4677" y="4047"/>
            <a:chExt cx="495" cy="2386"/>
          </a:xfrm>
        </xdr:grpSpPr>
        <xdr:sp macro="" textlink="">
          <xdr:nvSpPr>
            <xdr:cNvPr id="809" name="Line 4614"/>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810" name="Line 4615"/>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811" name="Line 4616"/>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812" name="Line 4617"/>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808" name="AutoShape 4618"/>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180</xdr:row>
      <xdr:rowOff>76200</xdr:rowOff>
    </xdr:from>
    <xdr:to>
      <xdr:col>4</xdr:col>
      <xdr:colOff>342900</xdr:colOff>
      <xdr:row>182</xdr:row>
      <xdr:rowOff>83820</xdr:rowOff>
    </xdr:to>
    <xdr:grpSp>
      <xdr:nvGrpSpPr>
        <xdr:cNvPr id="821" name="Group 4619"/>
        <xdr:cNvGrpSpPr>
          <a:grpSpLocks/>
        </xdr:cNvGrpSpPr>
      </xdr:nvGrpSpPr>
      <xdr:grpSpPr bwMode="auto">
        <a:xfrm>
          <a:off x="4885509" y="30480000"/>
          <a:ext cx="236220" cy="355963"/>
          <a:chOff x="5163" y="2548"/>
          <a:chExt cx="2109" cy="2909"/>
        </a:xfrm>
      </xdr:grpSpPr>
      <xdr:sp macro="" textlink="">
        <xdr:nvSpPr>
          <xdr:cNvPr id="822" name="Rectangle 4620"/>
          <xdr:cNvSpPr>
            <a:spLocks noChangeArrowheads="1"/>
          </xdr:cNvSpPr>
        </xdr:nvSpPr>
        <xdr:spPr bwMode="auto">
          <a:xfrm>
            <a:off x="5163" y="2548"/>
            <a:ext cx="1938" cy="2736"/>
          </a:xfrm>
          <a:prstGeom prst="rect">
            <a:avLst/>
          </a:prstGeom>
          <a:solidFill>
            <a:srgbClr val="FFFFFF"/>
          </a:solidFill>
          <a:ln w="9525" algn="ctr">
            <a:solidFill>
              <a:srgbClr val="FF0000"/>
            </a:solidFill>
            <a:miter lim="800000"/>
            <a:headEnd/>
            <a:tailEnd/>
          </a:ln>
        </xdr:spPr>
      </xdr:sp>
      <xdr:sp macro="" textlink="">
        <xdr:nvSpPr>
          <xdr:cNvPr id="823" name="Line 4621"/>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824" name="Line 4622"/>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825" name="Line 4623"/>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826" name="Line 4624"/>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827" name="Line 4625"/>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828" name="Line 4626"/>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829" name="Line 4627"/>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830" name="Line 4628"/>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831" name="Line 4629"/>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832" name="Line 4630"/>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833" name="Line 4631"/>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834" name="Line 4632"/>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835" name="Line 4633"/>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180</xdr:row>
      <xdr:rowOff>114300</xdr:rowOff>
    </xdr:from>
    <xdr:to>
      <xdr:col>4</xdr:col>
      <xdr:colOff>1478280</xdr:colOff>
      <xdr:row>182</xdr:row>
      <xdr:rowOff>121920</xdr:rowOff>
    </xdr:to>
    <xdr:grpSp>
      <xdr:nvGrpSpPr>
        <xdr:cNvPr id="836" name="Group 4634"/>
        <xdr:cNvGrpSpPr>
          <a:grpSpLocks/>
        </xdr:cNvGrpSpPr>
      </xdr:nvGrpSpPr>
      <xdr:grpSpPr bwMode="auto">
        <a:xfrm>
          <a:off x="5952309" y="30518100"/>
          <a:ext cx="304800" cy="355963"/>
          <a:chOff x="5238" y="4632"/>
          <a:chExt cx="1597" cy="1311"/>
        </a:xfrm>
      </xdr:grpSpPr>
      <xdr:sp macro="" textlink="">
        <xdr:nvSpPr>
          <xdr:cNvPr id="837" name="Line 4635"/>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838" name="Line 4636"/>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839" name="Line 4637"/>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840" name="Line 4638"/>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841" name="Line 4639"/>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842" name="Line 4640"/>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843" name="Line 4641"/>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183</xdr:row>
      <xdr:rowOff>76200</xdr:rowOff>
    </xdr:from>
    <xdr:to>
      <xdr:col>4</xdr:col>
      <xdr:colOff>647700</xdr:colOff>
      <xdr:row>185</xdr:row>
      <xdr:rowOff>83820</xdr:rowOff>
    </xdr:to>
    <xdr:grpSp>
      <xdr:nvGrpSpPr>
        <xdr:cNvPr id="844" name="Group 4648"/>
        <xdr:cNvGrpSpPr>
          <a:grpSpLocks/>
        </xdr:cNvGrpSpPr>
      </xdr:nvGrpSpPr>
      <xdr:grpSpPr bwMode="auto">
        <a:xfrm>
          <a:off x="5319849" y="31013400"/>
          <a:ext cx="106680" cy="355963"/>
          <a:chOff x="3771" y="1155"/>
          <a:chExt cx="4759" cy="14934"/>
        </a:xfrm>
      </xdr:grpSpPr>
      <xdr:sp macro="" textlink="">
        <xdr:nvSpPr>
          <xdr:cNvPr id="845" name="Oval 4649"/>
          <xdr:cNvSpPr>
            <a:spLocks noChangeArrowheads="1"/>
          </xdr:cNvSpPr>
        </xdr:nvSpPr>
        <xdr:spPr bwMode="auto">
          <a:xfrm>
            <a:off x="4643" y="1155"/>
            <a:ext cx="2999" cy="3003"/>
          </a:xfrm>
          <a:prstGeom prst="ellipse">
            <a:avLst/>
          </a:prstGeom>
          <a:solidFill>
            <a:srgbClr val="FFFFFF"/>
          </a:solidFill>
          <a:ln w="9525" algn="ctr">
            <a:solidFill>
              <a:srgbClr val="FF0000"/>
            </a:solidFill>
            <a:round/>
            <a:headEnd/>
            <a:tailEnd/>
          </a:ln>
        </xdr:spPr>
      </xdr:sp>
      <xdr:sp macro="" textlink="">
        <xdr:nvSpPr>
          <xdr:cNvPr id="846" name="Arc 4650"/>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847" name="Arc 4651"/>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848" name="Line 4652"/>
          <xdr:cNvSpPr>
            <a:spLocks noChangeShapeType="1"/>
          </xdr:cNvSpPr>
        </xdr:nvSpPr>
        <xdr:spPr bwMode="auto">
          <a:xfrm>
            <a:off x="3771" y="6471"/>
            <a:ext cx="0" cy="3793"/>
          </a:xfrm>
          <a:prstGeom prst="line">
            <a:avLst/>
          </a:prstGeom>
          <a:noFill/>
          <a:ln w="9525">
            <a:solidFill>
              <a:srgbClr val="FF0000"/>
            </a:solidFill>
            <a:round/>
            <a:headEnd/>
            <a:tailEnd/>
          </a:ln>
        </xdr:spPr>
      </xdr:sp>
      <xdr:sp macro="" textlink="">
        <xdr:nvSpPr>
          <xdr:cNvPr id="849" name="Line 4653"/>
          <xdr:cNvSpPr>
            <a:spLocks noChangeShapeType="1"/>
          </xdr:cNvSpPr>
        </xdr:nvSpPr>
        <xdr:spPr bwMode="auto">
          <a:xfrm>
            <a:off x="3771" y="10264"/>
            <a:ext cx="861" cy="4"/>
          </a:xfrm>
          <a:prstGeom prst="line">
            <a:avLst/>
          </a:prstGeom>
          <a:noFill/>
          <a:ln w="9525">
            <a:solidFill>
              <a:srgbClr val="FF0000"/>
            </a:solidFill>
            <a:round/>
            <a:headEnd/>
            <a:tailEnd/>
          </a:ln>
        </xdr:spPr>
      </xdr:sp>
      <xdr:sp macro="" textlink="">
        <xdr:nvSpPr>
          <xdr:cNvPr id="850" name="Line 4654"/>
          <xdr:cNvSpPr>
            <a:spLocks noChangeShapeType="1"/>
          </xdr:cNvSpPr>
        </xdr:nvSpPr>
        <xdr:spPr bwMode="auto">
          <a:xfrm flipV="1">
            <a:off x="4632" y="6384"/>
            <a:ext cx="4" cy="3880"/>
          </a:xfrm>
          <a:prstGeom prst="line">
            <a:avLst/>
          </a:prstGeom>
          <a:noFill/>
          <a:ln w="9525">
            <a:solidFill>
              <a:srgbClr val="FF0000"/>
            </a:solidFill>
            <a:round/>
            <a:headEnd/>
            <a:tailEnd/>
          </a:ln>
        </xdr:spPr>
      </xdr:sp>
      <xdr:sp macro="" textlink="">
        <xdr:nvSpPr>
          <xdr:cNvPr id="851" name="Line 4655"/>
          <xdr:cNvSpPr>
            <a:spLocks noChangeShapeType="1"/>
          </xdr:cNvSpPr>
        </xdr:nvSpPr>
        <xdr:spPr bwMode="auto">
          <a:xfrm>
            <a:off x="4636" y="6384"/>
            <a:ext cx="211" cy="0"/>
          </a:xfrm>
          <a:prstGeom prst="line">
            <a:avLst/>
          </a:prstGeom>
          <a:noFill/>
          <a:ln w="9525">
            <a:solidFill>
              <a:srgbClr val="FF0000"/>
            </a:solidFill>
            <a:round/>
            <a:headEnd/>
            <a:tailEnd/>
          </a:ln>
        </xdr:spPr>
      </xdr:sp>
      <xdr:sp macro="" textlink="">
        <xdr:nvSpPr>
          <xdr:cNvPr id="852" name="Line 4656"/>
          <xdr:cNvSpPr>
            <a:spLocks noChangeShapeType="1"/>
          </xdr:cNvSpPr>
        </xdr:nvSpPr>
        <xdr:spPr bwMode="auto">
          <a:xfrm>
            <a:off x="4847" y="6384"/>
            <a:ext cx="0" cy="9701"/>
          </a:xfrm>
          <a:prstGeom prst="line">
            <a:avLst/>
          </a:prstGeom>
          <a:noFill/>
          <a:ln w="9525">
            <a:solidFill>
              <a:srgbClr val="FF0000"/>
            </a:solidFill>
            <a:round/>
            <a:headEnd/>
            <a:tailEnd/>
          </a:ln>
        </xdr:spPr>
      </xdr:sp>
      <xdr:sp macro="" textlink="">
        <xdr:nvSpPr>
          <xdr:cNvPr id="853" name="Line 4657"/>
          <xdr:cNvSpPr>
            <a:spLocks noChangeShapeType="1"/>
          </xdr:cNvSpPr>
        </xdr:nvSpPr>
        <xdr:spPr bwMode="auto">
          <a:xfrm>
            <a:off x="4847" y="16085"/>
            <a:ext cx="1077" cy="0"/>
          </a:xfrm>
          <a:prstGeom prst="line">
            <a:avLst/>
          </a:prstGeom>
          <a:noFill/>
          <a:ln w="9525">
            <a:solidFill>
              <a:srgbClr val="FF0000"/>
            </a:solidFill>
            <a:round/>
            <a:headEnd/>
            <a:tailEnd/>
          </a:ln>
        </xdr:spPr>
      </xdr:sp>
      <xdr:sp macro="" textlink="">
        <xdr:nvSpPr>
          <xdr:cNvPr id="854" name="Line 4658"/>
          <xdr:cNvSpPr>
            <a:spLocks noChangeShapeType="1"/>
          </xdr:cNvSpPr>
        </xdr:nvSpPr>
        <xdr:spPr bwMode="auto">
          <a:xfrm flipV="1">
            <a:off x="5924" y="10696"/>
            <a:ext cx="0" cy="5389"/>
          </a:xfrm>
          <a:prstGeom prst="line">
            <a:avLst/>
          </a:prstGeom>
          <a:noFill/>
          <a:ln w="9525">
            <a:solidFill>
              <a:srgbClr val="FF0000"/>
            </a:solidFill>
            <a:round/>
            <a:headEnd/>
            <a:tailEnd/>
          </a:ln>
        </xdr:spPr>
      </xdr:sp>
      <xdr:sp macro="" textlink="">
        <xdr:nvSpPr>
          <xdr:cNvPr id="855" name="Line 4659"/>
          <xdr:cNvSpPr>
            <a:spLocks noChangeShapeType="1"/>
          </xdr:cNvSpPr>
        </xdr:nvSpPr>
        <xdr:spPr bwMode="auto">
          <a:xfrm>
            <a:off x="5924" y="10696"/>
            <a:ext cx="430" cy="3"/>
          </a:xfrm>
          <a:prstGeom prst="line">
            <a:avLst/>
          </a:prstGeom>
          <a:noFill/>
          <a:ln w="9525">
            <a:solidFill>
              <a:srgbClr val="FF0000"/>
            </a:solidFill>
            <a:round/>
            <a:headEnd/>
            <a:tailEnd/>
          </a:ln>
        </xdr:spPr>
      </xdr:sp>
      <xdr:sp macro="" textlink="">
        <xdr:nvSpPr>
          <xdr:cNvPr id="856" name="Line 4660"/>
          <xdr:cNvSpPr>
            <a:spLocks noChangeShapeType="1"/>
          </xdr:cNvSpPr>
        </xdr:nvSpPr>
        <xdr:spPr bwMode="auto">
          <a:xfrm flipV="1">
            <a:off x="6354" y="10696"/>
            <a:ext cx="4" cy="5389"/>
          </a:xfrm>
          <a:prstGeom prst="line">
            <a:avLst/>
          </a:prstGeom>
          <a:noFill/>
          <a:ln w="9525">
            <a:solidFill>
              <a:srgbClr val="FF0000"/>
            </a:solidFill>
            <a:round/>
            <a:headEnd/>
            <a:tailEnd/>
          </a:ln>
        </xdr:spPr>
      </xdr:sp>
      <xdr:sp macro="" textlink="">
        <xdr:nvSpPr>
          <xdr:cNvPr id="857" name="Line 4661"/>
          <xdr:cNvSpPr>
            <a:spLocks noChangeShapeType="1"/>
          </xdr:cNvSpPr>
        </xdr:nvSpPr>
        <xdr:spPr bwMode="auto">
          <a:xfrm>
            <a:off x="6354" y="16085"/>
            <a:ext cx="1077" cy="4"/>
          </a:xfrm>
          <a:prstGeom prst="line">
            <a:avLst/>
          </a:prstGeom>
          <a:noFill/>
          <a:ln w="9525">
            <a:solidFill>
              <a:srgbClr val="FF0000"/>
            </a:solidFill>
            <a:round/>
            <a:headEnd/>
            <a:tailEnd/>
          </a:ln>
        </xdr:spPr>
      </xdr:sp>
      <xdr:sp macro="" textlink="">
        <xdr:nvSpPr>
          <xdr:cNvPr id="858" name="Line 4662"/>
          <xdr:cNvSpPr>
            <a:spLocks noChangeShapeType="1"/>
          </xdr:cNvSpPr>
        </xdr:nvSpPr>
        <xdr:spPr bwMode="auto">
          <a:xfrm flipV="1">
            <a:off x="7431" y="6384"/>
            <a:ext cx="0" cy="9701"/>
          </a:xfrm>
          <a:prstGeom prst="line">
            <a:avLst/>
          </a:prstGeom>
          <a:noFill/>
          <a:ln w="9525">
            <a:solidFill>
              <a:srgbClr val="FF0000"/>
            </a:solidFill>
            <a:round/>
            <a:headEnd/>
            <a:tailEnd/>
          </a:ln>
        </xdr:spPr>
      </xdr:sp>
      <xdr:sp macro="" textlink="">
        <xdr:nvSpPr>
          <xdr:cNvPr id="859" name="Line 4663"/>
          <xdr:cNvSpPr>
            <a:spLocks noChangeShapeType="1"/>
          </xdr:cNvSpPr>
        </xdr:nvSpPr>
        <xdr:spPr bwMode="auto">
          <a:xfrm>
            <a:off x="7431" y="6384"/>
            <a:ext cx="211" cy="4"/>
          </a:xfrm>
          <a:prstGeom prst="line">
            <a:avLst/>
          </a:prstGeom>
          <a:noFill/>
          <a:ln w="9525">
            <a:solidFill>
              <a:srgbClr val="FF0000"/>
            </a:solidFill>
            <a:round/>
            <a:headEnd/>
            <a:tailEnd/>
          </a:ln>
        </xdr:spPr>
      </xdr:sp>
      <xdr:sp macro="" textlink="">
        <xdr:nvSpPr>
          <xdr:cNvPr id="860" name="Line 4664"/>
          <xdr:cNvSpPr>
            <a:spLocks noChangeShapeType="1"/>
          </xdr:cNvSpPr>
        </xdr:nvSpPr>
        <xdr:spPr bwMode="auto">
          <a:xfrm>
            <a:off x="7665" y="6380"/>
            <a:ext cx="4" cy="3881"/>
          </a:xfrm>
          <a:prstGeom prst="line">
            <a:avLst/>
          </a:prstGeom>
          <a:noFill/>
          <a:ln w="9525">
            <a:solidFill>
              <a:srgbClr val="FF0000"/>
            </a:solidFill>
            <a:round/>
            <a:headEnd/>
            <a:tailEnd/>
          </a:ln>
        </xdr:spPr>
      </xdr:sp>
      <xdr:sp macro="" textlink="">
        <xdr:nvSpPr>
          <xdr:cNvPr id="861" name="Line 4665"/>
          <xdr:cNvSpPr>
            <a:spLocks noChangeShapeType="1"/>
          </xdr:cNvSpPr>
        </xdr:nvSpPr>
        <xdr:spPr bwMode="auto">
          <a:xfrm>
            <a:off x="7665" y="10261"/>
            <a:ext cx="861" cy="3"/>
          </a:xfrm>
          <a:prstGeom prst="line">
            <a:avLst/>
          </a:prstGeom>
          <a:noFill/>
          <a:ln w="9525">
            <a:solidFill>
              <a:srgbClr val="FF0000"/>
            </a:solidFill>
            <a:round/>
            <a:headEnd/>
            <a:tailEnd/>
          </a:ln>
        </xdr:spPr>
      </xdr:sp>
      <xdr:sp macro="" textlink="">
        <xdr:nvSpPr>
          <xdr:cNvPr id="862" name="Line 4666"/>
          <xdr:cNvSpPr>
            <a:spLocks noChangeShapeType="1"/>
          </xdr:cNvSpPr>
        </xdr:nvSpPr>
        <xdr:spPr bwMode="auto">
          <a:xfrm flipV="1">
            <a:off x="8526" y="6475"/>
            <a:ext cx="4" cy="3786"/>
          </a:xfrm>
          <a:prstGeom prst="line">
            <a:avLst/>
          </a:prstGeom>
          <a:noFill/>
          <a:ln w="9525">
            <a:solidFill>
              <a:srgbClr val="FF0000"/>
            </a:solidFill>
            <a:round/>
            <a:headEnd/>
            <a:tailEnd/>
          </a:ln>
        </xdr:spPr>
      </xdr:sp>
      <xdr:sp macro="" textlink="">
        <xdr:nvSpPr>
          <xdr:cNvPr id="863" name="Line 4667"/>
          <xdr:cNvSpPr>
            <a:spLocks noChangeShapeType="1"/>
          </xdr:cNvSpPr>
        </xdr:nvSpPr>
        <xdr:spPr bwMode="auto">
          <a:xfrm flipH="1">
            <a:off x="5807" y="4432"/>
            <a:ext cx="683" cy="0"/>
          </a:xfrm>
          <a:prstGeom prst="line">
            <a:avLst/>
          </a:prstGeom>
          <a:noFill/>
          <a:ln w="9525">
            <a:solidFill>
              <a:srgbClr val="FF0000"/>
            </a:solidFill>
            <a:round/>
            <a:headEnd/>
            <a:tailEnd/>
          </a:ln>
        </xdr:spPr>
      </xdr:sp>
    </xdr:grpSp>
    <xdr:clientData/>
  </xdr:twoCellAnchor>
  <xdr:twoCellAnchor>
    <xdr:from>
      <xdr:col>4</xdr:col>
      <xdr:colOff>838200</xdr:colOff>
      <xdr:row>183</xdr:row>
      <xdr:rowOff>60960</xdr:rowOff>
    </xdr:from>
    <xdr:to>
      <xdr:col>4</xdr:col>
      <xdr:colOff>975360</xdr:colOff>
      <xdr:row>185</xdr:row>
      <xdr:rowOff>83820</xdr:rowOff>
    </xdr:to>
    <xdr:grpSp>
      <xdr:nvGrpSpPr>
        <xdr:cNvPr id="864" name="Group 4668"/>
        <xdr:cNvGrpSpPr>
          <a:grpSpLocks/>
        </xdr:cNvGrpSpPr>
      </xdr:nvGrpSpPr>
      <xdr:grpSpPr bwMode="auto">
        <a:xfrm>
          <a:off x="5617029" y="30998160"/>
          <a:ext cx="137160" cy="371203"/>
          <a:chOff x="1857" y="2993"/>
          <a:chExt cx="4178" cy="10157"/>
        </a:xfrm>
      </xdr:grpSpPr>
      <xdr:grpSp>
        <xdr:nvGrpSpPr>
          <xdr:cNvPr id="865" name="Group 4669"/>
          <xdr:cNvGrpSpPr>
            <a:grpSpLocks/>
          </xdr:cNvGrpSpPr>
        </xdr:nvGrpSpPr>
        <xdr:grpSpPr bwMode="auto">
          <a:xfrm rot="1441604">
            <a:off x="4764" y="2993"/>
            <a:ext cx="570" cy="2736"/>
            <a:chOff x="4251" y="2947"/>
            <a:chExt cx="570" cy="2736"/>
          </a:xfrm>
        </xdr:grpSpPr>
        <xdr:sp macro="" textlink="">
          <xdr:nvSpPr>
            <xdr:cNvPr id="877" name="Line 4670"/>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878" name="Line 4671"/>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879" name="Line 4672"/>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880" name="Line 4673"/>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866" name="Group 4674"/>
          <xdr:cNvGrpSpPr>
            <a:grpSpLocks/>
          </xdr:cNvGrpSpPr>
        </xdr:nvGrpSpPr>
        <xdr:grpSpPr bwMode="auto">
          <a:xfrm rot="8464448">
            <a:off x="5468" y="5524"/>
            <a:ext cx="569" cy="2733"/>
            <a:chOff x="4677" y="4047"/>
            <a:chExt cx="495" cy="2386"/>
          </a:xfrm>
        </xdr:grpSpPr>
        <xdr:sp macro="" textlink="">
          <xdr:nvSpPr>
            <xdr:cNvPr id="873" name="Line 4675"/>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874" name="Line 4676"/>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875" name="Line 4677"/>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876" name="Line 4678"/>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867" name="Group 4679"/>
          <xdr:cNvGrpSpPr>
            <a:grpSpLocks/>
          </xdr:cNvGrpSpPr>
        </xdr:nvGrpSpPr>
        <xdr:grpSpPr bwMode="auto">
          <a:xfrm rot="-5905833">
            <a:off x="2936" y="4830"/>
            <a:ext cx="571" cy="2733"/>
            <a:chOff x="4677" y="4047"/>
            <a:chExt cx="495" cy="2386"/>
          </a:xfrm>
        </xdr:grpSpPr>
        <xdr:sp macro="" textlink="">
          <xdr:nvSpPr>
            <xdr:cNvPr id="869" name="Line 4680"/>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870" name="Line 4681"/>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871" name="Line 4682"/>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872" name="Line 4683"/>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868" name="AutoShape 4684"/>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183</xdr:row>
      <xdr:rowOff>76200</xdr:rowOff>
    </xdr:from>
    <xdr:to>
      <xdr:col>4</xdr:col>
      <xdr:colOff>342900</xdr:colOff>
      <xdr:row>185</xdr:row>
      <xdr:rowOff>83820</xdr:rowOff>
    </xdr:to>
    <xdr:grpSp>
      <xdr:nvGrpSpPr>
        <xdr:cNvPr id="881" name="Group 4685"/>
        <xdr:cNvGrpSpPr>
          <a:grpSpLocks/>
        </xdr:cNvGrpSpPr>
      </xdr:nvGrpSpPr>
      <xdr:grpSpPr bwMode="auto">
        <a:xfrm>
          <a:off x="4885509" y="31013400"/>
          <a:ext cx="236220" cy="355963"/>
          <a:chOff x="5163" y="2548"/>
          <a:chExt cx="2109" cy="2909"/>
        </a:xfrm>
      </xdr:grpSpPr>
      <xdr:sp macro="" textlink="">
        <xdr:nvSpPr>
          <xdr:cNvPr id="882" name="Rectangle 4686"/>
          <xdr:cNvSpPr>
            <a:spLocks noChangeArrowheads="1"/>
          </xdr:cNvSpPr>
        </xdr:nvSpPr>
        <xdr:spPr bwMode="auto">
          <a:xfrm>
            <a:off x="5163" y="2548"/>
            <a:ext cx="1938" cy="2736"/>
          </a:xfrm>
          <a:prstGeom prst="rect">
            <a:avLst/>
          </a:prstGeom>
          <a:solidFill>
            <a:srgbClr val="FFFFFF"/>
          </a:solidFill>
          <a:ln w="9525" algn="ctr">
            <a:solidFill>
              <a:srgbClr val="FF0000"/>
            </a:solidFill>
            <a:miter lim="800000"/>
            <a:headEnd/>
            <a:tailEnd/>
          </a:ln>
        </xdr:spPr>
      </xdr:sp>
      <xdr:sp macro="" textlink="">
        <xdr:nvSpPr>
          <xdr:cNvPr id="883" name="Line 4687"/>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884" name="Line 4688"/>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885" name="Line 4689"/>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886" name="Line 4690"/>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887" name="Line 4691"/>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888" name="Line 4692"/>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889" name="Line 4693"/>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890" name="Line 4694"/>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891" name="Line 4695"/>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892" name="Line 4696"/>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893" name="Line 4697"/>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894" name="Line 4698"/>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895" name="Line 4699"/>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183</xdr:row>
      <xdr:rowOff>114300</xdr:rowOff>
    </xdr:from>
    <xdr:to>
      <xdr:col>4</xdr:col>
      <xdr:colOff>1478280</xdr:colOff>
      <xdr:row>185</xdr:row>
      <xdr:rowOff>121920</xdr:rowOff>
    </xdr:to>
    <xdr:grpSp>
      <xdr:nvGrpSpPr>
        <xdr:cNvPr id="896" name="Group 4700"/>
        <xdr:cNvGrpSpPr>
          <a:grpSpLocks/>
        </xdr:cNvGrpSpPr>
      </xdr:nvGrpSpPr>
      <xdr:grpSpPr bwMode="auto">
        <a:xfrm>
          <a:off x="5952309" y="31051500"/>
          <a:ext cx="304800" cy="355963"/>
          <a:chOff x="5238" y="4632"/>
          <a:chExt cx="1597" cy="1311"/>
        </a:xfrm>
      </xdr:grpSpPr>
      <xdr:sp macro="" textlink="">
        <xdr:nvSpPr>
          <xdr:cNvPr id="897" name="Line 4701"/>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898" name="Line 4702"/>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899" name="Line 4703"/>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900" name="Line 4704"/>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901" name="Line 4705"/>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902" name="Line 4706"/>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903" name="Line 4707"/>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60</xdr:row>
      <xdr:rowOff>76200</xdr:rowOff>
    </xdr:from>
    <xdr:to>
      <xdr:col>4</xdr:col>
      <xdr:colOff>647700</xdr:colOff>
      <xdr:row>62</xdr:row>
      <xdr:rowOff>83820</xdr:rowOff>
    </xdr:to>
    <xdr:grpSp>
      <xdr:nvGrpSpPr>
        <xdr:cNvPr id="1084" name="Group 5054"/>
        <xdr:cNvGrpSpPr>
          <a:grpSpLocks/>
        </xdr:cNvGrpSpPr>
      </xdr:nvGrpSpPr>
      <xdr:grpSpPr bwMode="auto">
        <a:xfrm>
          <a:off x="5319849" y="9144000"/>
          <a:ext cx="106680" cy="355963"/>
          <a:chOff x="3771" y="1155"/>
          <a:chExt cx="4759" cy="14934"/>
        </a:xfrm>
      </xdr:grpSpPr>
      <xdr:sp macro="" textlink="">
        <xdr:nvSpPr>
          <xdr:cNvPr id="1085" name="Oval 5055"/>
          <xdr:cNvSpPr>
            <a:spLocks noChangeArrowheads="1"/>
          </xdr:cNvSpPr>
        </xdr:nvSpPr>
        <xdr:spPr bwMode="auto">
          <a:xfrm>
            <a:off x="4643" y="1155"/>
            <a:ext cx="2999" cy="3003"/>
          </a:xfrm>
          <a:prstGeom prst="ellipse">
            <a:avLst/>
          </a:prstGeom>
          <a:solidFill>
            <a:srgbClr val="FFFFFF"/>
          </a:solidFill>
          <a:ln w="9525" algn="ctr">
            <a:solidFill>
              <a:srgbClr val="FF0000"/>
            </a:solidFill>
            <a:round/>
            <a:headEnd/>
            <a:tailEnd/>
          </a:ln>
        </xdr:spPr>
      </xdr:sp>
      <xdr:sp macro="" textlink="">
        <xdr:nvSpPr>
          <xdr:cNvPr id="1086" name="Arc 5056"/>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1087" name="Arc 5057"/>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1088" name="Line 5058"/>
          <xdr:cNvSpPr>
            <a:spLocks noChangeShapeType="1"/>
          </xdr:cNvSpPr>
        </xdr:nvSpPr>
        <xdr:spPr bwMode="auto">
          <a:xfrm>
            <a:off x="3771" y="6471"/>
            <a:ext cx="0" cy="3793"/>
          </a:xfrm>
          <a:prstGeom prst="line">
            <a:avLst/>
          </a:prstGeom>
          <a:noFill/>
          <a:ln w="9525">
            <a:solidFill>
              <a:srgbClr val="FF0000"/>
            </a:solidFill>
            <a:round/>
            <a:headEnd/>
            <a:tailEnd/>
          </a:ln>
        </xdr:spPr>
      </xdr:sp>
      <xdr:sp macro="" textlink="">
        <xdr:nvSpPr>
          <xdr:cNvPr id="1089" name="Line 5059"/>
          <xdr:cNvSpPr>
            <a:spLocks noChangeShapeType="1"/>
          </xdr:cNvSpPr>
        </xdr:nvSpPr>
        <xdr:spPr bwMode="auto">
          <a:xfrm>
            <a:off x="3771" y="10264"/>
            <a:ext cx="861" cy="4"/>
          </a:xfrm>
          <a:prstGeom prst="line">
            <a:avLst/>
          </a:prstGeom>
          <a:noFill/>
          <a:ln w="9525">
            <a:solidFill>
              <a:srgbClr val="FF0000"/>
            </a:solidFill>
            <a:round/>
            <a:headEnd/>
            <a:tailEnd/>
          </a:ln>
        </xdr:spPr>
      </xdr:sp>
      <xdr:sp macro="" textlink="">
        <xdr:nvSpPr>
          <xdr:cNvPr id="1090" name="Line 5060"/>
          <xdr:cNvSpPr>
            <a:spLocks noChangeShapeType="1"/>
          </xdr:cNvSpPr>
        </xdr:nvSpPr>
        <xdr:spPr bwMode="auto">
          <a:xfrm flipV="1">
            <a:off x="4632" y="6384"/>
            <a:ext cx="4" cy="3880"/>
          </a:xfrm>
          <a:prstGeom prst="line">
            <a:avLst/>
          </a:prstGeom>
          <a:noFill/>
          <a:ln w="9525">
            <a:solidFill>
              <a:srgbClr val="FF0000"/>
            </a:solidFill>
            <a:round/>
            <a:headEnd/>
            <a:tailEnd/>
          </a:ln>
        </xdr:spPr>
      </xdr:sp>
      <xdr:sp macro="" textlink="">
        <xdr:nvSpPr>
          <xdr:cNvPr id="1091" name="Line 5061"/>
          <xdr:cNvSpPr>
            <a:spLocks noChangeShapeType="1"/>
          </xdr:cNvSpPr>
        </xdr:nvSpPr>
        <xdr:spPr bwMode="auto">
          <a:xfrm>
            <a:off x="4636" y="6384"/>
            <a:ext cx="211" cy="0"/>
          </a:xfrm>
          <a:prstGeom prst="line">
            <a:avLst/>
          </a:prstGeom>
          <a:noFill/>
          <a:ln w="9525">
            <a:solidFill>
              <a:srgbClr val="FF0000"/>
            </a:solidFill>
            <a:round/>
            <a:headEnd/>
            <a:tailEnd/>
          </a:ln>
        </xdr:spPr>
      </xdr:sp>
      <xdr:sp macro="" textlink="">
        <xdr:nvSpPr>
          <xdr:cNvPr id="1092" name="Line 5062"/>
          <xdr:cNvSpPr>
            <a:spLocks noChangeShapeType="1"/>
          </xdr:cNvSpPr>
        </xdr:nvSpPr>
        <xdr:spPr bwMode="auto">
          <a:xfrm>
            <a:off x="4847" y="6384"/>
            <a:ext cx="0" cy="9701"/>
          </a:xfrm>
          <a:prstGeom prst="line">
            <a:avLst/>
          </a:prstGeom>
          <a:noFill/>
          <a:ln w="9525">
            <a:solidFill>
              <a:srgbClr val="FF0000"/>
            </a:solidFill>
            <a:round/>
            <a:headEnd/>
            <a:tailEnd/>
          </a:ln>
        </xdr:spPr>
      </xdr:sp>
      <xdr:sp macro="" textlink="">
        <xdr:nvSpPr>
          <xdr:cNvPr id="1093" name="Line 5063"/>
          <xdr:cNvSpPr>
            <a:spLocks noChangeShapeType="1"/>
          </xdr:cNvSpPr>
        </xdr:nvSpPr>
        <xdr:spPr bwMode="auto">
          <a:xfrm>
            <a:off x="4847" y="16085"/>
            <a:ext cx="1077" cy="0"/>
          </a:xfrm>
          <a:prstGeom prst="line">
            <a:avLst/>
          </a:prstGeom>
          <a:noFill/>
          <a:ln w="9525">
            <a:solidFill>
              <a:srgbClr val="FF0000"/>
            </a:solidFill>
            <a:round/>
            <a:headEnd/>
            <a:tailEnd/>
          </a:ln>
        </xdr:spPr>
      </xdr:sp>
      <xdr:sp macro="" textlink="">
        <xdr:nvSpPr>
          <xdr:cNvPr id="1094" name="Line 5064"/>
          <xdr:cNvSpPr>
            <a:spLocks noChangeShapeType="1"/>
          </xdr:cNvSpPr>
        </xdr:nvSpPr>
        <xdr:spPr bwMode="auto">
          <a:xfrm flipV="1">
            <a:off x="5924" y="10696"/>
            <a:ext cx="0" cy="5389"/>
          </a:xfrm>
          <a:prstGeom prst="line">
            <a:avLst/>
          </a:prstGeom>
          <a:noFill/>
          <a:ln w="9525">
            <a:solidFill>
              <a:srgbClr val="FF0000"/>
            </a:solidFill>
            <a:round/>
            <a:headEnd/>
            <a:tailEnd/>
          </a:ln>
        </xdr:spPr>
      </xdr:sp>
      <xdr:sp macro="" textlink="">
        <xdr:nvSpPr>
          <xdr:cNvPr id="1095" name="Line 5065"/>
          <xdr:cNvSpPr>
            <a:spLocks noChangeShapeType="1"/>
          </xdr:cNvSpPr>
        </xdr:nvSpPr>
        <xdr:spPr bwMode="auto">
          <a:xfrm>
            <a:off x="5924" y="10696"/>
            <a:ext cx="430" cy="3"/>
          </a:xfrm>
          <a:prstGeom prst="line">
            <a:avLst/>
          </a:prstGeom>
          <a:noFill/>
          <a:ln w="9525">
            <a:solidFill>
              <a:srgbClr val="FF0000"/>
            </a:solidFill>
            <a:round/>
            <a:headEnd/>
            <a:tailEnd/>
          </a:ln>
        </xdr:spPr>
      </xdr:sp>
      <xdr:sp macro="" textlink="">
        <xdr:nvSpPr>
          <xdr:cNvPr id="1096" name="Line 5066"/>
          <xdr:cNvSpPr>
            <a:spLocks noChangeShapeType="1"/>
          </xdr:cNvSpPr>
        </xdr:nvSpPr>
        <xdr:spPr bwMode="auto">
          <a:xfrm flipV="1">
            <a:off x="6354" y="10696"/>
            <a:ext cx="4" cy="5389"/>
          </a:xfrm>
          <a:prstGeom prst="line">
            <a:avLst/>
          </a:prstGeom>
          <a:noFill/>
          <a:ln w="9525">
            <a:solidFill>
              <a:srgbClr val="FF0000"/>
            </a:solidFill>
            <a:round/>
            <a:headEnd/>
            <a:tailEnd/>
          </a:ln>
        </xdr:spPr>
      </xdr:sp>
      <xdr:sp macro="" textlink="">
        <xdr:nvSpPr>
          <xdr:cNvPr id="1097" name="Line 5067"/>
          <xdr:cNvSpPr>
            <a:spLocks noChangeShapeType="1"/>
          </xdr:cNvSpPr>
        </xdr:nvSpPr>
        <xdr:spPr bwMode="auto">
          <a:xfrm>
            <a:off x="6354" y="16085"/>
            <a:ext cx="1077" cy="4"/>
          </a:xfrm>
          <a:prstGeom prst="line">
            <a:avLst/>
          </a:prstGeom>
          <a:noFill/>
          <a:ln w="9525">
            <a:solidFill>
              <a:srgbClr val="FF0000"/>
            </a:solidFill>
            <a:round/>
            <a:headEnd/>
            <a:tailEnd/>
          </a:ln>
        </xdr:spPr>
      </xdr:sp>
      <xdr:sp macro="" textlink="">
        <xdr:nvSpPr>
          <xdr:cNvPr id="1098" name="Line 5068"/>
          <xdr:cNvSpPr>
            <a:spLocks noChangeShapeType="1"/>
          </xdr:cNvSpPr>
        </xdr:nvSpPr>
        <xdr:spPr bwMode="auto">
          <a:xfrm flipV="1">
            <a:off x="7431" y="6384"/>
            <a:ext cx="0" cy="9701"/>
          </a:xfrm>
          <a:prstGeom prst="line">
            <a:avLst/>
          </a:prstGeom>
          <a:noFill/>
          <a:ln w="9525">
            <a:solidFill>
              <a:srgbClr val="FF0000"/>
            </a:solidFill>
            <a:round/>
            <a:headEnd/>
            <a:tailEnd/>
          </a:ln>
        </xdr:spPr>
      </xdr:sp>
      <xdr:sp macro="" textlink="">
        <xdr:nvSpPr>
          <xdr:cNvPr id="1099" name="Line 5069"/>
          <xdr:cNvSpPr>
            <a:spLocks noChangeShapeType="1"/>
          </xdr:cNvSpPr>
        </xdr:nvSpPr>
        <xdr:spPr bwMode="auto">
          <a:xfrm>
            <a:off x="7431" y="6384"/>
            <a:ext cx="211" cy="4"/>
          </a:xfrm>
          <a:prstGeom prst="line">
            <a:avLst/>
          </a:prstGeom>
          <a:noFill/>
          <a:ln w="9525">
            <a:solidFill>
              <a:srgbClr val="FF0000"/>
            </a:solidFill>
            <a:round/>
            <a:headEnd/>
            <a:tailEnd/>
          </a:ln>
        </xdr:spPr>
      </xdr:sp>
      <xdr:sp macro="" textlink="">
        <xdr:nvSpPr>
          <xdr:cNvPr id="1100" name="Line 5070"/>
          <xdr:cNvSpPr>
            <a:spLocks noChangeShapeType="1"/>
          </xdr:cNvSpPr>
        </xdr:nvSpPr>
        <xdr:spPr bwMode="auto">
          <a:xfrm>
            <a:off x="7665" y="6380"/>
            <a:ext cx="4" cy="3881"/>
          </a:xfrm>
          <a:prstGeom prst="line">
            <a:avLst/>
          </a:prstGeom>
          <a:noFill/>
          <a:ln w="9525">
            <a:solidFill>
              <a:srgbClr val="FF0000"/>
            </a:solidFill>
            <a:round/>
            <a:headEnd/>
            <a:tailEnd/>
          </a:ln>
        </xdr:spPr>
      </xdr:sp>
      <xdr:sp macro="" textlink="">
        <xdr:nvSpPr>
          <xdr:cNvPr id="1101" name="Line 5071"/>
          <xdr:cNvSpPr>
            <a:spLocks noChangeShapeType="1"/>
          </xdr:cNvSpPr>
        </xdr:nvSpPr>
        <xdr:spPr bwMode="auto">
          <a:xfrm>
            <a:off x="7665" y="10261"/>
            <a:ext cx="861" cy="3"/>
          </a:xfrm>
          <a:prstGeom prst="line">
            <a:avLst/>
          </a:prstGeom>
          <a:noFill/>
          <a:ln w="9525">
            <a:solidFill>
              <a:srgbClr val="FF0000"/>
            </a:solidFill>
            <a:round/>
            <a:headEnd/>
            <a:tailEnd/>
          </a:ln>
        </xdr:spPr>
      </xdr:sp>
      <xdr:sp macro="" textlink="">
        <xdr:nvSpPr>
          <xdr:cNvPr id="1102" name="Line 5072"/>
          <xdr:cNvSpPr>
            <a:spLocks noChangeShapeType="1"/>
          </xdr:cNvSpPr>
        </xdr:nvSpPr>
        <xdr:spPr bwMode="auto">
          <a:xfrm flipV="1">
            <a:off x="8526" y="6475"/>
            <a:ext cx="4" cy="3786"/>
          </a:xfrm>
          <a:prstGeom prst="line">
            <a:avLst/>
          </a:prstGeom>
          <a:noFill/>
          <a:ln w="9525">
            <a:solidFill>
              <a:srgbClr val="FF0000"/>
            </a:solidFill>
            <a:round/>
            <a:headEnd/>
            <a:tailEnd/>
          </a:ln>
        </xdr:spPr>
      </xdr:sp>
      <xdr:sp macro="" textlink="">
        <xdr:nvSpPr>
          <xdr:cNvPr id="1103" name="Line 5073"/>
          <xdr:cNvSpPr>
            <a:spLocks noChangeShapeType="1"/>
          </xdr:cNvSpPr>
        </xdr:nvSpPr>
        <xdr:spPr bwMode="auto">
          <a:xfrm flipH="1">
            <a:off x="5807" y="4432"/>
            <a:ext cx="683" cy="0"/>
          </a:xfrm>
          <a:prstGeom prst="line">
            <a:avLst/>
          </a:prstGeom>
          <a:noFill/>
          <a:ln w="9525">
            <a:solidFill>
              <a:srgbClr val="FF0000"/>
            </a:solidFill>
            <a:round/>
            <a:headEnd/>
            <a:tailEnd/>
          </a:ln>
        </xdr:spPr>
      </xdr:sp>
    </xdr:grpSp>
    <xdr:clientData/>
  </xdr:twoCellAnchor>
  <xdr:twoCellAnchor>
    <xdr:from>
      <xdr:col>4</xdr:col>
      <xdr:colOff>838200</xdr:colOff>
      <xdr:row>60</xdr:row>
      <xdr:rowOff>60960</xdr:rowOff>
    </xdr:from>
    <xdr:to>
      <xdr:col>4</xdr:col>
      <xdr:colOff>975360</xdr:colOff>
      <xdr:row>62</xdr:row>
      <xdr:rowOff>83820</xdr:rowOff>
    </xdr:to>
    <xdr:grpSp>
      <xdr:nvGrpSpPr>
        <xdr:cNvPr id="1104" name="Group 5074"/>
        <xdr:cNvGrpSpPr>
          <a:grpSpLocks/>
        </xdr:cNvGrpSpPr>
      </xdr:nvGrpSpPr>
      <xdr:grpSpPr bwMode="auto">
        <a:xfrm>
          <a:off x="5617029" y="9128760"/>
          <a:ext cx="137160" cy="371203"/>
          <a:chOff x="1857" y="2993"/>
          <a:chExt cx="4178" cy="10157"/>
        </a:xfrm>
      </xdr:grpSpPr>
      <xdr:grpSp>
        <xdr:nvGrpSpPr>
          <xdr:cNvPr id="1105" name="Group 5075"/>
          <xdr:cNvGrpSpPr>
            <a:grpSpLocks/>
          </xdr:cNvGrpSpPr>
        </xdr:nvGrpSpPr>
        <xdr:grpSpPr bwMode="auto">
          <a:xfrm rot="1441604">
            <a:off x="4764" y="2993"/>
            <a:ext cx="570" cy="2736"/>
            <a:chOff x="4251" y="2947"/>
            <a:chExt cx="570" cy="2736"/>
          </a:xfrm>
        </xdr:grpSpPr>
        <xdr:sp macro="" textlink="">
          <xdr:nvSpPr>
            <xdr:cNvPr id="1117" name="Line 5076"/>
            <xdr:cNvSpPr>
              <a:spLocks noChangeShapeType="1"/>
            </xdr:cNvSpPr>
          </xdr:nvSpPr>
          <xdr:spPr bwMode="auto">
            <a:xfrm flipV="1">
              <a:off x="4251" y="2947"/>
              <a:ext cx="400" cy="1938"/>
            </a:xfrm>
            <a:prstGeom prst="line">
              <a:avLst/>
            </a:prstGeom>
            <a:noFill/>
            <a:ln w="9525">
              <a:solidFill>
                <a:srgbClr val="FF0000"/>
              </a:solidFill>
              <a:round/>
              <a:headEnd/>
              <a:tailEnd/>
            </a:ln>
          </xdr:spPr>
        </xdr:sp>
        <xdr:sp macro="" textlink="">
          <xdr:nvSpPr>
            <xdr:cNvPr id="1118" name="Line 5077"/>
            <xdr:cNvSpPr>
              <a:spLocks noChangeShapeType="1"/>
            </xdr:cNvSpPr>
          </xdr:nvSpPr>
          <xdr:spPr bwMode="auto">
            <a:xfrm>
              <a:off x="4651" y="2947"/>
              <a:ext cx="170" cy="0"/>
            </a:xfrm>
            <a:prstGeom prst="line">
              <a:avLst/>
            </a:prstGeom>
            <a:noFill/>
            <a:ln w="9525">
              <a:solidFill>
                <a:srgbClr val="FF0000"/>
              </a:solidFill>
              <a:round/>
              <a:headEnd/>
              <a:tailEnd/>
            </a:ln>
          </xdr:spPr>
        </xdr:sp>
        <xdr:sp macro="" textlink="">
          <xdr:nvSpPr>
            <xdr:cNvPr id="1119" name="Line 5078"/>
            <xdr:cNvSpPr>
              <a:spLocks noChangeShapeType="1"/>
            </xdr:cNvSpPr>
          </xdr:nvSpPr>
          <xdr:spPr bwMode="auto">
            <a:xfrm>
              <a:off x="4821" y="2947"/>
              <a:ext cx="0" cy="2678"/>
            </a:xfrm>
            <a:prstGeom prst="line">
              <a:avLst/>
            </a:prstGeom>
            <a:noFill/>
            <a:ln w="9525">
              <a:solidFill>
                <a:srgbClr val="FF0000"/>
              </a:solidFill>
              <a:round/>
              <a:headEnd/>
              <a:tailEnd/>
            </a:ln>
          </xdr:spPr>
        </xdr:sp>
        <xdr:sp macro="" textlink="">
          <xdr:nvSpPr>
            <xdr:cNvPr id="1120" name="Line 5079"/>
            <xdr:cNvSpPr>
              <a:spLocks noChangeShapeType="1"/>
            </xdr:cNvSpPr>
          </xdr:nvSpPr>
          <xdr:spPr bwMode="auto">
            <a:xfrm>
              <a:off x="4251" y="4885"/>
              <a:ext cx="400" cy="798"/>
            </a:xfrm>
            <a:prstGeom prst="line">
              <a:avLst/>
            </a:prstGeom>
            <a:noFill/>
            <a:ln w="9525">
              <a:solidFill>
                <a:srgbClr val="FF0000"/>
              </a:solidFill>
              <a:round/>
              <a:headEnd/>
              <a:tailEnd/>
            </a:ln>
          </xdr:spPr>
        </xdr:sp>
      </xdr:grpSp>
      <xdr:grpSp>
        <xdr:nvGrpSpPr>
          <xdr:cNvPr id="1106" name="Group 5080"/>
          <xdr:cNvGrpSpPr>
            <a:grpSpLocks/>
          </xdr:cNvGrpSpPr>
        </xdr:nvGrpSpPr>
        <xdr:grpSpPr bwMode="auto">
          <a:xfrm rot="8464448">
            <a:off x="5468" y="5524"/>
            <a:ext cx="569" cy="2733"/>
            <a:chOff x="4677" y="4047"/>
            <a:chExt cx="495" cy="2386"/>
          </a:xfrm>
        </xdr:grpSpPr>
        <xdr:sp macro="" textlink="">
          <xdr:nvSpPr>
            <xdr:cNvPr id="1113" name="Line 5081"/>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1114" name="Line 5082"/>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1115" name="Line 5083"/>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1116" name="Line 5084"/>
            <xdr:cNvSpPr>
              <a:spLocks noChangeShapeType="1"/>
            </xdr:cNvSpPr>
          </xdr:nvSpPr>
          <xdr:spPr bwMode="auto">
            <a:xfrm>
              <a:off x="4677" y="5737"/>
              <a:ext cx="347" cy="696"/>
            </a:xfrm>
            <a:prstGeom prst="line">
              <a:avLst/>
            </a:prstGeom>
            <a:noFill/>
            <a:ln w="9525">
              <a:solidFill>
                <a:srgbClr val="FF0000"/>
              </a:solidFill>
              <a:round/>
              <a:headEnd/>
              <a:tailEnd/>
            </a:ln>
          </xdr:spPr>
        </xdr:sp>
      </xdr:grpSp>
      <xdr:grpSp>
        <xdr:nvGrpSpPr>
          <xdr:cNvPr id="1107" name="Group 5085"/>
          <xdr:cNvGrpSpPr>
            <a:grpSpLocks/>
          </xdr:cNvGrpSpPr>
        </xdr:nvGrpSpPr>
        <xdr:grpSpPr bwMode="auto">
          <a:xfrm rot="-5905833">
            <a:off x="2936" y="4830"/>
            <a:ext cx="571" cy="2733"/>
            <a:chOff x="4677" y="4047"/>
            <a:chExt cx="495" cy="2386"/>
          </a:xfrm>
        </xdr:grpSpPr>
        <xdr:sp macro="" textlink="">
          <xdr:nvSpPr>
            <xdr:cNvPr id="1109" name="Line 5086"/>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1110" name="Line 5087"/>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1111" name="Line 5088"/>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1112" name="Line 5089"/>
            <xdr:cNvSpPr>
              <a:spLocks noChangeShapeType="1"/>
            </xdr:cNvSpPr>
          </xdr:nvSpPr>
          <xdr:spPr bwMode="auto">
            <a:xfrm>
              <a:off x="4677" y="5737"/>
              <a:ext cx="347" cy="696"/>
            </a:xfrm>
            <a:prstGeom prst="line">
              <a:avLst/>
            </a:prstGeom>
            <a:noFill/>
            <a:ln w="9525">
              <a:solidFill>
                <a:srgbClr val="FF0000"/>
              </a:solidFill>
              <a:round/>
              <a:headEnd/>
              <a:tailEnd/>
            </a:ln>
          </xdr:spPr>
        </xdr:sp>
      </xdr:grpSp>
      <xdr:sp macro="" textlink="">
        <xdr:nvSpPr>
          <xdr:cNvPr id="1108" name="AutoShape 5090"/>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FF0000"/>
            </a:solidFill>
            <a:miter lim="800000"/>
            <a:headEnd/>
            <a:tailEnd/>
          </a:ln>
        </xdr:spPr>
      </xdr:sp>
    </xdr:grpSp>
    <xdr:clientData/>
  </xdr:twoCellAnchor>
  <xdr:twoCellAnchor>
    <xdr:from>
      <xdr:col>4</xdr:col>
      <xdr:colOff>106680</xdr:colOff>
      <xdr:row>60</xdr:row>
      <xdr:rowOff>76200</xdr:rowOff>
    </xdr:from>
    <xdr:to>
      <xdr:col>4</xdr:col>
      <xdr:colOff>342900</xdr:colOff>
      <xdr:row>62</xdr:row>
      <xdr:rowOff>83820</xdr:rowOff>
    </xdr:to>
    <xdr:grpSp>
      <xdr:nvGrpSpPr>
        <xdr:cNvPr id="1121" name="Group 5091"/>
        <xdr:cNvGrpSpPr>
          <a:grpSpLocks/>
        </xdr:cNvGrpSpPr>
      </xdr:nvGrpSpPr>
      <xdr:grpSpPr bwMode="auto">
        <a:xfrm>
          <a:off x="4885509" y="9144000"/>
          <a:ext cx="236220" cy="355963"/>
          <a:chOff x="5163" y="2548"/>
          <a:chExt cx="2109" cy="2909"/>
        </a:xfrm>
      </xdr:grpSpPr>
      <xdr:sp macro="" textlink="">
        <xdr:nvSpPr>
          <xdr:cNvPr id="1122" name="Rectangle 5092"/>
          <xdr:cNvSpPr>
            <a:spLocks noChangeArrowheads="1"/>
          </xdr:cNvSpPr>
        </xdr:nvSpPr>
        <xdr:spPr bwMode="auto">
          <a:xfrm>
            <a:off x="5163" y="2548"/>
            <a:ext cx="1938" cy="2736"/>
          </a:xfrm>
          <a:prstGeom prst="rect">
            <a:avLst/>
          </a:prstGeom>
          <a:solidFill>
            <a:srgbClr val="FFFFFF"/>
          </a:solidFill>
          <a:ln w="9525" algn="ctr">
            <a:solidFill>
              <a:srgbClr val="FF0000"/>
            </a:solidFill>
            <a:miter lim="800000"/>
            <a:headEnd/>
            <a:tailEnd/>
          </a:ln>
        </xdr:spPr>
      </xdr:sp>
      <xdr:sp macro="" textlink="">
        <xdr:nvSpPr>
          <xdr:cNvPr id="1123" name="Line 5093"/>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1124" name="Line 5094"/>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1125" name="Line 5095"/>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1126" name="Line 5096"/>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1127" name="Line 5097"/>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1128" name="Line 5098"/>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1129" name="Line 5099"/>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1130" name="Line 5100"/>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1131" name="Line 5101"/>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1132" name="Line 5102"/>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1133" name="Line 5103"/>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1134" name="Line 5104"/>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1135" name="Line 5105"/>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60</xdr:row>
      <xdr:rowOff>114300</xdr:rowOff>
    </xdr:from>
    <xdr:to>
      <xdr:col>4</xdr:col>
      <xdr:colOff>1478280</xdr:colOff>
      <xdr:row>62</xdr:row>
      <xdr:rowOff>121920</xdr:rowOff>
    </xdr:to>
    <xdr:grpSp>
      <xdr:nvGrpSpPr>
        <xdr:cNvPr id="1136" name="Group 5106"/>
        <xdr:cNvGrpSpPr>
          <a:grpSpLocks/>
        </xdr:cNvGrpSpPr>
      </xdr:nvGrpSpPr>
      <xdr:grpSpPr bwMode="auto">
        <a:xfrm>
          <a:off x="5952309" y="9182100"/>
          <a:ext cx="304800" cy="355963"/>
          <a:chOff x="5238" y="4632"/>
          <a:chExt cx="1597" cy="1311"/>
        </a:xfrm>
      </xdr:grpSpPr>
      <xdr:sp macro="" textlink="">
        <xdr:nvSpPr>
          <xdr:cNvPr id="1137" name="Line 5107"/>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1138" name="Line 5108"/>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1139" name="Line 5109"/>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1140" name="Line 5110"/>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1141" name="Line 5111"/>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1142" name="Line 5112"/>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1143" name="Line 5113"/>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63</xdr:row>
      <xdr:rowOff>76200</xdr:rowOff>
    </xdr:from>
    <xdr:to>
      <xdr:col>4</xdr:col>
      <xdr:colOff>647700</xdr:colOff>
      <xdr:row>65</xdr:row>
      <xdr:rowOff>83820</xdr:rowOff>
    </xdr:to>
    <xdr:grpSp>
      <xdr:nvGrpSpPr>
        <xdr:cNvPr id="1144" name="Group 5122"/>
        <xdr:cNvGrpSpPr>
          <a:grpSpLocks/>
        </xdr:cNvGrpSpPr>
      </xdr:nvGrpSpPr>
      <xdr:grpSpPr bwMode="auto">
        <a:xfrm>
          <a:off x="5319849" y="9677400"/>
          <a:ext cx="106680" cy="355963"/>
          <a:chOff x="3771" y="1155"/>
          <a:chExt cx="4759" cy="14934"/>
        </a:xfrm>
      </xdr:grpSpPr>
      <xdr:sp macro="" textlink="">
        <xdr:nvSpPr>
          <xdr:cNvPr id="1145" name="Oval 5123"/>
          <xdr:cNvSpPr>
            <a:spLocks noChangeArrowheads="1"/>
          </xdr:cNvSpPr>
        </xdr:nvSpPr>
        <xdr:spPr bwMode="auto">
          <a:xfrm>
            <a:off x="4643" y="1155"/>
            <a:ext cx="2999" cy="3003"/>
          </a:xfrm>
          <a:prstGeom prst="ellipse">
            <a:avLst/>
          </a:prstGeom>
          <a:solidFill>
            <a:srgbClr val="FFFFFF"/>
          </a:solidFill>
          <a:ln w="9525" algn="ctr">
            <a:solidFill>
              <a:srgbClr val="FF0000"/>
            </a:solidFill>
            <a:round/>
            <a:headEnd/>
            <a:tailEnd/>
          </a:ln>
        </xdr:spPr>
      </xdr:sp>
      <xdr:sp macro="" textlink="">
        <xdr:nvSpPr>
          <xdr:cNvPr id="1146" name="Arc 5124"/>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1147" name="Arc 5125"/>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1148" name="Line 5126"/>
          <xdr:cNvSpPr>
            <a:spLocks noChangeShapeType="1"/>
          </xdr:cNvSpPr>
        </xdr:nvSpPr>
        <xdr:spPr bwMode="auto">
          <a:xfrm>
            <a:off x="3771" y="6471"/>
            <a:ext cx="0" cy="3793"/>
          </a:xfrm>
          <a:prstGeom prst="line">
            <a:avLst/>
          </a:prstGeom>
          <a:noFill/>
          <a:ln w="9525">
            <a:solidFill>
              <a:srgbClr val="FF0000"/>
            </a:solidFill>
            <a:round/>
            <a:headEnd/>
            <a:tailEnd/>
          </a:ln>
        </xdr:spPr>
      </xdr:sp>
      <xdr:sp macro="" textlink="">
        <xdr:nvSpPr>
          <xdr:cNvPr id="1149" name="Line 5127"/>
          <xdr:cNvSpPr>
            <a:spLocks noChangeShapeType="1"/>
          </xdr:cNvSpPr>
        </xdr:nvSpPr>
        <xdr:spPr bwMode="auto">
          <a:xfrm>
            <a:off x="3771" y="10264"/>
            <a:ext cx="861" cy="4"/>
          </a:xfrm>
          <a:prstGeom prst="line">
            <a:avLst/>
          </a:prstGeom>
          <a:noFill/>
          <a:ln w="9525">
            <a:solidFill>
              <a:srgbClr val="FF0000"/>
            </a:solidFill>
            <a:round/>
            <a:headEnd/>
            <a:tailEnd/>
          </a:ln>
        </xdr:spPr>
      </xdr:sp>
      <xdr:sp macro="" textlink="">
        <xdr:nvSpPr>
          <xdr:cNvPr id="1150" name="Line 5128"/>
          <xdr:cNvSpPr>
            <a:spLocks noChangeShapeType="1"/>
          </xdr:cNvSpPr>
        </xdr:nvSpPr>
        <xdr:spPr bwMode="auto">
          <a:xfrm flipV="1">
            <a:off x="4632" y="6384"/>
            <a:ext cx="4" cy="3880"/>
          </a:xfrm>
          <a:prstGeom prst="line">
            <a:avLst/>
          </a:prstGeom>
          <a:noFill/>
          <a:ln w="9525">
            <a:solidFill>
              <a:srgbClr val="FF0000"/>
            </a:solidFill>
            <a:round/>
            <a:headEnd/>
            <a:tailEnd/>
          </a:ln>
        </xdr:spPr>
      </xdr:sp>
      <xdr:sp macro="" textlink="">
        <xdr:nvSpPr>
          <xdr:cNvPr id="1151" name="Line 5129"/>
          <xdr:cNvSpPr>
            <a:spLocks noChangeShapeType="1"/>
          </xdr:cNvSpPr>
        </xdr:nvSpPr>
        <xdr:spPr bwMode="auto">
          <a:xfrm>
            <a:off x="4636" y="6384"/>
            <a:ext cx="211" cy="0"/>
          </a:xfrm>
          <a:prstGeom prst="line">
            <a:avLst/>
          </a:prstGeom>
          <a:noFill/>
          <a:ln w="9525">
            <a:solidFill>
              <a:srgbClr val="FF0000"/>
            </a:solidFill>
            <a:round/>
            <a:headEnd/>
            <a:tailEnd/>
          </a:ln>
        </xdr:spPr>
      </xdr:sp>
      <xdr:sp macro="" textlink="">
        <xdr:nvSpPr>
          <xdr:cNvPr id="1152" name="Line 5130"/>
          <xdr:cNvSpPr>
            <a:spLocks noChangeShapeType="1"/>
          </xdr:cNvSpPr>
        </xdr:nvSpPr>
        <xdr:spPr bwMode="auto">
          <a:xfrm>
            <a:off x="4847" y="6384"/>
            <a:ext cx="0" cy="9701"/>
          </a:xfrm>
          <a:prstGeom prst="line">
            <a:avLst/>
          </a:prstGeom>
          <a:noFill/>
          <a:ln w="9525">
            <a:solidFill>
              <a:srgbClr val="FF0000"/>
            </a:solidFill>
            <a:round/>
            <a:headEnd/>
            <a:tailEnd/>
          </a:ln>
        </xdr:spPr>
      </xdr:sp>
      <xdr:sp macro="" textlink="">
        <xdr:nvSpPr>
          <xdr:cNvPr id="1153" name="Line 5131"/>
          <xdr:cNvSpPr>
            <a:spLocks noChangeShapeType="1"/>
          </xdr:cNvSpPr>
        </xdr:nvSpPr>
        <xdr:spPr bwMode="auto">
          <a:xfrm>
            <a:off x="4847" y="16085"/>
            <a:ext cx="1077" cy="0"/>
          </a:xfrm>
          <a:prstGeom prst="line">
            <a:avLst/>
          </a:prstGeom>
          <a:noFill/>
          <a:ln w="9525">
            <a:solidFill>
              <a:srgbClr val="FF0000"/>
            </a:solidFill>
            <a:round/>
            <a:headEnd/>
            <a:tailEnd/>
          </a:ln>
        </xdr:spPr>
      </xdr:sp>
      <xdr:sp macro="" textlink="">
        <xdr:nvSpPr>
          <xdr:cNvPr id="1154" name="Line 5132"/>
          <xdr:cNvSpPr>
            <a:spLocks noChangeShapeType="1"/>
          </xdr:cNvSpPr>
        </xdr:nvSpPr>
        <xdr:spPr bwMode="auto">
          <a:xfrm flipV="1">
            <a:off x="5924" y="10696"/>
            <a:ext cx="0" cy="5389"/>
          </a:xfrm>
          <a:prstGeom prst="line">
            <a:avLst/>
          </a:prstGeom>
          <a:noFill/>
          <a:ln w="9525">
            <a:solidFill>
              <a:srgbClr val="FF0000"/>
            </a:solidFill>
            <a:round/>
            <a:headEnd/>
            <a:tailEnd/>
          </a:ln>
        </xdr:spPr>
      </xdr:sp>
      <xdr:sp macro="" textlink="">
        <xdr:nvSpPr>
          <xdr:cNvPr id="1155" name="Line 5133"/>
          <xdr:cNvSpPr>
            <a:spLocks noChangeShapeType="1"/>
          </xdr:cNvSpPr>
        </xdr:nvSpPr>
        <xdr:spPr bwMode="auto">
          <a:xfrm>
            <a:off x="5924" y="10696"/>
            <a:ext cx="430" cy="3"/>
          </a:xfrm>
          <a:prstGeom prst="line">
            <a:avLst/>
          </a:prstGeom>
          <a:noFill/>
          <a:ln w="9525">
            <a:solidFill>
              <a:srgbClr val="FF0000"/>
            </a:solidFill>
            <a:round/>
            <a:headEnd/>
            <a:tailEnd/>
          </a:ln>
        </xdr:spPr>
      </xdr:sp>
      <xdr:sp macro="" textlink="">
        <xdr:nvSpPr>
          <xdr:cNvPr id="1156" name="Line 5134"/>
          <xdr:cNvSpPr>
            <a:spLocks noChangeShapeType="1"/>
          </xdr:cNvSpPr>
        </xdr:nvSpPr>
        <xdr:spPr bwMode="auto">
          <a:xfrm flipV="1">
            <a:off x="6354" y="10696"/>
            <a:ext cx="4" cy="5389"/>
          </a:xfrm>
          <a:prstGeom prst="line">
            <a:avLst/>
          </a:prstGeom>
          <a:noFill/>
          <a:ln w="9525">
            <a:solidFill>
              <a:srgbClr val="FF0000"/>
            </a:solidFill>
            <a:round/>
            <a:headEnd/>
            <a:tailEnd/>
          </a:ln>
        </xdr:spPr>
      </xdr:sp>
      <xdr:sp macro="" textlink="">
        <xdr:nvSpPr>
          <xdr:cNvPr id="1157" name="Line 5135"/>
          <xdr:cNvSpPr>
            <a:spLocks noChangeShapeType="1"/>
          </xdr:cNvSpPr>
        </xdr:nvSpPr>
        <xdr:spPr bwMode="auto">
          <a:xfrm>
            <a:off x="6354" y="16085"/>
            <a:ext cx="1077" cy="4"/>
          </a:xfrm>
          <a:prstGeom prst="line">
            <a:avLst/>
          </a:prstGeom>
          <a:noFill/>
          <a:ln w="9525">
            <a:solidFill>
              <a:srgbClr val="FF0000"/>
            </a:solidFill>
            <a:round/>
            <a:headEnd/>
            <a:tailEnd/>
          </a:ln>
        </xdr:spPr>
      </xdr:sp>
      <xdr:sp macro="" textlink="">
        <xdr:nvSpPr>
          <xdr:cNvPr id="1158" name="Line 5136"/>
          <xdr:cNvSpPr>
            <a:spLocks noChangeShapeType="1"/>
          </xdr:cNvSpPr>
        </xdr:nvSpPr>
        <xdr:spPr bwMode="auto">
          <a:xfrm flipV="1">
            <a:off x="7431" y="6384"/>
            <a:ext cx="0" cy="9701"/>
          </a:xfrm>
          <a:prstGeom prst="line">
            <a:avLst/>
          </a:prstGeom>
          <a:noFill/>
          <a:ln w="9525">
            <a:solidFill>
              <a:srgbClr val="FF0000"/>
            </a:solidFill>
            <a:round/>
            <a:headEnd/>
            <a:tailEnd/>
          </a:ln>
        </xdr:spPr>
      </xdr:sp>
      <xdr:sp macro="" textlink="">
        <xdr:nvSpPr>
          <xdr:cNvPr id="1159" name="Line 5137"/>
          <xdr:cNvSpPr>
            <a:spLocks noChangeShapeType="1"/>
          </xdr:cNvSpPr>
        </xdr:nvSpPr>
        <xdr:spPr bwMode="auto">
          <a:xfrm>
            <a:off x="7431" y="6384"/>
            <a:ext cx="211" cy="4"/>
          </a:xfrm>
          <a:prstGeom prst="line">
            <a:avLst/>
          </a:prstGeom>
          <a:noFill/>
          <a:ln w="9525">
            <a:solidFill>
              <a:srgbClr val="FF0000"/>
            </a:solidFill>
            <a:round/>
            <a:headEnd/>
            <a:tailEnd/>
          </a:ln>
        </xdr:spPr>
      </xdr:sp>
      <xdr:sp macro="" textlink="">
        <xdr:nvSpPr>
          <xdr:cNvPr id="1160" name="Line 5138"/>
          <xdr:cNvSpPr>
            <a:spLocks noChangeShapeType="1"/>
          </xdr:cNvSpPr>
        </xdr:nvSpPr>
        <xdr:spPr bwMode="auto">
          <a:xfrm>
            <a:off x="7665" y="6380"/>
            <a:ext cx="4" cy="3881"/>
          </a:xfrm>
          <a:prstGeom prst="line">
            <a:avLst/>
          </a:prstGeom>
          <a:noFill/>
          <a:ln w="9525">
            <a:solidFill>
              <a:srgbClr val="FF0000"/>
            </a:solidFill>
            <a:round/>
            <a:headEnd/>
            <a:tailEnd/>
          </a:ln>
        </xdr:spPr>
      </xdr:sp>
      <xdr:sp macro="" textlink="">
        <xdr:nvSpPr>
          <xdr:cNvPr id="1161" name="Line 5139"/>
          <xdr:cNvSpPr>
            <a:spLocks noChangeShapeType="1"/>
          </xdr:cNvSpPr>
        </xdr:nvSpPr>
        <xdr:spPr bwMode="auto">
          <a:xfrm>
            <a:off x="7665" y="10261"/>
            <a:ext cx="861" cy="3"/>
          </a:xfrm>
          <a:prstGeom prst="line">
            <a:avLst/>
          </a:prstGeom>
          <a:noFill/>
          <a:ln w="9525">
            <a:solidFill>
              <a:srgbClr val="FF0000"/>
            </a:solidFill>
            <a:round/>
            <a:headEnd/>
            <a:tailEnd/>
          </a:ln>
        </xdr:spPr>
      </xdr:sp>
      <xdr:sp macro="" textlink="">
        <xdr:nvSpPr>
          <xdr:cNvPr id="1162" name="Line 5140"/>
          <xdr:cNvSpPr>
            <a:spLocks noChangeShapeType="1"/>
          </xdr:cNvSpPr>
        </xdr:nvSpPr>
        <xdr:spPr bwMode="auto">
          <a:xfrm flipV="1">
            <a:off x="8526" y="6475"/>
            <a:ext cx="4" cy="3786"/>
          </a:xfrm>
          <a:prstGeom prst="line">
            <a:avLst/>
          </a:prstGeom>
          <a:noFill/>
          <a:ln w="9525">
            <a:solidFill>
              <a:srgbClr val="FF0000"/>
            </a:solidFill>
            <a:round/>
            <a:headEnd/>
            <a:tailEnd/>
          </a:ln>
        </xdr:spPr>
      </xdr:sp>
      <xdr:sp macro="" textlink="">
        <xdr:nvSpPr>
          <xdr:cNvPr id="1163" name="Line 5141"/>
          <xdr:cNvSpPr>
            <a:spLocks noChangeShapeType="1"/>
          </xdr:cNvSpPr>
        </xdr:nvSpPr>
        <xdr:spPr bwMode="auto">
          <a:xfrm flipH="1">
            <a:off x="5807" y="4432"/>
            <a:ext cx="683" cy="0"/>
          </a:xfrm>
          <a:prstGeom prst="line">
            <a:avLst/>
          </a:prstGeom>
          <a:noFill/>
          <a:ln w="9525">
            <a:solidFill>
              <a:srgbClr val="FF0000"/>
            </a:solidFill>
            <a:round/>
            <a:headEnd/>
            <a:tailEnd/>
          </a:ln>
        </xdr:spPr>
      </xdr:sp>
    </xdr:grpSp>
    <xdr:clientData/>
  </xdr:twoCellAnchor>
  <xdr:twoCellAnchor>
    <xdr:from>
      <xdr:col>4</xdr:col>
      <xdr:colOff>838200</xdr:colOff>
      <xdr:row>63</xdr:row>
      <xdr:rowOff>60960</xdr:rowOff>
    </xdr:from>
    <xdr:to>
      <xdr:col>4</xdr:col>
      <xdr:colOff>975360</xdr:colOff>
      <xdr:row>65</xdr:row>
      <xdr:rowOff>83820</xdr:rowOff>
    </xdr:to>
    <xdr:grpSp>
      <xdr:nvGrpSpPr>
        <xdr:cNvPr id="1164" name="Group 5142"/>
        <xdr:cNvGrpSpPr>
          <a:grpSpLocks/>
        </xdr:cNvGrpSpPr>
      </xdr:nvGrpSpPr>
      <xdr:grpSpPr bwMode="auto">
        <a:xfrm>
          <a:off x="5617029" y="9662160"/>
          <a:ext cx="137160" cy="371203"/>
          <a:chOff x="1857" y="2993"/>
          <a:chExt cx="4178" cy="10157"/>
        </a:xfrm>
      </xdr:grpSpPr>
      <xdr:grpSp>
        <xdr:nvGrpSpPr>
          <xdr:cNvPr id="1165" name="Group 5143"/>
          <xdr:cNvGrpSpPr>
            <a:grpSpLocks/>
          </xdr:cNvGrpSpPr>
        </xdr:nvGrpSpPr>
        <xdr:grpSpPr bwMode="auto">
          <a:xfrm rot="1441604">
            <a:off x="4764" y="2993"/>
            <a:ext cx="570" cy="2736"/>
            <a:chOff x="4251" y="2947"/>
            <a:chExt cx="570" cy="2736"/>
          </a:xfrm>
        </xdr:grpSpPr>
        <xdr:sp macro="" textlink="">
          <xdr:nvSpPr>
            <xdr:cNvPr id="1177" name="Line 5144"/>
            <xdr:cNvSpPr>
              <a:spLocks noChangeShapeType="1"/>
            </xdr:cNvSpPr>
          </xdr:nvSpPr>
          <xdr:spPr bwMode="auto">
            <a:xfrm flipV="1">
              <a:off x="4251" y="2947"/>
              <a:ext cx="400" cy="1938"/>
            </a:xfrm>
            <a:prstGeom prst="line">
              <a:avLst/>
            </a:prstGeom>
            <a:noFill/>
            <a:ln w="9525">
              <a:solidFill>
                <a:srgbClr val="FF0000"/>
              </a:solidFill>
              <a:round/>
              <a:headEnd/>
              <a:tailEnd/>
            </a:ln>
          </xdr:spPr>
        </xdr:sp>
        <xdr:sp macro="" textlink="">
          <xdr:nvSpPr>
            <xdr:cNvPr id="1178" name="Line 5145"/>
            <xdr:cNvSpPr>
              <a:spLocks noChangeShapeType="1"/>
            </xdr:cNvSpPr>
          </xdr:nvSpPr>
          <xdr:spPr bwMode="auto">
            <a:xfrm>
              <a:off x="4651" y="2947"/>
              <a:ext cx="170" cy="0"/>
            </a:xfrm>
            <a:prstGeom prst="line">
              <a:avLst/>
            </a:prstGeom>
            <a:noFill/>
            <a:ln w="9525">
              <a:solidFill>
                <a:srgbClr val="FF0000"/>
              </a:solidFill>
              <a:round/>
              <a:headEnd/>
              <a:tailEnd/>
            </a:ln>
          </xdr:spPr>
        </xdr:sp>
        <xdr:sp macro="" textlink="">
          <xdr:nvSpPr>
            <xdr:cNvPr id="1179" name="Line 5146"/>
            <xdr:cNvSpPr>
              <a:spLocks noChangeShapeType="1"/>
            </xdr:cNvSpPr>
          </xdr:nvSpPr>
          <xdr:spPr bwMode="auto">
            <a:xfrm>
              <a:off x="4821" y="2947"/>
              <a:ext cx="0" cy="2678"/>
            </a:xfrm>
            <a:prstGeom prst="line">
              <a:avLst/>
            </a:prstGeom>
            <a:noFill/>
            <a:ln w="9525">
              <a:solidFill>
                <a:srgbClr val="FF0000"/>
              </a:solidFill>
              <a:round/>
              <a:headEnd/>
              <a:tailEnd/>
            </a:ln>
          </xdr:spPr>
        </xdr:sp>
        <xdr:sp macro="" textlink="">
          <xdr:nvSpPr>
            <xdr:cNvPr id="1180" name="Line 5147"/>
            <xdr:cNvSpPr>
              <a:spLocks noChangeShapeType="1"/>
            </xdr:cNvSpPr>
          </xdr:nvSpPr>
          <xdr:spPr bwMode="auto">
            <a:xfrm>
              <a:off x="4251" y="4885"/>
              <a:ext cx="400" cy="798"/>
            </a:xfrm>
            <a:prstGeom prst="line">
              <a:avLst/>
            </a:prstGeom>
            <a:noFill/>
            <a:ln w="9525">
              <a:solidFill>
                <a:srgbClr val="FF0000"/>
              </a:solidFill>
              <a:round/>
              <a:headEnd/>
              <a:tailEnd/>
            </a:ln>
          </xdr:spPr>
        </xdr:sp>
      </xdr:grpSp>
      <xdr:grpSp>
        <xdr:nvGrpSpPr>
          <xdr:cNvPr id="1166" name="Group 5148"/>
          <xdr:cNvGrpSpPr>
            <a:grpSpLocks/>
          </xdr:cNvGrpSpPr>
        </xdr:nvGrpSpPr>
        <xdr:grpSpPr bwMode="auto">
          <a:xfrm rot="8464448">
            <a:off x="5468" y="5524"/>
            <a:ext cx="569" cy="2733"/>
            <a:chOff x="4677" y="4047"/>
            <a:chExt cx="495" cy="2386"/>
          </a:xfrm>
        </xdr:grpSpPr>
        <xdr:sp macro="" textlink="">
          <xdr:nvSpPr>
            <xdr:cNvPr id="1173" name="Line 5149"/>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1174" name="Line 5150"/>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1175" name="Line 5151"/>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1176" name="Line 5152"/>
            <xdr:cNvSpPr>
              <a:spLocks noChangeShapeType="1"/>
            </xdr:cNvSpPr>
          </xdr:nvSpPr>
          <xdr:spPr bwMode="auto">
            <a:xfrm>
              <a:off x="4677" y="5737"/>
              <a:ext cx="347" cy="696"/>
            </a:xfrm>
            <a:prstGeom prst="line">
              <a:avLst/>
            </a:prstGeom>
            <a:noFill/>
            <a:ln w="9525">
              <a:solidFill>
                <a:srgbClr val="FF0000"/>
              </a:solidFill>
              <a:round/>
              <a:headEnd/>
              <a:tailEnd/>
            </a:ln>
          </xdr:spPr>
        </xdr:sp>
      </xdr:grpSp>
      <xdr:grpSp>
        <xdr:nvGrpSpPr>
          <xdr:cNvPr id="1167" name="Group 5153"/>
          <xdr:cNvGrpSpPr>
            <a:grpSpLocks/>
          </xdr:cNvGrpSpPr>
        </xdr:nvGrpSpPr>
        <xdr:grpSpPr bwMode="auto">
          <a:xfrm rot="-5905833">
            <a:off x="2936" y="4830"/>
            <a:ext cx="571" cy="2733"/>
            <a:chOff x="4677" y="4047"/>
            <a:chExt cx="495" cy="2386"/>
          </a:xfrm>
        </xdr:grpSpPr>
        <xdr:sp macro="" textlink="">
          <xdr:nvSpPr>
            <xdr:cNvPr id="1169" name="Line 5154"/>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1170" name="Line 5155"/>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1171" name="Line 5156"/>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1172" name="Line 5157"/>
            <xdr:cNvSpPr>
              <a:spLocks noChangeShapeType="1"/>
            </xdr:cNvSpPr>
          </xdr:nvSpPr>
          <xdr:spPr bwMode="auto">
            <a:xfrm>
              <a:off x="4677" y="5737"/>
              <a:ext cx="347" cy="696"/>
            </a:xfrm>
            <a:prstGeom prst="line">
              <a:avLst/>
            </a:prstGeom>
            <a:noFill/>
            <a:ln w="9525">
              <a:solidFill>
                <a:srgbClr val="FF0000"/>
              </a:solidFill>
              <a:round/>
              <a:headEnd/>
              <a:tailEnd/>
            </a:ln>
          </xdr:spPr>
        </xdr:sp>
      </xdr:grpSp>
      <xdr:sp macro="" textlink="">
        <xdr:nvSpPr>
          <xdr:cNvPr id="1168" name="AutoShape 5158"/>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FF0000"/>
            </a:solidFill>
            <a:miter lim="800000"/>
            <a:headEnd/>
            <a:tailEnd/>
          </a:ln>
        </xdr:spPr>
      </xdr:sp>
    </xdr:grpSp>
    <xdr:clientData/>
  </xdr:twoCellAnchor>
  <xdr:twoCellAnchor>
    <xdr:from>
      <xdr:col>4</xdr:col>
      <xdr:colOff>106680</xdr:colOff>
      <xdr:row>63</xdr:row>
      <xdr:rowOff>76200</xdr:rowOff>
    </xdr:from>
    <xdr:to>
      <xdr:col>4</xdr:col>
      <xdr:colOff>342900</xdr:colOff>
      <xdr:row>65</xdr:row>
      <xdr:rowOff>83820</xdr:rowOff>
    </xdr:to>
    <xdr:grpSp>
      <xdr:nvGrpSpPr>
        <xdr:cNvPr id="1181" name="Group 5159"/>
        <xdr:cNvGrpSpPr>
          <a:grpSpLocks/>
        </xdr:cNvGrpSpPr>
      </xdr:nvGrpSpPr>
      <xdr:grpSpPr bwMode="auto">
        <a:xfrm>
          <a:off x="4885509" y="9677400"/>
          <a:ext cx="236220" cy="355963"/>
          <a:chOff x="5163" y="2548"/>
          <a:chExt cx="2109" cy="2909"/>
        </a:xfrm>
      </xdr:grpSpPr>
      <xdr:sp macro="" textlink="">
        <xdr:nvSpPr>
          <xdr:cNvPr id="1182" name="Rectangle 5160"/>
          <xdr:cNvSpPr>
            <a:spLocks noChangeArrowheads="1"/>
          </xdr:cNvSpPr>
        </xdr:nvSpPr>
        <xdr:spPr bwMode="auto">
          <a:xfrm>
            <a:off x="5163" y="2548"/>
            <a:ext cx="1938" cy="2736"/>
          </a:xfrm>
          <a:prstGeom prst="rect">
            <a:avLst/>
          </a:prstGeom>
          <a:solidFill>
            <a:srgbClr val="FFFFFF"/>
          </a:solidFill>
          <a:ln w="9525" algn="ctr">
            <a:solidFill>
              <a:srgbClr val="FF0000"/>
            </a:solidFill>
            <a:miter lim="800000"/>
            <a:headEnd/>
            <a:tailEnd/>
          </a:ln>
        </xdr:spPr>
      </xdr:sp>
      <xdr:sp macro="" textlink="">
        <xdr:nvSpPr>
          <xdr:cNvPr id="1183" name="Line 5161"/>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1184" name="Line 5162"/>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1185" name="Line 5163"/>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1186" name="Line 5164"/>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1187" name="Line 5165"/>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1188" name="Line 5166"/>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1189" name="Line 5167"/>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1190" name="Line 5168"/>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1191" name="Line 5169"/>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1192" name="Line 5170"/>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1193" name="Line 5171"/>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1194" name="Line 5172"/>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1195" name="Line 5173"/>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63</xdr:row>
      <xdr:rowOff>114300</xdr:rowOff>
    </xdr:from>
    <xdr:to>
      <xdr:col>4</xdr:col>
      <xdr:colOff>1478280</xdr:colOff>
      <xdr:row>65</xdr:row>
      <xdr:rowOff>121920</xdr:rowOff>
    </xdr:to>
    <xdr:grpSp>
      <xdr:nvGrpSpPr>
        <xdr:cNvPr id="1196" name="Group 5174"/>
        <xdr:cNvGrpSpPr>
          <a:grpSpLocks/>
        </xdr:cNvGrpSpPr>
      </xdr:nvGrpSpPr>
      <xdr:grpSpPr bwMode="auto">
        <a:xfrm>
          <a:off x="5952309" y="9715500"/>
          <a:ext cx="304800" cy="355963"/>
          <a:chOff x="5238" y="4632"/>
          <a:chExt cx="1597" cy="1311"/>
        </a:xfrm>
      </xdr:grpSpPr>
      <xdr:sp macro="" textlink="">
        <xdr:nvSpPr>
          <xdr:cNvPr id="1197" name="Line 5175"/>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1198" name="Line 5176"/>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1199" name="Line 5177"/>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1200" name="Line 5178"/>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1201" name="Line 5179"/>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1202" name="Line 5180"/>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1203" name="Line 5181"/>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186</xdr:row>
      <xdr:rowOff>0</xdr:rowOff>
    </xdr:from>
    <xdr:to>
      <xdr:col>4</xdr:col>
      <xdr:colOff>647700</xdr:colOff>
      <xdr:row>186</xdr:row>
      <xdr:rowOff>0</xdr:rowOff>
    </xdr:to>
    <xdr:grpSp>
      <xdr:nvGrpSpPr>
        <xdr:cNvPr id="1204" name="Group 5191"/>
        <xdr:cNvGrpSpPr>
          <a:grpSpLocks/>
        </xdr:cNvGrpSpPr>
      </xdr:nvGrpSpPr>
      <xdr:grpSpPr bwMode="auto">
        <a:xfrm>
          <a:off x="5319849" y="31470600"/>
          <a:ext cx="106680" cy="0"/>
          <a:chOff x="3771" y="1155"/>
          <a:chExt cx="4759" cy="14934"/>
        </a:xfrm>
      </xdr:grpSpPr>
      <xdr:sp macro="" textlink="">
        <xdr:nvSpPr>
          <xdr:cNvPr id="1205" name="Oval 5192"/>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1206" name="Arc 5193"/>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1207" name="Arc 5194"/>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1208" name="Line 5195"/>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1209" name="Line 5196"/>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1210" name="Line 5197"/>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1211" name="Line 5198"/>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1212" name="Line 5199"/>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1213" name="Line 5200"/>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1214" name="Line 5201"/>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1215" name="Line 5202"/>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1216" name="Line 5203"/>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1217" name="Line 5204"/>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1218" name="Line 5205"/>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1219" name="Line 5206"/>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1220" name="Line 5207"/>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1221" name="Line 5208"/>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1222" name="Line 5209"/>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1223" name="Line 5210"/>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106680</xdr:colOff>
      <xdr:row>186</xdr:row>
      <xdr:rowOff>0</xdr:rowOff>
    </xdr:from>
    <xdr:to>
      <xdr:col>4</xdr:col>
      <xdr:colOff>342900</xdr:colOff>
      <xdr:row>186</xdr:row>
      <xdr:rowOff>0</xdr:rowOff>
    </xdr:to>
    <xdr:grpSp>
      <xdr:nvGrpSpPr>
        <xdr:cNvPr id="1224" name="Group 5228"/>
        <xdr:cNvGrpSpPr>
          <a:grpSpLocks/>
        </xdr:cNvGrpSpPr>
      </xdr:nvGrpSpPr>
      <xdr:grpSpPr bwMode="auto">
        <a:xfrm>
          <a:off x="4885509" y="31470600"/>
          <a:ext cx="236220" cy="0"/>
          <a:chOff x="5163" y="2548"/>
          <a:chExt cx="2109" cy="2909"/>
        </a:xfrm>
      </xdr:grpSpPr>
      <xdr:sp macro="" textlink="">
        <xdr:nvSpPr>
          <xdr:cNvPr id="1225" name="Rectangle 5229"/>
          <xdr:cNvSpPr>
            <a:spLocks noChangeArrowheads="1"/>
          </xdr:cNvSpPr>
        </xdr:nvSpPr>
        <xdr:spPr bwMode="auto">
          <a:xfrm>
            <a:off x="5163" y="2548"/>
            <a:ext cx="1938" cy="2736"/>
          </a:xfrm>
          <a:prstGeom prst="rect">
            <a:avLst/>
          </a:prstGeom>
          <a:solidFill>
            <a:srgbClr val="FFFFFF"/>
          </a:solidFill>
          <a:ln w="9525" algn="ctr">
            <a:solidFill>
              <a:srgbClr val="FF0000"/>
            </a:solidFill>
            <a:miter lim="800000"/>
            <a:headEnd/>
            <a:tailEnd/>
          </a:ln>
        </xdr:spPr>
      </xdr:sp>
      <xdr:sp macro="" textlink="">
        <xdr:nvSpPr>
          <xdr:cNvPr id="1226" name="Line 5230"/>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1227" name="Line 5231"/>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1228" name="Line 5232"/>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1229" name="Line 5233"/>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1230" name="Line 5234"/>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1231" name="Line 5235"/>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1232" name="Line 5236"/>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1233" name="Line 5237"/>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1234" name="Line 5238"/>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1235" name="Line 5239"/>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1236" name="Line 5240"/>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1237" name="Line 5241"/>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1238" name="Line 5242"/>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186</xdr:row>
      <xdr:rowOff>0</xdr:rowOff>
    </xdr:from>
    <xdr:to>
      <xdr:col>4</xdr:col>
      <xdr:colOff>1478280</xdr:colOff>
      <xdr:row>186</xdr:row>
      <xdr:rowOff>0</xdr:rowOff>
    </xdr:to>
    <xdr:grpSp>
      <xdr:nvGrpSpPr>
        <xdr:cNvPr id="1239" name="Group 5243"/>
        <xdr:cNvGrpSpPr>
          <a:grpSpLocks/>
        </xdr:cNvGrpSpPr>
      </xdr:nvGrpSpPr>
      <xdr:grpSpPr bwMode="auto">
        <a:xfrm>
          <a:off x="5952309" y="31470600"/>
          <a:ext cx="304800" cy="0"/>
          <a:chOff x="5238" y="4632"/>
          <a:chExt cx="1597" cy="1311"/>
        </a:xfrm>
      </xdr:grpSpPr>
      <xdr:sp macro="" textlink="">
        <xdr:nvSpPr>
          <xdr:cNvPr id="1240" name="Line 5244"/>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1241" name="Line 5245"/>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1242" name="Line 5246"/>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1243" name="Line 5247"/>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1244" name="Line 5248"/>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1245" name="Line 5249"/>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1246" name="Line 5250"/>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186</xdr:row>
      <xdr:rowOff>0</xdr:rowOff>
    </xdr:from>
    <xdr:to>
      <xdr:col>4</xdr:col>
      <xdr:colOff>647700</xdr:colOff>
      <xdr:row>186</xdr:row>
      <xdr:rowOff>0</xdr:rowOff>
    </xdr:to>
    <xdr:grpSp>
      <xdr:nvGrpSpPr>
        <xdr:cNvPr id="1247" name="Group 5258"/>
        <xdr:cNvGrpSpPr>
          <a:grpSpLocks/>
        </xdr:cNvGrpSpPr>
      </xdr:nvGrpSpPr>
      <xdr:grpSpPr bwMode="auto">
        <a:xfrm>
          <a:off x="5319849" y="31470600"/>
          <a:ext cx="106680" cy="0"/>
          <a:chOff x="3771" y="1155"/>
          <a:chExt cx="4759" cy="14934"/>
        </a:xfrm>
      </xdr:grpSpPr>
      <xdr:sp macro="" textlink="">
        <xdr:nvSpPr>
          <xdr:cNvPr id="1248" name="Oval 5259"/>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1249" name="Arc 5260"/>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1250" name="Arc 5261"/>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1251" name="Line 5262"/>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1252" name="Line 5263"/>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1253" name="Line 5264"/>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1254" name="Line 5265"/>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1255" name="Line 5266"/>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1256" name="Line 5267"/>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1257" name="Line 5268"/>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1258" name="Line 5269"/>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1259" name="Line 5270"/>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1260" name="Line 5271"/>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1261" name="Line 5272"/>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1262" name="Line 5273"/>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1263" name="Line 5274"/>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1264" name="Line 5275"/>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1265" name="Line 5276"/>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1266" name="Line 5277"/>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186</xdr:row>
      <xdr:rowOff>0</xdr:rowOff>
    </xdr:from>
    <xdr:to>
      <xdr:col>4</xdr:col>
      <xdr:colOff>975360</xdr:colOff>
      <xdr:row>186</xdr:row>
      <xdr:rowOff>0</xdr:rowOff>
    </xdr:to>
    <xdr:grpSp>
      <xdr:nvGrpSpPr>
        <xdr:cNvPr id="1267" name="Group 5278"/>
        <xdr:cNvGrpSpPr>
          <a:grpSpLocks/>
        </xdr:cNvGrpSpPr>
      </xdr:nvGrpSpPr>
      <xdr:grpSpPr bwMode="auto">
        <a:xfrm>
          <a:off x="5617029" y="31470600"/>
          <a:ext cx="137160" cy="0"/>
          <a:chOff x="1857" y="2993"/>
          <a:chExt cx="4178" cy="10157"/>
        </a:xfrm>
      </xdr:grpSpPr>
      <xdr:grpSp>
        <xdr:nvGrpSpPr>
          <xdr:cNvPr id="1268" name="Group 5279"/>
          <xdr:cNvGrpSpPr>
            <a:grpSpLocks/>
          </xdr:cNvGrpSpPr>
        </xdr:nvGrpSpPr>
        <xdr:grpSpPr bwMode="auto">
          <a:xfrm rot="1441604">
            <a:off x="4764" y="2993"/>
            <a:ext cx="570" cy="2736"/>
            <a:chOff x="4251" y="2947"/>
            <a:chExt cx="570" cy="2736"/>
          </a:xfrm>
        </xdr:grpSpPr>
        <xdr:sp macro="" textlink="">
          <xdr:nvSpPr>
            <xdr:cNvPr id="1280" name="Line 5280"/>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1281" name="Line 5281"/>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1282" name="Line 5282"/>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1283" name="Line 5283"/>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1269" name="Group 5284"/>
          <xdr:cNvGrpSpPr>
            <a:grpSpLocks/>
          </xdr:cNvGrpSpPr>
        </xdr:nvGrpSpPr>
        <xdr:grpSpPr bwMode="auto">
          <a:xfrm rot="8464448">
            <a:off x="5468" y="5524"/>
            <a:ext cx="569" cy="2733"/>
            <a:chOff x="4677" y="4047"/>
            <a:chExt cx="495" cy="2386"/>
          </a:xfrm>
        </xdr:grpSpPr>
        <xdr:sp macro="" textlink="">
          <xdr:nvSpPr>
            <xdr:cNvPr id="1276" name="Line 5285"/>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1277" name="Line 5286"/>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1278" name="Line 5287"/>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1279" name="Line 5288"/>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1270" name="Group 5289"/>
          <xdr:cNvGrpSpPr>
            <a:grpSpLocks/>
          </xdr:cNvGrpSpPr>
        </xdr:nvGrpSpPr>
        <xdr:grpSpPr bwMode="auto">
          <a:xfrm rot="-5905833">
            <a:off x="2936" y="4830"/>
            <a:ext cx="571" cy="2733"/>
            <a:chOff x="4677" y="4047"/>
            <a:chExt cx="495" cy="2386"/>
          </a:xfrm>
        </xdr:grpSpPr>
        <xdr:sp macro="" textlink="">
          <xdr:nvSpPr>
            <xdr:cNvPr id="1272" name="Line 5290"/>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1273" name="Line 5291"/>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1274" name="Line 5292"/>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1275" name="Line 5293"/>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1271" name="AutoShape 5294"/>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186</xdr:row>
      <xdr:rowOff>0</xdr:rowOff>
    </xdr:from>
    <xdr:to>
      <xdr:col>4</xdr:col>
      <xdr:colOff>342900</xdr:colOff>
      <xdr:row>186</xdr:row>
      <xdr:rowOff>0</xdr:rowOff>
    </xdr:to>
    <xdr:grpSp>
      <xdr:nvGrpSpPr>
        <xdr:cNvPr id="1284" name="Group 5295"/>
        <xdr:cNvGrpSpPr>
          <a:grpSpLocks/>
        </xdr:cNvGrpSpPr>
      </xdr:nvGrpSpPr>
      <xdr:grpSpPr bwMode="auto">
        <a:xfrm>
          <a:off x="4885509" y="31470600"/>
          <a:ext cx="236220" cy="0"/>
          <a:chOff x="5163" y="2548"/>
          <a:chExt cx="2109" cy="2909"/>
        </a:xfrm>
      </xdr:grpSpPr>
      <xdr:sp macro="" textlink="">
        <xdr:nvSpPr>
          <xdr:cNvPr id="1285" name="Rectangle 5296"/>
          <xdr:cNvSpPr>
            <a:spLocks noChangeArrowheads="1"/>
          </xdr:cNvSpPr>
        </xdr:nvSpPr>
        <xdr:spPr bwMode="auto">
          <a:xfrm>
            <a:off x="5163" y="2548"/>
            <a:ext cx="1938" cy="2736"/>
          </a:xfrm>
          <a:prstGeom prst="rect">
            <a:avLst/>
          </a:prstGeom>
          <a:solidFill>
            <a:srgbClr val="FFFFFF"/>
          </a:solidFill>
          <a:ln w="9525" algn="ctr">
            <a:solidFill>
              <a:srgbClr val="FF0000"/>
            </a:solidFill>
            <a:miter lim="800000"/>
            <a:headEnd/>
            <a:tailEnd/>
          </a:ln>
        </xdr:spPr>
      </xdr:sp>
      <xdr:sp macro="" textlink="">
        <xdr:nvSpPr>
          <xdr:cNvPr id="1286" name="Line 5297"/>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1287" name="Line 5298"/>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1288" name="Line 5299"/>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1289" name="Line 5300"/>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1290" name="Line 5301"/>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1291" name="Line 5302"/>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1292" name="Line 5303"/>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1293" name="Line 5304"/>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1294" name="Line 5305"/>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1295" name="Line 5306"/>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1296" name="Line 5307"/>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1297" name="Line 5308"/>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1298" name="Line 5309"/>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186</xdr:row>
      <xdr:rowOff>0</xdr:rowOff>
    </xdr:from>
    <xdr:to>
      <xdr:col>4</xdr:col>
      <xdr:colOff>1478280</xdr:colOff>
      <xdr:row>186</xdr:row>
      <xdr:rowOff>0</xdr:rowOff>
    </xdr:to>
    <xdr:grpSp>
      <xdr:nvGrpSpPr>
        <xdr:cNvPr id="1299" name="Group 5310"/>
        <xdr:cNvGrpSpPr>
          <a:grpSpLocks/>
        </xdr:cNvGrpSpPr>
      </xdr:nvGrpSpPr>
      <xdr:grpSpPr bwMode="auto">
        <a:xfrm>
          <a:off x="5952309" y="31470600"/>
          <a:ext cx="304800" cy="0"/>
          <a:chOff x="5238" y="4632"/>
          <a:chExt cx="1597" cy="1311"/>
        </a:xfrm>
      </xdr:grpSpPr>
      <xdr:sp macro="" textlink="">
        <xdr:nvSpPr>
          <xdr:cNvPr id="1300" name="Line 5311"/>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1301" name="Line 5312"/>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1302" name="Line 5313"/>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1303" name="Line 5314"/>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1304" name="Line 5315"/>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1305" name="Line 5316"/>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1306" name="Line 5317"/>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75</xdr:row>
      <xdr:rowOff>76200</xdr:rowOff>
    </xdr:from>
    <xdr:to>
      <xdr:col>4</xdr:col>
      <xdr:colOff>647700</xdr:colOff>
      <xdr:row>77</xdr:row>
      <xdr:rowOff>83820</xdr:rowOff>
    </xdr:to>
    <xdr:grpSp>
      <xdr:nvGrpSpPr>
        <xdr:cNvPr id="1427" name="Group 5459"/>
        <xdr:cNvGrpSpPr>
          <a:grpSpLocks/>
        </xdr:cNvGrpSpPr>
      </xdr:nvGrpSpPr>
      <xdr:grpSpPr bwMode="auto">
        <a:xfrm>
          <a:off x="5319849" y="11811000"/>
          <a:ext cx="106680" cy="355963"/>
          <a:chOff x="3771" y="1155"/>
          <a:chExt cx="4759" cy="14934"/>
        </a:xfrm>
      </xdr:grpSpPr>
      <xdr:sp macro="" textlink="">
        <xdr:nvSpPr>
          <xdr:cNvPr id="1428" name="Oval 5460"/>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1429" name="Arc 5461"/>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1430" name="Arc 5462"/>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1431" name="Line 5463"/>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1432" name="Line 5464"/>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1433" name="Line 5465"/>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1434" name="Line 5466"/>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1435" name="Line 5467"/>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1436" name="Line 5468"/>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1437" name="Line 5469"/>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1438" name="Line 5470"/>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1439" name="Line 5471"/>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1440" name="Line 5472"/>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1441" name="Line 5473"/>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1442" name="Line 5474"/>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1443" name="Line 5475"/>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1444" name="Line 5476"/>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1445" name="Line 5477"/>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1446" name="Line 5478"/>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75</xdr:row>
      <xdr:rowOff>60960</xdr:rowOff>
    </xdr:from>
    <xdr:to>
      <xdr:col>4</xdr:col>
      <xdr:colOff>975360</xdr:colOff>
      <xdr:row>77</xdr:row>
      <xdr:rowOff>83820</xdr:rowOff>
    </xdr:to>
    <xdr:grpSp>
      <xdr:nvGrpSpPr>
        <xdr:cNvPr id="1447" name="Group 5479"/>
        <xdr:cNvGrpSpPr>
          <a:grpSpLocks/>
        </xdr:cNvGrpSpPr>
      </xdr:nvGrpSpPr>
      <xdr:grpSpPr bwMode="auto">
        <a:xfrm>
          <a:off x="5617029" y="11795760"/>
          <a:ext cx="137160" cy="371203"/>
          <a:chOff x="1857" y="2993"/>
          <a:chExt cx="4178" cy="10157"/>
        </a:xfrm>
      </xdr:grpSpPr>
      <xdr:grpSp>
        <xdr:nvGrpSpPr>
          <xdr:cNvPr id="1448" name="Group 5480"/>
          <xdr:cNvGrpSpPr>
            <a:grpSpLocks/>
          </xdr:cNvGrpSpPr>
        </xdr:nvGrpSpPr>
        <xdr:grpSpPr bwMode="auto">
          <a:xfrm rot="1441604">
            <a:off x="4764" y="2993"/>
            <a:ext cx="570" cy="2736"/>
            <a:chOff x="4251" y="2947"/>
            <a:chExt cx="570" cy="2736"/>
          </a:xfrm>
        </xdr:grpSpPr>
        <xdr:sp macro="" textlink="">
          <xdr:nvSpPr>
            <xdr:cNvPr id="1460" name="Line 5481"/>
            <xdr:cNvSpPr>
              <a:spLocks noChangeShapeType="1"/>
            </xdr:cNvSpPr>
          </xdr:nvSpPr>
          <xdr:spPr bwMode="auto">
            <a:xfrm flipV="1">
              <a:off x="4251" y="2947"/>
              <a:ext cx="400" cy="1938"/>
            </a:xfrm>
            <a:prstGeom prst="line">
              <a:avLst/>
            </a:prstGeom>
            <a:noFill/>
            <a:ln w="9525">
              <a:solidFill>
                <a:srgbClr val="FF0000"/>
              </a:solidFill>
              <a:round/>
              <a:headEnd/>
              <a:tailEnd/>
            </a:ln>
          </xdr:spPr>
        </xdr:sp>
        <xdr:sp macro="" textlink="">
          <xdr:nvSpPr>
            <xdr:cNvPr id="1461" name="Line 5482"/>
            <xdr:cNvSpPr>
              <a:spLocks noChangeShapeType="1"/>
            </xdr:cNvSpPr>
          </xdr:nvSpPr>
          <xdr:spPr bwMode="auto">
            <a:xfrm>
              <a:off x="4651" y="2947"/>
              <a:ext cx="170" cy="0"/>
            </a:xfrm>
            <a:prstGeom prst="line">
              <a:avLst/>
            </a:prstGeom>
            <a:noFill/>
            <a:ln w="9525">
              <a:solidFill>
                <a:srgbClr val="FF0000"/>
              </a:solidFill>
              <a:round/>
              <a:headEnd/>
              <a:tailEnd/>
            </a:ln>
          </xdr:spPr>
        </xdr:sp>
        <xdr:sp macro="" textlink="">
          <xdr:nvSpPr>
            <xdr:cNvPr id="1462" name="Line 5483"/>
            <xdr:cNvSpPr>
              <a:spLocks noChangeShapeType="1"/>
            </xdr:cNvSpPr>
          </xdr:nvSpPr>
          <xdr:spPr bwMode="auto">
            <a:xfrm>
              <a:off x="4821" y="2947"/>
              <a:ext cx="0" cy="2678"/>
            </a:xfrm>
            <a:prstGeom prst="line">
              <a:avLst/>
            </a:prstGeom>
            <a:noFill/>
            <a:ln w="9525">
              <a:solidFill>
                <a:srgbClr val="FF0000"/>
              </a:solidFill>
              <a:round/>
              <a:headEnd/>
              <a:tailEnd/>
            </a:ln>
          </xdr:spPr>
        </xdr:sp>
        <xdr:sp macro="" textlink="">
          <xdr:nvSpPr>
            <xdr:cNvPr id="1463" name="Line 5484"/>
            <xdr:cNvSpPr>
              <a:spLocks noChangeShapeType="1"/>
            </xdr:cNvSpPr>
          </xdr:nvSpPr>
          <xdr:spPr bwMode="auto">
            <a:xfrm>
              <a:off x="4251" y="4885"/>
              <a:ext cx="400" cy="798"/>
            </a:xfrm>
            <a:prstGeom prst="line">
              <a:avLst/>
            </a:prstGeom>
            <a:noFill/>
            <a:ln w="9525">
              <a:solidFill>
                <a:srgbClr val="FF0000"/>
              </a:solidFill>
              <a:round/>
              <a:headEnd/>
              <a:tailEnd/>
            </a:ln>
          </xdr:spPr>
        </xdr:sp>
      </xdr:grpSp>
      <xdr:grpSp>
        <xdr:nvGrpSpPr>
          <xdr:cNvPr id="1449" name="Group 5485"/>
          <xdr:cNvGrpSpPr>
            <a:grpSpLocks/>
          </xdr:cNvGrpSpPr>
        </xdr:nvGrpSpPr>
        <xdr:grpSpPr bwMode="auto">
          <a:xfrm rot="8464448">
            <a:off x="5468" y="5524"/>
            <a:ext cx="569" cy="2733"/>
            <a:chOff x="4677" y="4047"/>
            <a:chExt cx="495" cy="2386"/>
          </a:xfrm>
        </xdr:grpSpPr>
        <xdr:sp macro="" textlink="">
          <xdr:nvSpPr>
            <xdr:cNvPr id="1456" name="Line 5486"/>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1457" name="Line 5487"/>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1458" name="Line 5488"/>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1459" name="Line 5489"/>
            <xdr:cNvSpPr>
              <a:spLocks noChangeShapeType="1"/>
            </xdr:cNvSpPr>
          </xdr:nvSpPr>
          <xdr:spPr bwMode="auto">
            <a:xfrm>
              <a:off x="4677" y="5737"/>
              <a:ext cx="347" cy="696"/>
            </a:xfrm>
            <a:prstGeom prst="line">
              <a:avLst/>
            </a:prstGeom>
            <a:noFill/>
            <a:ln w="9525">
              <a:solidFill>
                <a:srgbClr val="FF0000"/>
              </a:solidFill>
              <a:round/>
              <a:headEnd/>
              <a:tailEnd/>
            </a:ln>
          </xdr:spPr>
        </xdr:sp>
      </xdr:grpSp>
      <xdr:grpSp>
        <xdr:nvGrpSpPr>
          <xdr:cNvPr id="1450" name="Group 5490"/>
          <xdr:cNvGrpSpPr>
            <a:grpSpLocks/>
          </xdr:cNvGrpSpPr>
        </xdr:nvGrpSpPr>
        <xdr:grpSpPr bwMode="auto">
          <a:xfrm rot="-5905833">
            <a:off x="2936" y="4830"/>
            <a:ext cx="571" cy="2733"/>
            <a:chOff x="4677" y="4047"/>
            <a:chExt cx="495" cy="2386"/>
          </a:xfrm>
        </xdr:grpSpPr>
        <xdr:sp macro="" textlink="">
          <xdr:nvSpPr>
            <xdr:cNvPr id="1452" name="Line 5491"/>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1453" name="Line 5492"/>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1454" name="Line 5493"/>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1455" name="Line 5494"/>
            <xdr:cNvSpPr>
              <a:spLocks noChangeShapeType="1"/>
            </xdr:cNvSpPr>
          </xdr:nvSpPr>
          <xdr:spPr bwMode="auto">
            <a:xfrm>
              <a:off x="4677" y="5737"/>
              <a:ext cx="347" cy="696"/>
            </a:xfrm>
            <a:prstGeom prst="line">
              <a:avLst/>
            </a:prstGeom>
            <a:noFill/>
            <a:ln w="9525">
              <a:solidFill>
                <a:srgbClr val="FF0000"/>
              </a:solidFill>
              <a:round/>
              <a:headEnd/>
              <a:tailEnd/>
            </a:ln>
          </xdr:spPr>
        </xdr:sp>
      </xdr:grpSp>
      <xdr:sp macro="" textlink="">
        <xdr:nvSpPr>
          <xdr:cNvPr id="1451" name="AutoShape 5495"/>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FF0000"/>
            </a:solidFill>
            <a:miter lim="800000"/>
            <a:headEnd/>
            <a:tailEnd/>
          </a:ln>
        </xdr:spPr>
      </xdr:sp>
    </xdr:grpSp>
    <xdr:clientData/>
  </xdr:twoCellAnchor>
  <xdr:twoCellAnchor>
    <xdr:from>
      <xdr:col>4</xdr:col>
      <xdr:colOff>106680</xdr:colOff>
      <xdr:row>75</xdr:row>
      <xdr:rowOff>76200</xdr:rowOff>
    </xdr:from>
    <xdr:to>
      <xdr:col>4</xdr:col>
      <xdr:colOff>342900</xdr:colOff>
      <xdr:row>77</xdr:row>
      <xdr:rowOff>83820</xdr:rowOff>
    </xdr:to>
    <xdr:grpSp>
      <xdr:nvGrpSpPr>
        <xdr:cNvPr id="1464" name="Group 5496"/>
        <xdr:cNvGrpSpPr>
          <a:grpSpLocks/>
        </xdr:cNvGrpSpPr>
      </xdr:nvGrpSpPr>
      <xdr:grpSpPr bwMode="auto">
        <a:xfrm>
          <a:off x="4885509" y="11811000"/>
          <a:ext cx="236220" cy="355963"/>
          <a:chOff x="5163" y="2548"/>
          <a:chExt cx="2109" cy="2909"/>
        </a:xfrm>
      </xdr:grpSpPr>
      <xdr:sp macro="" textlink="">
        <xdr:nvSpPr>
          <xdr:cNvPr id="1465" name="Rectangle 5497"/>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1466" name="Line 5498"/>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1467" name="Line 5499"/>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1468" name="Line 5500"/>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1469" name="Line 5501"/>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1470" name="Line 5502"/>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1471" name="Line 5503"/>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1472" name="Line 5504"/>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1473" name="Line 5505"/>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1474" name="Line 5506"/>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1475" name="Line 5507"/>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1476" name="Line 5508"/>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1477" name="Line 5509"/>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1478" name="Line 5510"/>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75</xdr:row>
      <xdr:rowOff>114300</xdr:rowOff>
    </xdr:from>
    <xdr:to>
      <xdr:col>4</xdr:col>
      <xdr:colOff>1478280</xdr:colOff>
      <xdr:row>77</xdr:row>
      <xdr:rowOff>121920</xdr:rowOff>
    </xdr:to>
    <xdr:grpSp>
      <xdr:nvGrpSpPr>
        <xdr:cNvPr id="1479" name="Group 5511"/>
        <xdr:cNvGrpSpPr>
          <a:grpSpLocks/>
        </xdr:cNvGrpSpPr>
      </xdr:nvGrpSpPr>
      <xdr:grpSpPr bwMode="auto">
        <a:xfrm>
          <a:off x="5952309" y="11849100"/>
          <a:ext cx="304800" cy="355963"/>
          <a:chOff x="5238" y="4632"/>
          <a:chExt cx="1597" cy="1311"/>
        </a:xfrm>
      </xdr:grpSpPr>
      <xdr:sp macro="" textlink="">
        <xdr:nvSpPr>
          <xdr:cNvPr id="1480" name="Line 5512"/>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1481" name="Line 5513"/>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1482" name="Line 5514"/>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1483" name="Line 5515"/>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1484" name="Line 5516"/>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1485" name="Line 5517"/>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1486" name="Line 5518"/>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81</xdr:row>
      <xdr:rowOff>76200</xdr:rowOff>
    </xdr:from>
    <xdr:to>
      <xdr:col>4</xdr:col>
      <xdr:colOff>647700</xdr:colOff>
      <xdr:row>83</xdr:row>
      <xdr:rowOff>83820</xdr:rowOff>
    </xdr:to>
    <xdr:grpSp>
      <xdr:nvGrpSpPr>
        <xdr:cNvPr id="1487" name="Group 5526"/>
        <xdr:cNvGrpSpPr>
          <a:grpSpLocks/>
        </xdr:cNvGrpSpPr>
      </xdr:nvGrpSpPr>
      <xdr:grpSpPr bwMode="auto">
        <a:xfrm>
          <a:off x="5319849" y="12877800"/>
          <a:ext cx="106680" cy="355963"/>
          <a:chOff x="3771" y="1155"/>
          <a:chExt cx="4759" cy="14934"/>
        </a:xfrm>
      </xdr:grpSpPr>
      <xdr:sp macro="" textlink="">
        <xdr:nvSpPr>
          <xdr:cNvPr id="1488" name="Oval 5527"/>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1489" name="Arc 5528"/>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1490" name="Arc 5529"/>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1491" name="Line 5530"/>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1492" name="Line 5531"/>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1493" name="Line 5532"/>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1494" name="Line 5533"/>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1495" name="Line 5534"/>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1496" name="Line 5535"/>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1497" name="Line 5536"/>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1498" name="Line 5537"/>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1499" name="Line 5538"/>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1500" name="Line 5539"/>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1501" name="Line 5540"/>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1502" name="Line 5541"/>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1503" name="Line 5542"/>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1504" name="Line 5543"/>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1505" name="Line 5544"/>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1506" name="Line 5545"/>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81</xdr:row>
      <xdr:rowOff>60960</xdr:rowOff>
    </xdr:from>
    <xdr:to>
      <xdr:col>4</xdr:col>
      <xdr:colOff>975360</xdr:colOff>
      <xdr:row>83</xdr:row>
      <xdr:rowOff>83820</xdr:rowOff>
    </xdr:to>
    <xdr:grpSp>
      <xdr:nvGrpSpPr>
        <xdr:cNvPr id="1507" name="Group 5546"/>
        <xdr:cNvGrpSpPr>
          <a:grpSpLocks/>
        </xdr:cNvGrpSpPr>
      </xdr:nvGrpSpPr>
      <xdr:grpSpPr bwMode="auto">
        <a:xfrm>
          <a:off x="5617029" y="12862560"/>
          <a:ext cx="137160" cy="371203"/>
          <a:chOff x="1857" y="2993"/>
          <a:chExt cx="4178" cy="10157"/>
        </a:xfrm>
      </xdr:grpSpPr>
      <xdr:grpSp>
        <xdr:nvGrpSpPr>
          <xdr:cNvPr id="1508" name="Group 5547"/>
          <xdr:cNvGrpSpPr>
            <a:grpSpLocks/>
          </xdr:cNvGrpSpPr>
        </xdr:nvGrpSpPr>
        <xdr:grpSpPr bwMode="auto">
          <a:xfrm rot="1441604">
            <a:off x="4764" y="2993"/>
            <a:ext cx="570" cy="2736"/>
            <a:chOff x="4251" y="2947"/>
            <a:chExt cx="570" cy="2736"/>
          </a:xfrm>
        </xdr:grpSpPr>
        <xdr:sp macro="" textlink="">
          <xdr:nvSpPr>
            <xdr:cNvPr id="1520" name="Line 5548"/>
            <xdr:cNvSpPr>
              <a:spLocks noChangeShapeType="1"/>
            </xdr:cNvSpPr>
          </xdr:nvSpPr>
          <xdr:spPr bwMode="auto">
            <a:xfrm flipV="1">
              <a:off x="4251" y="2947"/>
              <a:ext cx="400" cy="1938"/>
            </a:xfrm>
            <a:prstGeom prst="line">
              <a:avLst/>
            </a:prstGeom>
            <a:noFill/>
            <a:ln w="9525">
              <a:solidFill>
                <a:srgbClr val="FF0000"/>
              </a:solidFill>
              <a:round/>
              <a:headEnd/>
              <a:tailEnd/>
            </a:ln>
          </xdr:spPr>
        </xdr:sp>
        <xdr:sp macro="" textlink="">
          <xdr:nvSpPr>
            <xdr:cNvPr id="1521" name="Line 5549"/>
            <xdr:cNvSpPr>
              <a:spLocks noChangeShapeType="1"/>
            </xdr:cNvSpPr>
          </xdr:nvSpPr>
          <xdr:spPr bwMode="auto">
            <a:xfrm>
              <a:off x="4651" y="2947"/>
              <a:ext cx="170" cy="0"/>
            </a:xfrm>
            <a:prstGeom prst="line">
              <a:avLst/>
            </a:prstGeom>
            <a:noFill/>
            <a:ln w="9525">
              <a:solidFill>
                <a:srgbClr val="FF0000"/>
              </a:solidFill>
              <a:round/>
              <a:headEnd/>
              <a:tailEnd/>
            </a:ln>
          </xdr:spPr>
        </xdr:sp>
        <xdr:sp macro="" textlink="">
          <xdr:nvSpPr>
            <xdr:cNvPr id="1522" name="Line 5550"/>
            <xdr:cNvSpPr>
              <a:spLocks noChangeShapeType="1"/>
            </xdr:cNvSpPr>
          </xdr:nvSpPr>
          <xdr:spPr bwMode="auto">
            <a:xfrm>
              <a:off x="4821" y="2947"/>
              <a:ext cx="0" cy="2678"/>
            </a:xfrm>
            <a:prstGeom prst="line">
              <a:avLst/>
            </a:prstGeom>
            <a:noFill/>
            <a:ln w="9525">
              <a:solidFill>
                <a:srgbClr val="FF0000"/>
              </a:solidFill>
              <a:round/>
              <a:headEnd/>
              <a:tailEnd/>
            </a:ln>
          </xdr:spPr>
        </xdr:sp>
        <xdr:sp macro="" textlink="">
          <xdr:nvSpPr>
            <xdr:cNvPr id="1523" name="Line 5551"/>
            <xdr:cNvSpPr>
              <a:spLocks noChangeShapeType="1"/>
            </xdr:cNvSpPr>
          </xdr:nvSpPr>
          <xdr:spPr bwMode="auto">
            <a:xfrm>
              <a:off x="4251" y="4885"/>
              <a:ext cx="400" cy="798"/>
            </a:xfrm>
            <a:prstGeom prst="line">
              <a:avLst/>
            </a:prstGeom>
            <a:noFill/>
            <a:ln w="9525">
              <a:solidFill>
                <a:srgbClr val="FF0000"/>
              </a:solidFill>
              <a:round/>
              <a:headEnd/>
              <a:tailEnd/>
            </a:ln>
          </xdr:spPr>
        </xdr:sp>
      </xdr:grpSp>
      <xdr:grpSp>
        <xdr:nvGrpSpPr>
          <xdr:cNvPr id="1509" name="Group 5552"/>
          <xdr:cNvGrpSpPr>
            <a:grpSpLocks/>
          </xdr:cNvGrpSpPr>
        </xdr:nvGrpSpPr>
        <xdr:grpSpPr bwMode="auto">
          <a:xfrm rot="8464448">
            <a:off x="5468" y="5524"/>
            <a:ext cx="569" cy="2733"/>
            <a:chOff x="4677" y="4047"/>
            <a:chExt cx="495" cy="2386"/>
          </a:xfrm>
        </xdr:grpSpPr>
        <xdr:sp macro="" textlink="">
          <xdr:nvSpPr>
            <xdr:cNvPr id="1516" name="Line 5553"/>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1517" name="Line 5554"/>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1518" name="Line 5555"/>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1519" name="Line 5556"/>
            <xdr:cNvSpPr>
              <a:spLocks noChangeShapeType="1"/>
            </xdr:cNvSpPr>
          </xdr:nvSpPr>
          <xdr:spPr bwMode="auto">
            <a:xfrm>
              <a:off x="4677" y="5737"/>
              <a:ext cx="347" cy="696"/>
            </a:xfrm>
            <a:prstGeom prst="line">
              <a:avLst/>
            </a:prstGeom>
            <a:noFill/>
            <a:ln w="9525">
              <a:solidFill>
                <a:srgbClr val="FF0000"/>
              </a:solidFill>
              <a:round/>
              <a:headEnd/>
              <a:tailEnd/>
            </a:ln>
          </xdr:spPr>
        </xdr:sp>
      </xdr:grpSp>
      <xdr:grpSp>
        <xdr:nvGrpSpPr>
          <xdr:cNvPr id="1510" name="Group 5557"/>
          <xdr:cNvGrpSpPr>
            <a:grpSpLocks/>
          </xdr:cNvGrpSpPr>
        </xdr:nvGrpSpPr>
        <xdr:grpSpPr bwMode="auto">
          <a:xfrm rot="-5905833">
            <a:off x="2936" y="4830"/>
            <a:ext cx="571" cy="2733"/>
            <a:chOff x="4677" y="4047"/>
            <a:chExt cx="495" cy="2386"/>
          </a:xfrm>
        </xdr:grpSpPr>
        <xdr:sp macro="" textlink="">
          <xdr:nvSpPr>
            <xdr:cNvPr id="1512" name="Line 5558"/>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1513" name="Line 5559"/>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1514" name="Line 5560"/>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1515" name="Line 5561"/>
            <xdr:cNvSpPr>
              <a:spLocks noChangeShapeType="1"/>
            </xdr:cNvSpPr>
          </xdr:nvSpPr>
          <xdr:spPr bwMode="auto">
            <a:xfrm>
              <a:off x="4677" y="5737"/>
              <a:ext cx="347" cy="696"/>
            </a:xfrm>
            <a:prstGeom prst="line">
              <a:avLst/>
            </a:prstGeom>
            <a:noFill/>
            <a:ln w="9525">
              <a:solidFill>
                <a:srgbClr val="FF0000"/>
              </a:solidFill>
              <a:round/>
              <a:headEnd/>
              <a:tailEnd/>
            </a:ln>
          </xdr:spPr>
        </xdr:sp>
      </xdr:grpSp>
      <xdr:sp macro="" textlink="">
        <xdr:nvSpPr>
          <xdr:cNvPr id="1511" name="AutoShape 5562"/>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FF0000"/>
            </a:solidFill>
            <a:miter lim="800000"/>
            <a:headEnd/>
            <a:tailEnd/>
          </a:ln>
        </xdr:spPr>
      </xdr:sp>
    </xdr:grpSp>
    <xdr:clientData/>
  </xdr:twoCellAnchor>
  <xdr:twoCellAnchor>
    <xdr:from>
      <xdr:col>4</xdr:col>
      <xdr:colOff>106680</xdr:colOff>
      <xdr:row>81</xdr:row>
      <xdr:rowOff>76200</xdr:rowOff>
    </xdr:from>
    <xdr:to>
      <xdr:col>4</xdr:col>
      <xdr:colOff>342900</xdr:colOff>
      <xdr:row>83</xdr:row>
      <xdr:rowOff>83820</xdr:rowOff>
    </xdr:to>
    <xdr:grpSp>
      <xdr:nvGrpSpPr>
        <xdr:cNvPr id="1524" name="Group 5563"/>
        <xdr:cNvGrpSpPr>
          <a:grpSpLocks/>
        </xdr:cNvGrpSpPr>
      </xdr:nvGrpSpPr>
      <xdr:grpSpPr bwMode="auto">
        <a:xfrm>
          <a:off x="4885509" y="12877800"/>
          <a:ext cx="236220" cy="355963"/>
          <a:chOff x="5163" y="2548"/>
          <a:chExt cx="2109" cy="2909"/>
        </a:xfrm>
      </xdr:grpSpPr>
      <xdr:sp macro="" textlink="">
        <xdr:nvSpPr>
          <xdr:cNvPr id="1525" name="Rectangle 5564"/>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1526" name="Line 5565"/>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1527" name="Line 5566"/>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1528" name="Line 5567"/>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1529" name="Line 5568"/>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1530" name="Line 5569"/>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1531" name="Line 5570"/>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1532" name="Line 5571"/>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1533" name="Line 5572"/>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1534" name="Line 5573"/>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1535" name="Line 5574"/>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1536" name="Line 5575"/>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1537" name="Line 5576"/>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1538" name="Line 5577"/>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81</xdr:row>
      <xdr:rowOff>114300</xdr:rowOff>
    </xdr:from>
    <xdr:to>
      <xdr:col>4</xdr:col>
      <xdr:colOff>1478280</xdr:colOff>
      <xdr:row>83</xdr:row>
      <xdr:rowOff>121920</xdr:rowOff>
    </xdr:to>
    <xdr:grpSp>
      <xdr:nvGrpSpPr>
        <xdr:cNvPr id="1539" name="Group 5578"/>
        <xdr:cNvGrpSpPr>
          <a:grpSpLocks/>
        </xdr:cNvGrpSpPr>
      </xdr:nvGrpSpPr>
      <xdr:grpSpPr bwMode="auto">
        <a:xfrm>
          <a:off x="5952309" y="12915900"/>
          <a:ext cx="304800" cy="355963"/>
          <a:chOff x="5238" y="4632"/>
          <a:chExt cx="1597" cy="1311"/>
        </a:xfrm>
      </xdr:grpSpPr>
      <xdr:sp macro="" textlink="">
        <xdr:nvSpPr>
          <xdr:cNvPr id="1540" name="Line 5579"/>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1541" name="Line 5580"/>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1542" name="Line 5581"/>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1543" name="Line 5582"/>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1544" name="Line 5583"/>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1545" name="Line 5584"/>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1546" name="Line 5585"/>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186</xdr:row>
      <xdr:rowOff>76200</xdr:rowOff>
    </xdr:from>
    <xdr:to>
      <xdr:col>4</xdr:col>
      <xdr:colOff>647700</xdr:colOff>
      <xdr:row>188</xdr:row>
      <xdr:rowOff>83820</xdr:rowOff>
    </xdr:to>
    <xdr:grpSp>
      <xdr:nvGrpSpPr>
        <xdr:cNvPr id="1547" name="Group 5593"/>
        <xdr:cNvGrpSpPr>
          <a:grpSpLocks/>
        </xdr:cNvGrpSpPr>
      </xdr:nvGrpSpPr>
      <xdr:grpSpPr bwMode="auto">
        <a:xfrm>
          <a:off x="5319849" y="31546800"/>
          <a:ext cx="106680" cy="355963"/>
          <a:chOff x="3771" y="1155"/>
          <a:chExt cx="4759" cy="14934"/>
        </a:xfrm>
      </xdr:grpSpPr>
      <xdr:sp macro="" textlink="">
        <xdr:nvSpPr>
          <xdr:cNvPr id="1548" name="Oval 5594"/>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1549" name="Arc 5595"/>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1550" name="Arc 5596"/>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1551" name="Line 5597"/>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1552" name="Line 5598"/>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1553" name="Line 5599"/>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1554" name="Line 5600"/>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1555" name="Line 5601"/>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1556" name="Line 5602"/>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1557" name="Line 5603"/>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1558" name="Line 5604"/>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1559" name="Line 5605"/>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1560" name="Line 5606"/>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1561" name="Line 5607"/>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1562" name="Line 5608"/>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1563" name="Line 5609"/>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1564" name="Line 5610"/>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1565" name="Line 5611"/>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1566" name="Line 5612"/>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186</xdr:row>
      <xdr:rowOff>60960</xdr:rowOff>
    </xdr:from>
    <xdr:to>
      <xdr:col>4</xdr:col>
      <xdr:colOff>975360</xdr:colOff>
      <xdr:row>188</xdr:row>
      <xdr:rowOff>83820</xdr:rowOff>
    </xdr:to>
    <xdr:grpSp>
      <xdr:nvGrpSpPr>
        <xdr:cNvPr id="1567" name="Group 5613"/>
        <xdr:cNvGrpSpPr>
          <a:grpSpLocks/>
        </xdr:cNvGrpSpPr>
      </xdr:nvGrpSpPr>
      <xdr:grpSpPr bwMode="auto">
        <a:xfrm>
          <a:off x="5617029" y="31531560"/>
          <a:ext cx="137160" cy="371203"/>
          <a:chOff x="1857" y="2993"/>
          <a:chExt cx="4178" cy="10157"/>
        </a:xfrm>
      </xdr:grpSpPr>
      <xdr:grpSp>
        <xdr:nvGrpSpPr>
          <xdr:cNvPr id="1568" name="Group 5614"/>
          <xdr:cNvGrpSpPr>
            <a:grpSpLocks/>
          </xdr:cNvGrpSpPr>
        </xdr:nvGrpSpPr>
        <xdr:grpSpPr bwMode="auto">
          <a:xfrm rot="1441604">
            <a:off x="4764" y="2993"/>
            <a:ext cx="570" cy="2736"/>
            <a:chOff x="4251" y="2947"/>
            <a:chExt cx="570" cy="2736"/>
          </a:xfrm>
        </xdr:grpSpPr>
        <xdr:sp macro="" textlink="">
          <xdr:nvSpPr>
            <xdr:cNvPr id="1580" name="Line 5615"/>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1581" name="Line 5616"/>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1582" name="Line 5617"/>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1583" name="Line 5618"/>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1569" name="Group 5619"/>
          <xdr:cNvGrpSpPr>
            <a:grpSpLocks/>
          </xdr:cNvGrpSpPr>
        </xdr:nvGrpSpPr>
        <xdr:grpSpPr bwMode="auto">
          <a:xfrm rot="8464448">
            <a:off x="5468" y="5524"/>
            <a:ext cx="569" cy="2733"/>
            <a:chOff x="4677" y="4047"/>
            <a:chExt cx="495" cy="2386"/>
          </a:xfrm>
        </xdr:grpSpPr>
        <xdr:sp macro="" textlink="">
          <xdr:nvSpPr>
            <xdr:cNvPr id="1576" name="Line 5620"/>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1577" name="Line 5621"/>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1578" name="Line 5622"/>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1579" name="Line 5623"/>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1570" name="Group 5624"/>
          <xdr:cNvGrpSpPr>
            <a:grpSpLocks/>
          </xdr:cNvGrpSpPr>
        </xdr:nvGrpSpPr>
        <xdr:grpSpPr bwMode="auto">
          <a:xfrm rot="-5905833">
            <a:off x="2936" y="4830"/>
            <a:ext cx="571" cy="2733"/>
            <a:chOff x="4677" y="4047"/>
            <a:chExt cx="495" cy="2386"/>
          </a:xfrm>
        </xdr:grpSpPr>
        <xdr:sp macro="" textlink="">
          <xdr:nvSpPr>
            <xdr:cNvPr id="1572" name="Line 5625"/>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1573" name="Line 5626"/>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1574" name="Line 5627"/>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1575" name="Line 5628"/>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1571" name="AutoShape 5629"/>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186</xdr:row>
      <xdr:rowOff>76200</xdr:rowOff>
    </xdr:from>
    <xdr:to>
      <xdr:col>4</xdr:col>
      <xdr:colOff>342900</xdr:colOff>
      <xdr:row>188</xdr:row>
      <xdr:rowOff>83820</xdr:rowOff>
    </xdr:to>
    <xdr:grpSp>
      <xdr:nvGrpSpPr>
        <xdr:cNvPr id="1584" name="Group 5630"/>
        <xdr:cNvGrpSpPr>
          <a:grpSpLocks/>
        </xdr:cNvGrpSpPr>
      </xdr:nvGrpSpPr>
      <xdr:grpSpPr bwMode="auto">
        <a:xfrm>
          <a:off x="4885509" y="31546800"/>
          <a:ext cx="236220" cy="355963"/>
          <a:chOff x="5163" y="2548"/>
          <a:chExt cx="2109" cy="2909"/>
        </a:xfrm>
      </xdr:grpSpPr>
      <xdr:sp macro="" textlink="">
        <xdr:nvSpPr>
          <xdr:cNvPr id="1585" name="Rectangle 5631"/>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1586" name="Line 5632"/>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1587" name="Line 5633"/>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1588" name="Line 5634"/>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1589" name="Line 5635"/>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1590" name="Line 5636"/>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1591" name="Line 5637"/>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1592" name="Line 5638"/>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1593" name="Line 5639"/>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1594" name="Line 5640"/>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1595" name="Line 5641"/>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1596" name="Line 5642"/>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1597" name="Line 5643"/>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1598" name="Line 5644"/>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186</xdr:row>
      <xdr:rowOff>114300</xdr:rowOff>
    </xdr:from>
    <xdr:to>
      <xdr:col>4</xdr:col>
      <xdr:colOff>1478280</xdr:colOff>
      <xdr:row>188</xdr:row>
      <xdr:rowOff>121920</xdr:rowOff>
    </xdr:to>
    <xdr:grpSp>
      <xdr:nvGrpSpPr>
        <xdr:cNvPr id="1599" name="Group 5645"/>
        <xdr:cNvGrpSpPr>
          <a:grpSpLocks/>
        </xdr:cNvGrpSpPr>
      </xdr:nvGrpSpPr>
      <xdr:grpSpPr bwMode="auto">
        <a:xfrm>
          <a:off x="5952309" y="31584900"/>
          <a:ext cx="304800" cy="355963"/>
          <a:chOff x="5238" y="4632"/>
          <a:chExt cx="1597" cy="1311"/>
        </a:xfrm>
      </xdr:grpSpPr>
      <xdr:sp macro="" textlink="">
        <xdr:nvSpPr>
          <xdr:cNvPr id="1600" name="Line 5646"/>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1601" name="Line 5647"/>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1602" name="Line 5648"/>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1603" name="Line 5649"/>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1604" name="Line 5650"/>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1605" name="Line 5651"/>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1606" name="Line 5652"/>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192</xdr:row>
      <xdr:rowOff>76200</xdr:rowOff>
    </xdr:from>
    <xdr:to>
      <xdr:col>4</xdr:col>
      <xdr:colOff>647700</xdr:colOff>
      <xdr:row>194</xdr:row>
      <xdr:rowOff>83820</xdr:rowOff>
    </xdr:to>
    <xdr:grpSp>
      <xdr:nvGrpSpPr>
        <xdr:cNvPr id="1607" name="Group 5661"/>
        <xdr:cNvGrpSpPr>
          <a:grpSpLocks/>
        </xdr:cNvGrpSpPr>
      </xdr:nvGrpSpPr>
      <xdr:grpSpPr bwMode="auto">
        <a:xfrm>
          <a:off x="5319849" y="32613600"/>
          <a:ext cx="106680" cy="355963"/>
          <a:chOff x="3771" y="1155"/>
          <a:chExt cx="4759" cy="14934"/>
        </a:xfrm>
      </xdr:grpSpPr>
      <xdr:sp macro="" textlink="">
        <xdr:nvSpPr>
          <xdr:cNvPr id="1608" name="Oval 5662"/>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1609" name="Arc 5663"/>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1610" name="Arc 5664"/>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1611" name="Line 5665"/>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1612" name="Line 5666"/>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1613" name="Line 5667"/>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1614" name="Line 5668"/>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1615" name="Line 5669"/>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1616" name="Line 5670"/>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1617" name="Line 5671"/>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1618" name="Line 5672"/>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1619" name="Line 5673"/>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1620" name="Line 5674"/>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1621" name="Line 5675"/>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1622" name="Line 5676"/>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1623" name="Line 5677"/>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1624" name="Line 5678"/>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1625" name="Line 5679"/>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1626" name="Line 5680"/>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192</xdr:row>
      <xdr:rowOff>60960</xdr:rowOff>
    </xdr:from>
    <xdr:to>
      <xdr:col>4</xdr:col>
      <xdr:colOff>975360</xdr:colOff>
      <xdr:row>194</xdr:row>
      <xdr:rowOff>83820</xdr:rowOff>
    </xdr:to>
    <xdr:grpSp>
      <xdr:nvGrpSpPr>
        <xdr:cNvPr id="1627" name="Group 5681"/>
        <xdr:cNvGrpSpPr>
          <a:grpSpLocks/>
        </xdr:cNvGrpSpPr>
      </xdr:nvGrpSpPr>
      <xdr:grpSpPr bwMode="auto">
        <a:xfrm>
          <a:off x="5617029" y="32598360"/>
          <a:ext cx="137160" cy="371203"/>
          <a:chOff x="1857" y="2993"/>
          <a:chExt cx="4178" cy="10157"/>
        </a:xfrm>
      </xdr:grpSpPr>
      <xdr:grpSp>
        <xdr:nvGrpSpPr>
          <xdr:cNvPr id="1628" name="Group 5682"/>
          <xdr:cNvGrpSpPr>
            <a:grpSpLocks/>
          </xdr:cNvGrpSpPr>
        </xdr:nvGrpSpPr>
        <xdr:grpSpPr bwMode="auto">
          <a:xfrm rot="1441604">
            <a:off x="4764" y="2993"/>
            <a:ext cx="570" cy="2736"/>
            <a:chOff x="4251" y="2947"/>
            <a:chExt cx="570" cy="2736"/>
          </a:xfrm>
        </xdr:grpSpPr>
        <xdr:sp macro="" textlink="">
          <xdr:nvSpPr>
            <xdr:cNvPr id="1640" name="Line 5683"/>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1641" name="Line 5684"/>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1642" name="Line 5685"/>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1643" name="Line 5686"/>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1629" name="Group 5687"/>
          <xdr:cNvGrpSpPr>
            <a:grpSpLocks/>
          </xdr:cNvGrpSpPr>
        </xdr:nvGrpSpPr>
        <xdr:grpSpPr bwMode="auto">
          <a:xfrm rot="8464448">
            <a:off x="5468" y="5524"/>
            <a:ext cx="569" cy="2733"/>
            <a:chOff x="4677" y="4047"/>
            <a:chExt cx="495" cy="2386"/>
          </a:xfrm>
        </xdr:grpSpPr>
        <xdr:sp macro="" textlink="">
          <xdr:nvSpPr>
            <xdr:cNvPr id="1636" name="Line 5688"/>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1637" name="Line 5689"/>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1638" name="Line 5690"/>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1639" name="Line 5691"/>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1630" name="Group 5692"/>
          <xdr:cNvGrpSpPr>
            <a:grpSpLocks/>
          </xdr:cNvGrpSpPr>
        </xdr:nvGrpSpPr>
        <xdr:grpSpPr bwMode="auto">
          <a:xfrm rot="-5905833">
            <a:off x="2936" y="4830"/>
            <a:ext cx="571" cy="2733"/>
            <a:chOff x="4677" y="4047"/>
            <a:chExt cx="495" cy="2386"/>
          </a:xfrm>
        </xdr:grpSpPr>
        <xdr:sp macro="" textlink="">
          <xdr:nvSpPr>
            <xdr:cNvPr id="1632" name="Line 5693"/>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1633" name="Line 5694"/>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1634" name="Line 5695"/>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1635" name="Line 5696"/>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1631" name="AutoShape 5697"/>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192</xdr:row>
      <xdr:rowOff>76200</xdr:rowOff>
    </xdr:from>
    <xdr:to>
      <xdr:col>4</xdr:col>
      <xdr:colOff>342900</xdr:colOff>
      <xdr:row>194</xdr:row>
      <xdr:rowOff>83820</xdr:rowOff>
    </xdr:to>
    <xdr:grpSp>
      <xdr:nvGrpSpPr>
        <xdr:cNvPr id="1644" name="Group 5698"/>
        <xdr:cNvGrpSpPr>
          <a:grpSpLocks/>
        </xdr:cNvGrpSpPr>
      </xdr:nvGrpSpPr>
      <xdr:grpSpPr bwMode="auto">
        <a:xfrm>
          <a:off x="4885509" y="32613600"/>
          <a:ext cx="236220" cy="355963"/>
          <a:chOff x="5163" y="2548"/>
          <a:chExt cx="2109" cy="2909"/>
        </a:xfrm>
      </xdr:grpSpPr>
      <xdr:sp macro="" textlink="">
        <xdr:nvSpPr>
          <xdr:cNvPr id="1645" name="Rectangle 5699"/>
          <xdr:cNvSpPr>
            <a:spLocks noChangeArrowheads="1"/>
          </xdr:cNvSpPr>
        </xdr:nvSpPr>
        <xdr:spPr bwMode="auto">
          <a:xfrm>
            <a:off x="5163" y="2548"/>
            <a:ext cx="1938" cy="2736"/>
          </a:xfrm>
          <a:prstGeom prst="rect">
            <a:avLst/>
          </a:prstGeom>
          <a:solidFill>
            <a:srgbClr val="FFFFFF"/>
          </a:solidFill>
          <a:ln w="9525" algn="ctr">
            <a:solidFill>
              <a:srgbClr val="C0C0C0"/>
            </a:solidFill>
            <a:miter lim="800000"/>
            <a:headEnd/>
            <a:tailEnd/>
          </a:ln>
        </xdr:spPr>
      </xdr:sp>
      <xdr:sp macro="" textlink="">
        <xdr:nvSpPr>
          <xdr:cNvPr id="1646" name="Line 5700"/>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1647" name="Line 5701"/>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1648" name="Line 5702"/>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1649" name="Line 5703"/>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1650" name="Line 5704"/>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1651" name="Line 5705"/>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1652" name="Line 5706"/>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1653" name="Line 5707"/>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1654" name="Line 5708"/>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1655" name="Line 5709"/>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1656" name="Line 5710"/>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1657" name="Line 5711"/>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1658" name="Line 5712"/>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192</xdr:row>
      <xdr:rowOff>114300</xdr:rowOff>
    </xdr:from>
    <xdr:to>
      <xdr:col>4</xdr:col>
      <xdr:colOff>1478280</xdr:colOff>
      <xdr:row>194</xdr:row>
      <xdr:rowOff>121920</xdr:rowOff>
    </xdr:to>
    <xdr:grpSp>
      <xdr:nvGrpSpPr>
        <xdr:cNvPr id="1659" name="Group 5713"/>
        <xdr:cNvGrpSpPr>
          <a:grpSpLocks/>
        </xdr:cNvGrpSpPr>
      </xdr:nvGrpSpPr>
      <xdr:grpSpPr bwMode="auto">
        <a:xfrm>
          <a:off x="5952309" y="32651700"/>
          <a:ext cx="304800" cy="355963"/>
          <a:chOff x="5238" y="4632"/>
          <a:chExt cx="1597" cy="1311"/>
        </a:xfrm>
      </xdr:grpSpPr>
      <xdr:sp macro="" textlink="">
        <xdr:nvSpPr>
          <xdr:cNvPr id="1660" name="Line 5714"/>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1661" name="Line 5715"/>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1662" name="Line 5716"/>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1663" name="Line 5717"/>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1664" name="Line 5718"/>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1665" name="Line 5719"/>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1666" name="Line 5720"/>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195</xdr:row>
      <xdr:rowOff>76200</xdr:rowOff>
    </xdr:from>
    <xdr:to>
      <xdr:col>4</xdr:col>
      <xdr:colOff>647700</xdr:colOff>
      <xdr:row>197</xdr:row>
      <xdr:rowOff>83820</xdr:rowOff>
    </xdr:to>
    <xdr:grpSp>
      <xdr:nvGrpSpPr>
        <xdr:cNvPr id="1667" name="Group 5729"/>
        <xdr:cNvGrpSpPr>
          <a:grpSpLocks/>
        </xdr:cNvGrpSpPr>
      </xdr:nvGrpSpPr>
      <xdr:grpSpPr bwMode="auto">
        <a:xfrm>
          <a:off x="5319849" y="33147000"/>
          <a:ext cx="106680" cy="355963"/>
          <a:chOff x="3771" y="1155"/>
          <a:chExt cx="4759" cy="14934"/>
        </a:xfrm>
      </xdr:grpSpPr>
      <xdr:sp macro="" textlink="">
        <xdr:nvSpPr>
          <xdr:cNvPr id="1668" name="Oval 5730"/>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1669" name="Arc 5731"/>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1670" name="Arc 5732"/>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1671" name="Line 5733"/>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1672" name="Line 5734"/>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1673" name="Line 5735"/>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1674" name="Line 5736"/>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1675" name="Line 5737"/>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1676" name="Line 5738"/>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1677" name="Line 5739"/>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1678" name="Line 5740"/>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1679" name="Line 5741"/>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1680" name="Line 5742"/>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1681" name="Line 5743"/>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1682" name="Line 5744"/>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1683" name="Line 5745"/>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1684" name="Line 5746"/>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1685" name="Line 5747"/>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1686" name="Line 5748"/>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195</xdr:row>
      <xdr:rowOff>60960</xdr:rowOff>
    </xdr:from>
    <xdr:to>
      <xdr:col>4</xdr:col>
      <xdr:colOff>975360</xdr:colOff>
      <xdr:row>197</xdr:row>
      <xdr:rowOff>83820</xdr:rowOff>
    </xdr:to>
    <xdr:grpSp>
      <xdr:nvGrpSpPr>
        <xdr:cNvPr id="1687" name="Group 5749"/>
        <xdr:cNvGrpSpPr>
          <a:grpSpLocks/>
        </xdr:cNvGrpSpPr>
      </xdr:nvGrpSpPr>
      <xdr:grpSpPr bwMode="auto">
        <a:xfrm>
          <a:off x="5617029" y="33131760"/>
          <a:ext cx="137160" cy="371203"/>
          <a:chOff x="1857" y="2993"/>
          <a:chExt cx="4178" cy="10157"/>
        </a:xfrm>
      </xdr:grpSpPr>
      <xdr:grpSp>
        <xdr:nvGrpSpPr>
          <xdr:cNvPr id="1688" name="Group 5750"/>
          <xdr:cNvGrpSpPr>
            <a:grpSpLocks/>
          </xdr:cNvGrpSpPr>
        </xdr:nvGrpSpPr>
        <xdr:grpSpPr bwMode="auto">
          <a:xfrm rot="1441604">
            <a:off x="4764" y="2993"/>
            <a:ext cx="570" cy="2736"/>
            <a:chOff x="4251" y="2947"/>
            <a:chExt cx="570" cy="2736"/>
          </a:xfrm>
        </xdr:grpSpPr>
        <xdr:sp macro="" textlink="">
          <xdr:nvSpPr>
            <xdr:cNvPr id="1700" name="Line 5751"/>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1701" name="Line 5752"/>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1702" name="Line 5753"/>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1703" name="Line 5754"/>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1689" name="Group 5755"/>
          <xdr:cNvGrpSpPr>
            <a:grpSpLocks/>
          </xdr:cNvGrpSpPr>
        </xdr:nvGrpSpPr>
        <xdr:grpSpPr bwMode="auto">
          <a:xfrm rot="8464448">
            <a:off x="5468" y="5524"/>
            <a:ext cx="569" cy="2733"/>
            <a:chOff x="4677" y="4047"/>
            <a:chExt cx="495" cy="2386"/>
          </a:xfrm>
        </xdr:grpSpPr>
        <xdr:sp macro="" textlink="">
          <xdr:nvSpPr>
            <xdr:cNvPr id="1696" name="Line 5756"/>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1697" name="Line 5757"/>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1698" name="Line 5758"/>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1699" name="Line 5759"/>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1690" name="Group 5760"/>
          <xdr:cNvGrpSpPr>
            <a:grpSpLocks/>
          </xdr:cNvGrpSpPr>
        </xdr:nvGrpSpPr>
        <xdr:grpSpPr bwMode="auto">
          <a:xfrm rot="-5905833">
            <a:off x="2936" y="4830"/>
            <a:ext cx="571" cy="2733"/>
            <a:chOff x="4677" y="4047"/>
            <a:chExt cx="495" cy="2386"/>
          </a:xfrm>
        </xdr:grpSpPr>
        <xdr:sp macro="" textlink="">
          <xdr:nvSpPr>
            <xdr:cNvPr id="1692" name="Line 5761"/>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1693" name="Line 5762"/>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1694" name="Line 5763"/>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1695" name="Line 5764"/>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1691" name="AutoShape 5765"/>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195</xdr:row>
      <xdr:rowOff>76200</xdr:rowOff>
    </xdr:from>
    <xdr:to>
      <xdr:col>4</xdr:col>
      <xdr:colOff>342900</xdr:colOff>
      <xdr:row>197</xdr:row>
      <xdr:rowOff>83820</xdr:rowOff>
    </xdr:to>
    <xdr:grpSp>
      <xdr:nvGrpSpPr>
        <xdr:cNvPr id="1704" name="Group 5766"/>
        <xdr:cNvGrpSpPr>
          <a:grpSpLocks/>
        </xdr:cNvGrpSpPr>
      </xdr:nvGrpSpPr>
      <xdr:grpSpPr bwMode="auto">
        <a:xfrm>
          <a:off x="4885509" y="33147000"/>
          <a:ext cx="236220" cy="355963"/>
          <a:chOff x="5163" y="2548"/>
          <a:chExt cx="2109" cy="2909"/>
        </a:xfrm>
      </xdr:grpSpPr>
      <xdr:sp macro="" textlink="">
        <xdr:nvSpPr>
          <xdr:cNvPr id="1705" name="Rectangle 5767"/>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1706" name="Line 5768"/>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1707" name="Line 5769"/>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1708" name="Line 5770"/>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1709" name="Line 5771"/>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1710" name="Line 5772"/>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1711" name="Line 5773"/>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1712" name="Line 5774"/>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1713" name="Line 5775"/>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1714" name="Line 5776"/>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1715" name="Line 5777"/>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1716" name="Line 5778"/>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1717" name="Line 5779"/>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1718" name="Line 5780"/>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195</xdr:row>
      <xdr:rowOff>114300</xdr:rowOff>
    </xdr:from>
    <xdr:to>
      <xdr:col>4</xdr:col>
      <xdr:colOff>1478280</xdr:colOff>
      <xdr:row>197</xdr:row>
      <xdr:rowOff>121920</xdr:rowOff>
    </xdr:to>
    <xdr:grpSp>
      <xdr:nvGrpSpPr>
        <xdr:cNvPr id="1719" name="Group 5781"/>
        <xdr:cNvGrpSpPr>
          <a:grpSpLocks/>
        </xdr:cNvGrpSpPr>
      </xdr:nvGrpSpPr>
      <xdr:grpSpPr bwMode="auto">
        <a:xfrm>
          <a:off x="5952309" y="33185100"/>
          <a:ext cx="304800" cy="355963"/>
          <a:chOff x="5238" y="4632"/>
          <a:chExt cx="1597" cy="1311"/>
        </a:xfrm>
      </xdr:grpSpPr>
      <xdr:sp macro="" textlink="">
        <xdr:nvSpPr>
          <xdr:cNvPr id="1720" name="Line 5782"/>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1721" name="Line 5783"/>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1722" name="Line 5784"/>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1723" name="Line 5785"/>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1724" name="Line 5786"/>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1725" name="Line 5787"/>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1726" name="Line 5788"/>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72</xdr:row>
      <xdr:rowOff>76200</xdr:rowOff>
    </xdr:from>
    <xdr:to>
      <xdr:col>4</xdr:col>
      <xdr:colOff>647700</xdr:colOff>
      <xdr:row>74</xdr:row>
      <xdr:rowOff>83820</xdr:rowOff>
    </xdr:to>
    <xdr:grpSp>
      <xdr:nvGrpSpPr>
        <xdr:cNvPr id="1787" name="Group 5931"/>
        <xdr:cNvGrpSpPr>
          <a:grpSpLocks/>
        </xdr:cNvGrpSpPr>
      </xdr:nvGrpSpPr>
      <xdr:grpSpPr bwMode="auto">
        <a:xfrm>
          <a:off x="5319849" y="11277600"/>
          <a:ext cx="106680" cy="355963"/>
          <a:chOff x="3771" y="1155"/>
          <a:chExt cx="4759" cy="14934"/>
        </a:xfrm>
      </xdr:grpSpPr>
      <xdr:sp macro="" textlink="">
        <xdr:nvSpPr>
          <xdr:cNvPr id="1788" name="Oval 5932"/>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1789" name="Arc 5933"/>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1790" name="Arc 5934"/>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1791" name="Line 5935"/>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1792" name="Line 5936"/>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1793" name="Line 5937"/>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1794" name="Line 5938"/>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1795" name="Line 5939"/>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1796" name="Line 5940"/>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1797" name="Line 5941"/>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1798" name="Line 5942"/>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1799" name="Line 5943"/>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1800" name="Line 5944"/>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1801" name="Line 5945"/>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1802" name="Line 5946"/>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1803" name="Line 5947"/>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1804" name="Line 5948"/>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1805" name="Line 5949"/>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1806" name="Line 5950"/>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72</xdr:row>
      <xdr:rowOff>60960</xdr:rowOff>
    </xdr:from>
    <xdr:to>
      <xdr:col>4</xdr:col>
      <xdr:colOff>975360</xdr:colOff>
      <xdr:row>74</xdr:row>
      <xdr:rowOff>83820</xdr:rowOff>
    </xdr:to>
    <xdr:grpSp>
      <xdr:nvGrpSpPr>
        <xdr:cNvPr id="1807" name="Group 5951"/>
        <xdr:cNvGrpSpPr>
          <a:grpSpLocks/>
        </xdr:cNvGrpSpPr>
      </xdr:nvGrpSpPr>
      <xdr:grpSpPr bwMode="auto">
        <a:xfrm>
          <a:off x="5617029" y="11262360"/>
          <a:ext cx="137160" cy="371203"/>
          <a:chOff x="1857" y="2993"/>
          <a:chExt cx="4178" cy="10157"/>
        </a:xfrm>
      </xdr:grpSpPr>
      <xdr:grpSp>
        <xdr:nvGrpSpPr>
          <xdr:cNvPr id="1808" name="Group 5952"/>
          <xdr:cNvGrpSpPr>
            <a:grpSpLocks/>
          </xdr:cNvGrpSpPr>
        </xdr:nvGrpSpPr>
        <xdr:grpSpPr bwMode="auto">
          <a:xfrm rot="1441604">
            <a:off x="4764" y="2993"/>
            <a:ext cx="570" cy="2736"/>
            <a:chOff x="4251" y="2947"/>
            <a:chExt cx="570" cy="2736"/>
          </a:xfrm>
        </xdr:grpSpPr>
        <xdr:sp macro="" textlink="">
          <xdr:nvSpPr>
            <xdr:cNvPr id="1820" name="Line 5953"/>
            <xdr:cNvSpPr>
              <a:spLocks noChangeShapeType="1"/>
            </xdr:cNvSpPr>
          </xdr:nvSpPr>
          <xdr:spPr bwMode="auto">
            <a:xfrm flipV="1">
              <a:off x="4251" y="2947"/>
              <a:ext cx="400" cy="1938"/>
            </a:xfrm>
            <a:prstGeom prst="line">
              <a:avLst/>
            </a:prstGeom>
            <a:noFill/>
            <a:ln w="9525">
              <a:solidFill>
                <a:srgbClr val="FF0000"/>
              </a:solidFill>
              <a:round/>
              <a:headEnd/>
              <a:tailEnd/>
            </a:ln>
          </xdr:spPr>
        </xdr:sp>
        <xdr:sp macro="" textlink="">
          <xdr:nvSpPr>
            <xdr:cNvPr id="1821" name="Line 5954"/>
            <xdr:cNvSpPr>
              <a:spLocks noChangeShapeType="1"/>
            </xdr:cNvSpPr>
          </xdr:nvSpPr>
          <xdr:spPr bwMode="auto">
            <a:xfrm>
              <a:off x="4651" y="2947"/>
              <a:ext cx="170" cy="0"/>
            </a:xfrm>
            <a:prstGeom prst="line">
              <a:avLst/>
            </a:prstGeom>
            <a:noFill/>
            <a:ln w="9525">
              <a:solidFill>
                <a:srgbClr val="FF0000"/>
              </a:solidFill>
              <a:round/>
              <a:headEnd/>
              <a:tailEnd/>
            </a:ln>
          </xdr:spPr>
        </xdr:sp>
        <xdr:sp macro="" textlink="">
          <xdr:nvSpPr>
            <xdr:cNvPr id="1822" name="Line 5955"/>
            <xdr:cNvSpPr>
              <a:spLocks noChangeShapeType="1"/>
            </xdr:cNvSpPr>
          </xdr:nvSpPr>
          <xdr:spPr bwMode="auto">
            <a:xfrm>
              <a:off x="4821" y="2947"/>
              <a:ext cx="0" cy="2678"/>
            </a:xfrm>
            <a:prstGeom prst="line">
              <a:avLst/>
            </a:prstGeom>
            <a:noFill/>
            <a:ln w="9525">
              <a:solidFill>
                <a:srgbClr val="FF0000"/>
              </a:solidFill>
              <a:round/>
              <a:headEnd/>
              <a:tailEnd/>
            </a:ln>
          </xdr:spPr>
        </xdr:sp>
        <xdr:sp macro="" textlink="">
          <xdr:nvSpPr>
            <xdr:cNvPr id="1823" name="Line 5956"/>
            <xdr:cNvSpPr>
              <a:spLocks noChangeShapeType="1"/>
            </xdr:cNvSpPr>
          </xdr:nvSpPr>
          <xdr:spPr bwMode="auto">
            <a:xfrm>
              <a:off x="4251" y="4885"/>
              <a:ext cx="400" cy="798"/>
            </a:xfrm>
            <a:prstGeom prst="line">
              <a:avLst/>
            </a:prstGeom>
            <a:noFill/>
            <a:ln w="9525">
              <a:solidFill>
                <a:srgbClr val="FF0000"/>
              </a:solidFill>
              <a:round/>
              <a:headEnd/>
              <a:tailEnd/>
            </a:ln>
          </xdr:spPr>
        </xdr:sp>
      </xdr:grpSp>
      <xdr:grpSp>
        <xdr:nvGrpSpPr>
          <xdr:cNvPr id="1809" name="Group 5957"/>
          <xdr:cNvGrpSpPr>
            <a:grpSpLocks/>
          </xdr:cNvGrpSpPr>
        </xdr:nvGrpSpPr>
        <xdr:grpSpPr bwMode="auto">
          <a:xfrm rot="8464448">
            <a:off x="5468" y="5524"/>
            <a:ext cx="569" cy="2733"/>
            <a:chOff x="4677" y="4047"/>
            <a:chExt cx="495" cy="2386"/>
          </a:xfrm>
        </xdr:grpSpPr>
        <xdr:sp macro="" textlink="">
          <xdr:nvSpPr>
            <xdr:cNvPr id="1816" name="Line 5958"/>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1817" name="Line 5959"/>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1818" name="Line 5960"/>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1819" name="Line 5961"/>
            <xdr:cNvSpPr>
              <a:spLocks noChangeShapeType="1"/>
            </xdr:cNvSpPr>
          </xdr:nvSpPr>
          <xdr:spPr bwMode="auto">
            <a:xfrm>
              <a:off x="4677" y="5737"/>
              <a:ext cx="347" cy="696"/>
            </a:xfrm>
            <a:prstGeom prst="line">
              <a:avLst/>
            </a:prstGeom>
            <a:noFill/>
            <a:ln w="9525">
              <a:solidFill>
                <a:srgbClr val="FF0000"/>
              </a:solidFill>
              <a:round/>
              <a:headEnd/>
              <a:tailEnd/>
            </a:ln>
          </xdr:spPr>
        </xdr:sp>
      </xdr:grpSp>
      <xdr:grpSp>
        <xdr:nvGrpSpPr>
          <xdr:cNvPr id="1810" name="Group 5962"/>
          <xdr:cNvGrpSpPr>
            <a:grpSpLocks/>
          </xdr:cNvGrpSpPr>
        </xdr:nvGrpSpPr>
        <xdr:grpSpPr bwMode="auto">
          <a:xfrm rot="-5905833">
            <a:off x="2936" y="4830"/>
            <a:ext cx="571" cy="2733"/>
            <a:chOff x="4677" y="4047"/>
            <a:chExt cx="495" cy="2386"/>
          </a:xfrm>
        </xdr:grpSpPr>
        <xdr:sp macro="" textlink="">
          <xdr:nvSpPr>
            <xdr:cNvPr id="1812" name="Line 5963"/>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1813" name="Line 5964"/>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1814" name="Line 5965"/>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1815" name="Line 5966"/>
            <xdr:cNvSpPr>
              <a:spLocks noChangeShapeType="1"/>
            </xdr:cNvSpPr>
          </xdr:nvSpPr>
          <xdr:spPr bwMode="auto">
            <a:xfrm>
              <a:off x="4677" y="5737"/>
              <a:ext cx="347" cy="696"/>
            </a:xfrm>
            <a:prstGeom prst="line">
              <a:avLst/>
            </a:prstGeom>
            <a:noFill/>
            <a:ln w="9525">
              <a:solidFill>
                <a:srgbClr val="FF0000"/>
              </a:solidFill>
              <a:round/>
              <a:headEnd/>
              <a:tailEnd/>
            </a:ln>
          </xdr:spPr>
        </xdr:sp>
      </xdr:grpSp>
      <xdr:sp macro="" textlink="">
        <xdr:nvSpPr>
          <xdr:cNvPr id="1811" name="AutoShape 5967"/>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FF0000"/>
            </a:solidFill>
            <a:miter lim="800000"/>
            <a:headEnd/>
            <a:tailEnd/>
          </a:ln>
        </xdr:spPr>
      </xdr:sp>
    </xdr:grpSp>
    <xdr:clientData/>
  </xdr:twoCellAnchor>
  <xdr:twoCellAnchor>
    <xdr:from>
      <xdr:col>4</xdr:col>
      <xdr:colOff>106680</xdr:colOff>
      <xdr:row>72</xdr:row>
      <xdr:rowOff>76200</xdr:rowOff>
    </xdr:from>
    <xdr:to>
      <xdr:col>4</xdr:col>
      <xdr:colOff>342900</xdr:colOff>
      <xdr:row>74</xdr:row>
      <xdr:rowOff>83820</xdr:rowOff>
    </xdr:to>
    <xdr:grpSp>
      <xdr:nvGrpSpPr>
        <xdr:cNvPr id="1824" name="Group 5968"/>
        <xdr:cNvGrpSpPr>
          <a:grpSpLocks/>
        </xdr:cNvGrpSpPr>
      </xdr:nvGrpSpPr>
      <xdr:grpSpPr bwMode="auto">
        <a:xfrm>
          <a:off x="4885509" y="11277600"/>
          <a:ext cx="236220" cy="355963"/>
          <a:chOff x="5163" y="2548"/>
          <a:chExt cx="2109" cy="2909"/>
        </a:xfrm>
      </xdr:grpSpPr>
      <xdr:sp macro="" textlink="">
        <xdr:nvSpPr>
          <xdr:cNvPr id="1825" name="Rectangle 5969"/>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1826" name="Line 5970"/>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1827" name="Line 5971"/>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1828" name="Line 5972"/>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1829" name="Line 5973"/>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1830" name="Line 5974"/>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1831" name="Line 5975"/>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1832" name="Line 5976"/>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1833" name="Line 5977"/>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1834" name="Line 5978"/>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1835" name="Line 5979"/>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1836" name="Line 5980"/>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1837" name="Line 5981"/>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1838" name="Line 5982"/>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72</xdr:row>
      <xdr:rowOff>114300</xdr:rowOff>
    </xdr:from>
    <xdr:to>
      <xdr:col>4</xdr:col>
      <xdr:colOff>1478280</xdr:colOff>
      <xdr:row>74</xdr:row>
      <xdr:rowOff>121920</xdr:rowOff>
    </xdr:to>
    <xdr:grpSp>
      <xdr:nvGrpSpPr>
        <xdr:cNvPr id="1839" name="Group 5983"/>
        <xdr:cNvGrpSpPr>
          <a:grpSpLocks/>
        </xdr:cNvGrpSpPr>
      </xdr:nvGrpSpPr>
      <xdr:grpSpPr bwMode="auto">
        <a:xfrm>
          <a:off x="5952309" y="11315700"/>
          <a:ext cx="304800" cy="355963"/>
          <a:chOff x="5238" y="4632"/>
          <a:chExt cx="1597" cy="1311"/>
        </a:xfrm>
      </xdr:grpSpPr>
      <xdr:sp macro="" textlink="">
        <xdr:nvSpPr>
          <xdr:cNvPr id="1840" name="Line 5984"/>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1841" name="Line 5985"/>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1842" name="Line 5986"/>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1843" name="Line 5987"/>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1844" name="Line 5988"/>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1845" name="Line 5989"/>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1846" name="Line 5990"/>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84</xdr:row>
      <xdr:rowOff>76200</xdr:rowOff>
    </xdr:from>
    <xdr:to>
      <xdr:col>4</xdr:col>
      <xdr:colOff>647700</xdr:colOff>
      <xdr:row>86</xdr:row>
      <xdr:rowOff>83820</xdr:rowOff>
    </xdr:to>
    <xdr:grpSp>
      <xdr:nvGrpSpPr>
        <xdr:cNvPr id="1967" name="Group 6132"/>
        <xdr:cNvGrpSpPr>
          <a:grpSpLocks/>
        </xdr:cNvGrpSpPr>
      </xdr:nvGrpSpPr>
      <xdr:grpSpPr bwMode="auto">
        <a:xfrm>
          <a:off x="5319849" y="13411200"/>
          <a:ext cx="106680" cy="355963"/>
          <a:chOff x="3771" y="1155"/>
          <a:chExt cx="4759" cy="14934"/>
        </a:xfrm>
      </xdr:grpSpPr>
      <xdr:sp macro="" textlink="">
        <xdr:nvSpPr>
          <xdr:cNvPr id="1968" name="Oval 6133"/>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1969" name="Arc 6134"/>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1970" name="Arc 6135"/>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1971" name="Line 6136"/>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1972" name="Line 6137"/>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1973" name="Line 6138"/>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1974" name="Line 6139"/>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1975" name="Line 6140"/>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1976" name="Line 6141"/>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1977" name="Line 6142"/>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1978" name="Line 6143"/>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1979" name="Line 6144"/>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1980" name="Line 6145"/>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1981" name="Line 6146"/>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1982" name="Line 6147"/>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1983" name="Line 6148"/>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1984" name="Line 6149"/>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1985" name="Line 6150"/>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1986" name="Line 6151"/>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84</xdr:row>
      <xdr:rowOff>60960</xdr:rowOff>
    </xdr:from>
    <xdr:to>
      <xdr:col>4</xdr:col>
      <xdr:colOff>975360</xdr:colOff>
      <xdr:row>86</xdr:row>
      <xdr:rowOff>83820</xdr:rowOff>
    </xdr:to>
    <xdr:grpSp>
      <xdr:nvGrpSpPr>
        <xdr:cNvPr id="1987" name="Group 6152"/>
        <xdr:cNvGrpSpPr>
          <a:grpSpLocks/>
        </xdr:cNvGrpSpPr>
      </xdr:nvGrpSpPr>
      <xdr:grpSpPr bwMode="auto">
        <a:xfrm>
          <a:off x="5617029" y="13395960"/>
          <a:ext cx="137160" cy="371203"/>
          <a:chOff x="1857" y="2993"/>
          <a:chExt cx="4178" cy="10157"/>
        </a:xfrm>
      </xdr:grpSpPr>
      <xdr:grpSp>
        <xdr:nvGrpSpPr>
          <xdr:cNvPr id="1988" name="Group 6153"/>
          <xdr:cNvGrpSpPr>
            <a:grpSpLocks/>
          </xdr:cNvGrpSpPr>
        </xdr:nvGrpSpPr>
        <xdr:grpSpPr bwMode="auto">
          <a:xfrm rot="1441604">
            <a:off x="4764" y="2993"/>
            <a:ext cx="570" cy="2736"/>
            <a:chOff x="4251" y="2947"/>
            <a:chExt cx="570" cy="2736"/>
          </a:xfrm>
        </xdr:grpSpPr>
        <xdr:sp macro="" textlink="">
          <xdr:nvSpPr>
            <xdr:cNvPr id="2000" name="Line 6154"/>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2001" name="Line 6155"/>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2002" name="Line 6156"/>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2003" name="Line 6157"/>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1989" name="Group 6158"/>
          <xdr:cNvGrpSpPr>
            <a:grpSpLocks/>
          </xdr:cNvGrpSpPr>
        </xdr:nvGrpSpPr>
        <xdr:grpSpPr bwMode="auto">
          <a:xfrm rot="8464448">
            <a:off x="5468" y="5524"/>
            <a:ext cx="569" cy="2733"/>
            <a:chOff x="4677" y="4047"/>
            <a:chExt cx="495" cy="2386"/>
          </a:xfrm>
        </xdr:grpSpPr>
        <xdr:sp macro="" textlink="">
          <xdr:nvSpPr>
            <xdr:cNvPr id="1996" name="Line 6159"/>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1997" name="Line 6160"/>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1998" name="Line 6161"/>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1999" name="Line 6162"/>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1990" name="Group 6163"/>
          <xdr:cNvGrpSpPr>
            <a:grpSpLocks/>
          </xdr:cNvGrpSpPr>
        </xdr:nvGrpSpPr>
        <xdr:grpSpPr bwMode="auto">
          <a:xfrm rot="-5905833">
            <a:off x="2936" y="4830"/>
            <a:ext cx="571" cy="2733"/>
            <a:chOff x="4677" y="4047"/>
            <a:chExt cx="495" cy="2386"/>
          </a:xfrm>
        </xdr:grpSpPr>
        <xdr:sp macro="" textlink="">
          <xdr:nvSpPr>
            <xdr:cNvPr id="1992" name="Line 6164"/>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1993" name="Line 6165"/>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1994" name="Line 6166"/>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1995" name="Line 6167"/>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1991" name="AutoShape 6168"/>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C0C0C0"/>
            </a:solidFill>
            <a:miter lim="800000"/>
            <a:headEnd/>
            <a:tailEnd/>
          </a:ln>
        </xdr:spPr>
      </xdr:sp>
    </xdr:grpSp>
    <xdr:clientData/>
  </xdr:twoCellAnchor>
  <xdr:twoCellAnchor>
    <xdr:from>
      <xdr:col>4</xdr:col>
      <xdr:colOff>106680</xdr:colOff>
      <xdr:row>84</xdr:row>
      <xdr:rowOff>76200</xdr:rowOff>
    </xdr:from>
    <xdr:to>
      <xdr:col>4</xdr:col>
      <xdr:colOff>342900</xdr:colOff>
      <xdr:row>86</xdr:row>
      <xdr:rowOff>83820</xdr:rowOff>
    </xdr:to>
    <xdr:grpSp>
      <xdr:nvGrpSpPr>
        <xdr:cNvPr id="2004" name="Group 6169"/>
        <xdr:cNvGrpSpPr>
          <a:grpSpLocks/>
        </xdr:cNvGrpSpPr>
      </xdr:nvGrpSpPr>
      <xdr:grpSpPr bwMode="auto">
        <a:xfrm>
          <a:off x="4885509" y="13411200"/>
          <a:ext cx="236220" cy="355963"/>
          <a:chOff x="5163" y="2548"/>
          <a:chExt cx="2109" cy="2909"/>
        </a:xfrm>
      </xdr:grpSpPr>
      <xdr:sp macro="" textlink="">
        <xdr:nvSpPr>
          <xdr:cNvPr id="2005" name="Rectangle 6170"/>
          <xdr:cNvSpPr>
            <a:spLocks noChangeArrowheads="1"/>
          </xdr:cNvSpPr>
        </xdr:nvSpPr>
        <xdr:spPr bwMode="auto">
          <a:xfrm>
            <a:off x="5163" y="2548"/>
            <a:ext cx="1938" cy="2736"/>
          </a:xfrm>
          <a:prstGeom prst="rect">
            <a:avLst/>
          </a:prstGeom>
          <a:solidFill>
            <a:srgbClr val="FFFFFF"/>
          </a:solidFill>
          <a:ln w="9525" algn="ctr">
            <a:solidFill>
              <a:srgbClr val="C0C0C0"/>
            </a:solidFill>
            <a:miter lim="800000"/>
            <a:headEnd/>
            <a:tailEnd/>
          </a:ln>
        </xdr:spPr>
      </xdr:sp>
      <xdr:sp macro="" textlink="">
        <xdr:nvSpPr>
          <xdr:cNvPr id="2006" name="Line 6171"/>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2007" name="Line 6172"/>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2008" name="Line 6173"/>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2009" name="Line 6174"/>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2010" name="Line 6175"/>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2011" name="Line 6176"/>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2012" name="Line 6177"/>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2013" name="Line 6178"/>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2014" name="Line 6179"/>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2015" name="Line 6180"/>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2016" name="Line 6181"/>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2017" name="Line 6182"/>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2018" name="Line 6183"/>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84</xdr:row>
      <xdr:rowOff>114300</xdr:rowOff>
    </xdr:from>
    <xdr:to>
      <xdr:col>4</xdr:col>
      <xdr:colOff>1478280</xdr:colOff>
      <xdr:row>86</xdr:row>
      <xdr:rowOff>121920</xdr:rowOff>
    </xdr:to>
    <xdr:grpSp>
      <xdr:nvGrpSpPr>
        <xdr:cNvPr id="2019" name="Group 6184"/>
        <xdr:cNvGrpSpPr>
          <a:grpSpLocks/>
        </xdr:cNvGrpSpPr>
      </xdr:nvGrpSpPr>
      <xdr:grpSpPr bwMode="auto">
        <a:xfrm>
          <a:off x="5952309" y="13449300"/>
          <a:ext cx="304800" cy="355963"/>
          <a:chOff x="5238" y="4632"/>
          <a:chExt cx="1597" cy="1311"/>
        </a:xfrm>
      </xdr:grpSpPr>
      <xdr:sp macro="" textlink="">
        <xdr:nvSpPr>
          <xdr:cNvPr id="2020" name="Line 6185"/>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2021" name="Line 6186"/>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2022" name="Line 6187"/>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2023" name="Line 6188"/>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2024" name="Line 6189"/>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2025" name="Line 6190"/>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2026" name="Line 6191"/>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87</xdr:row>
      <xdr:rowOff>76200</xdr:rowOff>
    </xdr:from>
    <xdr:to>
      <xdr:col>4</xdr:col>
      <xdr:colOff>647700</xdr:colOff>
      <xdr:row>89</xdr:row>
      <xdr:rowOff>83820</xdr:rowOff>
    </xdr:to>
    <xdr:grpSp>
      <xdr:nvGrpSpPr>
        <xdr:cNvPr id="2027" name="Group 6199"/>
        <xdr:cNvGrpSpPr>
          <a:grpSpLocks/>
        </xdr:cNvGrpSpPr>
      </xdr:nvGrpSpPr>
      <xdr:grpSpPr bwMode="auto">
        <a:xfrm>
          <a:off x="5319849" y="13944600"/>
          <a:ext cx="106680" cy="355963"/>
          <a:chOff x="3771" y="1155"/>
          <a:chExt cx="4759" cy="14934"/>
        </a:xfrm>
      </xdr:grpSpPr>
      <xdr:sp macro="" textlink="">
        <xdr:nvSpPr>
          <xdr:cNvPr id="2028" name="Oval 6200"/>
          <xdr:cNvSpPr>
            <a:spLocks noChangeArrowheads="1"/>
          </xdr:cNvSpPr>
        </xdr:nvSpPr>
        <xdr:spPr bwMode="auto">
          <a:xfrm>
            <a:off x="4643" y="1155"/>
            <a:ext cx="2999" cy="3003"/>
          </a:xfrm>
          <a:prstGeom prst="ellipse">
            <a:avLst/>
          </a:prstGeom>
          <a:solidFill>
            <a:srgbClr val="FFFFFF"/>
          </a:solidFill>
          <a:ln w="9525" algn="ctr">
            <a:solidFill>
              <a:srgbClr val="FF0000"/>
            </a:solidFill>
            <a:round/>
            <a:headEnd/>
            <a:tailEnd/>
          </a:ln>
        </xdr:spPr>
      </xdr:sp>
      <xdr:sp macro="" textlink="">
        <xdr:nvSpPr>
          <xdr:cNvPr id="2029" name="Arc 6201"/>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2030" name="Arc 6202"/>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2031" name="Line 6203"/>
          <xdr:cNvSpPr>
            <a:spLocks noChangeShapeType="1"/>
          </xdr:cNvSpPr>
        </xdr:nvSpPr>
        <xdr:spPr bwMode="auto">
          <a:xfrm>
            <a:off x="3771" y="6471"/>
            <a:ext cx="0" cy="3793"/>
          </a:xfrm>
          <a:prstGeom prst="line">
            <a:avLst/>
          </a:prstGeom>
          <a:noFill/>
          <a:ln w="9525">
            <a:solidFill>
              <a:srgbClr val="FF0000"/>
            </a:solidFill>
            <a:round/>
            <a:headEnd/>
            <a:tailEnd/>
          </a:ln>
        </xdr:spPr>
      </xdr:sp>
      <xdr:sp macro="" textlink="">
        <xdr:nvSpPr>
          <xdr:cNvPr id="2032" name="Line 6204"/>
          <xdr:cNvSpPr>
            <a:spLocks noChangeShapeType="1"/>
          </xdr:cNvSpPr>
        </xdr:nvSpPr>
        <xdr:spPr bwMode="auto">
          <a:xfrm>
            <a:off x="3771" y="10264"/>
            <a:ext cx="861" cy="4"/>
          </a:xfrm>
          <a:prstGeom prst="line">
            <a:avLst/>
          </a:prstGeom>
          <a:noFill/>
          <a:ln w="9525">
            <a:solidFill>
              <a:srgbClr val="FF0000"/>
            </a:solidFill>
            <a:round/>
            <a:headEnd/>
            <a:tailEnd/>
          </a:ln>
        </xdr:spPr>
      </xdr:sp>
      <xdr:sp macro="" textlink="">
        <xdr:nvSpPr>
          <xdr:cNvPr id="2033" name="Line 6205"/>
          <xdr:cNvSpPr>
            <a:spLocks noChangeShapeType="1"/>
          </xdr:cNvSpPr>
        </xdr:nvSpPr>
        <xdr:spPr bwMode="auto">
          <a:xfrm flipV="1">
            <a:off x="4632" y="6384"/>
            <a:ext cx="4" cy="3880"/>
          </a:xfrm>
          <a:prstGeom prst="line">
            <a:avLst/>
          </a:prstGeom>
          <a:noFill/>
          <a:ln w="9525">
            <a:solidFill>
              <a:srgbClr val="FF0000"/>
            </a:solidFill>
            <a:round/>
            <a:headEnd/>
            <a:tailEnd/>
          </a:ln>
        </xdr:spPr>
      </xdr:sp>
      <xdr:sp macro="" textlink="">
        <xdr:nvSpPr>
          <xdr:cNvPr id="2034" name="Line 6206"/>
          <xdr:cNvSpPr>
            <a:spLocks noChangeShapeType="1"/>
          </xdr:cNvSpPr>
        </xdr:nvSpPr>
        <xdr:spPr bwMode="auto">
          <a:xfrm>
            <a:off x="4636" y="6384"/>
            <a:ext cx="211" cy="0"/>
          </a:xfrm>
          <a:prstGeom prst="line">
            <a:avLst/>
          </a:prstGeom>
          <a:noFill/>
          <a:ln w="9525">
            <a:solidFill>
              <a:srgbClr val="FF0000"/>
            </a:solidFill>
            <a:round/>
            <a:headEnd/>
            <a:tailEnd/>
          </a:ln>
        </xdr:spPr>
      </xdr:sp>
      <xdr:sp macro="" textlink="">
        <xdr:nvSpPr>
          <xdr:cNvPr id="2035" name="Line 6207"/>
          <xdr:cNvSpPr>
            <a:spLocks noChangeShapeType="1"/>
          </xdr:cNvSpPr>
        </xdr:nvSpPr>
        <xdr:spPr bwMode="auto">
          <a:xfrm>
            <a:off x="4847" y="6384"/>
            <a:ext cx="0" cy="9701"/>
          </a:xfrm>
          <a:prstGeom prst="line">
            <a:avLst/>
          </a:prstGeom>
          <a:noFill/>
          <a:ln w="9525">
            <a:solidFill>
              <a:srgbClr val="FF0000"/>
            </a:solidFill>
            <a:round/>
            <a:headEnd/>
            <a:tailEnd/>
          </a:ln>
        </xdr:spPr>
      </xdr:sp>
      <xdr:sp macro="" textlink="">
        <xdr:nvSpPr>
          <xdr:cNvPr id="2036" name="Line 6208"/>
          <xdr:cNvSpPr>
            <a:spLocks noChangeShapeType="1"/>
          </xdr:cNvSpPr>
        </xdr:nvSpPr>
        <xdr:spPr bwMode="auto">
          <a:xfrm>
            <a:off x="4847" y="16085"/>
            <a:ext cx="1077" cy="0"/>
          </a:xfrm>
          <a:prstGeom prst="line">
            <a:avLst/>
          </a:prstGeom>
          <a:noFill/>
          <a:ln w="9525">
            <a:solidFill>
              <a:srgbClr val="FF0000"/>
            </a:solidFill>
            <a:round/>
            <a:headEnd/>
            <a:tailEnd/>
          </a:ln>
        </xdr:spPr>
      </xdr:sp>
      <xdr:sp macro="" textlink="">
        <xdr:nvSpPr>
          <xdr:cNvPr id="2037" name="Line 6209"/>
          <xdr:cNvSpPr>
            <a:spLocks noChangeShapeType="1"/>
          </xdr:cNvSpPr>
        </xdr:nvSpPr>
        <xdr:spPr bwMode="auto">
          <a:xfrm flipV="1">
            <a:off x="5924" y="10696"/>
            <a:ext cx="0" cy="5389"/>
          </a:xfrm>
          <a:prstGeom prst="line">
            <a:avLst/>
          </a:prstGeom>
          <a:noFill/>
          <a:ln w="9525">
            <a:solidFill>
              <a:srgbClr val="FF0000"/>
            </a:solidFill>
            <a:round/>
            <a:headEnd/>
            <a:tailEnd/>
          </a:ln>
        </xdr:spPr>
      </xdr:sp>
      <xdr:sp macro="" textlink="">
        <xdr:nvSpPr>
          <xdr:cNvPr id="2038" name="Line 6210"/>
          <xdr:cNvSpPr>
            <a:spLocks noChangeShapeType="1"/>
          </xdr:cNvSpPr>
        </xdr:nvSpPr>
        <xdr:spPr bwMode="auto">
          <a:xfrm>
            <a:off x="5924" y="10696"/>
            <a:ext cx="430" cy="3"/>
          </a:xfrm>
          <a:prstGeom prst="line">
            <a:avLst/>
          </a:prstGeom>
          <a:noFill/>
          <a:ln w="9525">
            <a:solidFill>
              <a:srgbClr val="FF0000"/>
            </a:solidFill>
            <a:round/>
            <a:headEnd/>
            <a:tailEnd/>
          </a:ln>
        </xdr:spPr>
      </xdr:sp>
      <xdr:sp macro="" textlink="">
        <xdr:nvSpPr>
          <xdr:cNvPr id="2039" name="Line 6211"/>
          <xdr:cNvSpPr>
            <a:spLocks noChangeShapeType="1"/>
          </xdr:cNvSpPr>
        </xdr:nvSpPr>
        <xdr:spPr bwMode="auto">
          <a:xfrm flipV="1">
            <a:off x="6354" y="10696"/>
            <a:ext cx="4" cy="5389"/>
          </a:xfrm>
          <a:prstGeom prst="line">
            <a:avLst/>
          </a:prstGeom>
          <a:noFill/>
          <a:ln w="9525">
            <a:solidFill>
              <a:srgbClr val="FF0000"/>
            </a:solidFill>
            <a:round/>
            <a:headEnd/>
            <a:tailEnd/>
          </a:ln>
        </xdr:spPr>
      </xdr:sp>
      <xdr:sp macro="" textlink="">
        <xdr:nvSpPr>
          <xdr:cNvPr id="2040" name="Line 6212"/>
          <xdr:cNvSpPr>
            <a:spLocks noChangeShapeType="1"/>
          </xdr:cNvSpPr>
        </xdr:nvSpPr>
        <xdr:spPr bwMode="auto">
          <a:xfrm>
            <a:off x="6354" y="16085"/>
            <a:ext cx="1077" cy="4"/>
          </a:xfrm>
          <a:prstGeom prst="line">
            <a:avLst/>
          </a:prstGeom>
          <a:noFill/>
          <a:ln w="9525">
            <a:solidFill>
              <a:srgbClr val="FF0000"/>
            </a:solidFill>
            <a:round/>
            <a:headEnd/>
            <a:tailEnd/>
          </a:ln>
        </xdr:spPr>
      </xdr:sp>
      <xdr:sp macro="" textlink="">
        <xdr:nvSpPr>
          <xdr:cNvPr id="2041" name="Line 6213"/>
          <xdr:cNvSpPr>
            <a:spLocks noChangeShapeType="1"/>
          </xdr:cNvSpPr>
        </xdr:nvSpPr>
        <xdr:spPr bwMode="auto">
          <a:xfrm flipV="1">
            <a:off x="7431" y="6384"/>
            <a:ext cx="0" cy="9701"/>
          </a:xfrm>
          <a:prstGeom prst="line">
            <a:avLst/>
          </a:prstGeom>
          <a:noFill/>
          <a:ln w="9525">
            <a:solidFill>
              <a:srgbClr val="FF0000"/>
            </a:solidFill>
            <a:round/>
            <a:headEnd/>
            <a:tailEnd/>
          </a:ln>
        </xdr:spPr>
      </xdr:sp>
      <xdr:sp macro="" textlink="">
        <xdr:nvSpPr>
          <xdr:cNvPr id="2042" name="Line 6214"/>
          <xdr:cNvSpPr>
            <a:spLocks noChangeShapeType="1"/>
          </xdr:cNvSpPr>
        </xdr:nvSpPr>
        <xdr:spPr bwMode="auto">
          <a:xfrm>
            <a:off x="7431" y="6384"/>
            <a:ext cx="211" cy="4"/>
          </a:xfrm>
          <a:prstGeom prst="line">
            <a:avLst/>
          </a:prstGeom>
          <a:noFill/>
          <a:ln w="9525">
            <a:solidFill>
              <a:srgbClr val="FF0000"/>
            </a:solidFill>
            <a:round/>
            <a:headEnd/>
            <a:tailEnd/>
          </a:ln>
        </xdr:spPr>
      </xdr:sp>
      <xdr:sp macro="" textlink="">
        <xdr:nvSpPr>
          <xdr:cNvPr id="2043" name="Line 6215"/>
          <xdr:cNvSpPr>
            <a:spLocks noChangeShapeType="1"/>
          </xdr:cNvSpPr>
        </xdr:nvSpPr>
        <xdr:spPr bwMode="auto">
          <a:xfrm>
            <a:off x="7665" y="6380"/>
            <a:ext cx="4" cy="3881"/>
          </a:xfrm>
          <a:prstGeom prst="line">
            <a:avLst/>
          </a:prstGeom>
          <a:noFill/>
          <a:ln w="9525">
            <a:solidFill>
              <a:srgbClr val="FF0000"/>
            </a:solidFill>
            <a:round/>
            <a:headEnd/>
            <a:tailEnd/>
          </a:ln>
        </xdr:spPr>
      </xdr:sp>
      <xdr:sp macro="" textlink="">
        <xdr:nvSpPr>
          <xdr:cNvPr id="2044" name="Line 6216"/>
          <xdr:cNvSpPr>
            <a:spLocks noChangeShapeType="1"/>
          </xdr:cNvSpPr>
        </xdr:nvSpPr>
        <xdr:spPr bwMode="auto">
          <a:xfrm>
            <a:off x="7665" y="10261"/>
            <a:ext cx="861" cy="3"/>
          </a:xfrm>
          <a:prstGeom prst="line">
            <a:avLst/>
          </a:prstGeom>
          <a:noFill/>
          <a:ln w="9525">
            <a:solidFill>
              <a:srgbClr val="FF0000"/>
            </a:solidFill>
            <a:round/>
            <a:headEnd/>
            <a:tailEnd/>
          </a:ln>
        </xdr:spPr>
      </xdr:sp>
      <xdr:sp macro="" textlink="">
        <xdr:nvSpPr>
          <xdr:cNvPr id="2045" name="Line 6217"/>
          <xdr:cNvSpPr>
            <a:spLocks noChangeShapeType="1"/>
          </xdr:cNvSpPr>
        </xdr:nvSpPr>
        <xdr:spPr bwMode="auto">
          <a:xfrm flipV="1">
            <a:off x="8526" y="6475"/>
            <a:ext cx="4" cy="3786"/>
          </a:xfrm>
          <a:prstGeom prst="line">
            <a:avLst/>
          </a:prstGeom>
          <a:noFill/>
          <a:ln w="9525">
            <a:solidFill>
              <a:srgbClr val="FF0000"/>
            </a:solidFill>
            <a:round/>
            <a:headEnd/>
            <a:tailEnd/>
          </a:ln>
        </xdr:spPr>
      </xdr:sp>
      <xdr:sp macro="" textlink="">
        <xdr:nvSpPr>
          <xdr:cNvPr id="2046" name="Line 6218"/>
          <xdr:cNvSpPr>
            <a:spLocks noChangeShapeType="1"/>
          </xdr:cNvSpPr>
        </xdr:nvSpPr>
        <xdr:spPr bwMode="auto">
          <a:xfrm flipH="1">
            <a:off x="5807" y="4432"/>
            <a:ext cx="683" cy="0"/>
          </a:xfrm>
          <a:prstGeom prst="line">
            <a:avLst/>
          </a:prstGeom>
          <a:noFill/>
          <a:ln w="9525">
            <a:solidFill>
              <a:srgbClr val="FF0000"/>
            </a:solidFill>
            <a:round/>
            <a:headEnd/>
            <a:tailEnd/>
          </a:ln>
        </xdr:spPr>
      </xdr:sp>
    </xdr:grpSp>
    <xdr:clientData/>
  </xdr:twoCellAnchor>
  <xdr:twoCellAnchor>
    <xdr:from>
      <xdr:col>4</xdr:col>
      <xdr:colOff>838200</xdr:colOff>
      <xdr:row>87</xdr:row>
      <xdr:rowOff>60960</xdr:rowOff>
    </xdr:from>
    <xdr:to>
      <xdr:col>4</xdr:col>
      <xdr:colOff>975360</xdr:colOff>
      <xdr:row>89</xdr:row>
      <xdr:rowOff>83820</xdr:rowOff>
    </xdr:to>
    <xdr:grpSp>
      <xdr:nvGrpSpPr>
        <xdr:cNvPr id="2047" name="Group 6219"/>
        <xdr:cNvGrpSpPr>
          <a:grpSpLocks/>
        </xdr:cNvGrpSpPr>
      </xdr:nvGrpSpPr>
      <xdr:grpSpPr bwMode="auto">
        <a:xfrm>
          <a:off x="5617029" y="13929360"/>
          <a:ext cx="137160" cy="371203"/>
          <a:chOff x="1857" y="2993"/>
          <a:chExt cx="4178" cy="10157"/>
        </a:xfrm>
      </xdr:grpSpPr>
      <xdr:grpSp>
        <xdr:nvGrpSpPr>
          <xdr:cNvPr id="2048" name="Group 6220"/>
          <xdr:cNvGrpSpPr>
            <a:grpSpLocks/>
          </xdr:cNvGrpSpPr>
        </xdr:nvGrpSpPr>
        <xdr:grpSpPr bwMode="auto">
          <a:xfrm rot="1441604">
            <a:off x="4764" y="2993"/>
            <a:ext cx="570" cy="2736"/>
            <a:chOff x="4251" y="2947"/>
            <a:chExt cx="570" cy="2736"/>
          </a:xfrm>
        </xdr:grpSpPr>
        <xdr:sp macro="" textlink="">
          <xdr:nvSpPr>
            <xdr:cNvPr id="2060" name="Line 6221"/>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2061" name="Line 6222"/>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2062" name="Line 6223"/>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2063" name="Line 6224"/>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2049" name="Group 6225"/>
          <xdr:cNvGrpSpPr>
            <a:grpSpLocks/>
          </xdr:cNvGrpSpPr>
        </xdr:nvGrpSpPr>
        <xdr:grpSpPr bwMode="auto">
          <a:xfrm rot="8464448">
            <a:off x="5468" y="5524"/>
            <a:ext cx="569" cy="2733"/>
            <a:chOff x="4677" y="4047"/>
            <a:chExt cx="495" cy="2386"/>
          </a:xfrm>
        </xdr:grpSpPr>
        <xdr:sp macro="" textlink="">
          <xdr:nvSpPr>
            <xdr:cNvPr id="2056" name="Line 6226"/>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2057" name="Line 6227"/>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2058" name="Line 6228"/>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2059" name="Line 6229"/>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2050" name="Group 6230"/>
          <xdr:cNvGrpSpPr>
            <a:grpSpLocks/>
          </xdr:cNvGrpSpPr>
        </xdr:nvGrpSpPr>
        <xdr:grpSpPr bwMode="auto">
          <a:xfrm rot="-5905833">
            <a:off x="2936" y="4830"/>
            <a:ext cx="571" cy="2733"/>
            <a:chOff x="4677" y="4047"/>
            <a:chExt cx="495" cy="2386"/>
          </a:xfrm>
        </xdr:grpSpPr>
        <xdr:sp macro="" textlink="">
          <xdr:nvSpPr>
            <xdr:cNvPr id="2052" name="Line 6231"/>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2053" name="Line 6232"/>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2054" name="Line 6233"/>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2055" name="Line 6234"/>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2051" name="AutoShape 6235"/>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87</xdr:row>
      <xdr:rowOff>76200</xdr:rowOff>
    </xdr:from>
    <xdr:to>
      <xdr:col>4</xdr:col>
      <xdr:colOff>342900</xdr:colOff>
      <xdr:row>89</xdr:row>
      <xdr:rowOff>83820</xdr:rowOff>
    </xdr:to>
    <xdr:grpSp>
      <xdr:nvGrpSpPr>
        <xdr:cNvPr id="2064" name="Group 6236"/>
        <xdr:cNvGrpSpPr>
          <a:grpSpLocks/>
        </xdr:cNvGrpSpPr>
      </xdr:nvGrpSpPr>
      <xdr:grpSpPr bwMode="auto">
        <a:xfrm>
          <a:off x="4885509" y="13944600"/>
          <a:ext cx="236220" cy="355963"/>
          <a:chOff x="5163" y="2548"/>
          <a:chExt cx="2109" cy="2909"/>
        </a:xfrm>
      </xdr:grpSpPr>
      <xdr:sp macro="" textlink="">
        <xdr:nvSpPr>
          <xdr:cNvPr id="2065" name="Rectangle 6237"/>
          <xdr:cNvSpPr>
            <a:spLocks noChangeArrowheads="1"/>
          </xdr:cNvSpPr>
        </xdr:nvSpPr>
        <xdr:spPr bwMode="auto">
          <a:xfrm>
            <a:off x="5163" y="2548"/>
            <a:ext cx="1938" cy="2736"/>
          </a:xfrm>
          <a:prstGeom prst="rect">
            <a:avLst/>
          </a:prstGeom>
          <a:solidFill>
            <a:srgbClr val="FFFFFF"/>
          </a:solidFill>
          <a:ln w="9525" algn="ctr">
            <a:solidFill>
              <a:srgbClr val="FF0000"/>
            </a:solidFill>
            <a:miter lim="800000"/>
            <a:headEnd/>
            <a:tailEnd/>
          </a:ln>
        </xdr:spPr>
      </xdr:sp>
      <xdr:sp macro="" textlink="">
        <xdr:nvSpPr>
          <xdr:cNvPr id="2066" name="Line 6238"/>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2067" name="Line 6239"/>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2068" name="Line 6240"/>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2069" name="Line 6241"/>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2070" name="Line 6242"/>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2071" name="Line 6243"/>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2072" name="Line 6244"/>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2073" name="Line 6245"/>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2074" name="Line 6246"/>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2075" name="Line 6247"/>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2076" name="Line 6248"/>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2077" name="Line 6249"/>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2078" name="Line 6250"/>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87</xdr:row>
      <xdr:rowOff>114300</xdr:rowOff>
    </xdr:from>
    <xdr:to>
      <xdr:col>4</xdr:col>
      <xdr:colOff>1478280</xdr:colOff>
      <xdr:row>89</xdr:row>
      <xdr:rowOff>121920</xdr:rowOff>
    </xdr:to>
    <xdr:grpSp>
      <xdr:nvGrpSpPr>
        <xdr:cNvPr id="2079" name="Group 6251"/>
        <xdr:cNvGrpSpPr>
          <a:grpSpLocks/>
        </xdr:cNvGrpSpPr>
      </xdr:nvGrpSpPr>
      <xdr:grpSpPr bwMode="auto">
        <a:xfrm>
          <a:off x="5952309" y="13982700"/>
          <a:ext cx="304800" cy="355963"/>
          <a:chOff x="5238" y="4632"/>
          <a:chExt cx="1597" cy="1311"/>
        </a:xfrm>
      </xdr:grpSpPr>
      <xdr:sp macro="" textlink="">
        <xdr:nvSpPr>
          <xdr:cNvPr id="2080" name="Line 6252"/>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2081" name="Line 6253"/>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2082" name="Line 6254"/>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2083" name="Line 6255"/>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2084" name="Line 6256"/>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2085" name="Line 6257"/>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2086" name="Line 6258"/>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11</xdr:col>
      <xdr:colOff>7620</xdr:colOff>
      <xdr:row>24</xdr:row>
      <xdr:rowOff>91440</xdr:rowOff>
    </xdr:from>
    <xdr:to>
      <xdr:col>23</xdr:col>
      <xdr:colOff>0</xdr:colOff>
      <xdr:row>25</xdr:row>
      <xdr:rowOff>0</xdr:rowOff>
    </xdr:to>
    <xdr:grpSp>
      <xdr:nvGrpSpPr>
        <xdr:cNvPr id="2087" name="Group 11086"/>
        <xdr:cNvGrpSpPr>
          <a:grpSpLocks/>
        </xdr:cNvGrpSpPr>
      </xdr:nvGrpSpPr>
      <xdr:grpSpPr bwMode="auto">
        <a:xfrm>
          <a:off x="10000706" y="91440"/>
          <a:ext cx="10344694" cy="920931"/>
          <a:chOff x="973" y="10"/>
          <a:chExt cx="731" cy="110"/>
        </a:xfrm>
      </xdr:grpSpPr>
      <xdr:sp macro="" textlink="">
        <xdr:nvSpPr>
          <xdr:cNvPr id="2088" name="Rectangle 1"/>
          <xdr:cNvSpPr>
            <a:spLocks noChangeArrowheads="1"/>
          </xdr:cNvSpPr>
        </xdr:nvSpPr>
        <xdr:spPr bwMode="auto">
          <a:xfrm>
            <a:off x="1580" y="10"/>
            <a:ext cx="124" cy="110"/>
          </a:xfrm>
          <a:prstGeom prst="rect">
            <a:avLst/>
          </a:prstGeom>
          <a:solidFill>
            <a:srgbClr val="99CC00"/>
          </a:solidFill>
          <a:ln w="19050" algn="ctr">
            <a:solidFill>
              <a:srgbClr val="000000"/>
            </a:solidFill>
            <a:miter lim="800000"/>
            <a:headEnd/>
            <a:tailEnd/>
          </a:ln>
          <a:effectLst>
            <a:outerShdw dist="107763" dir="2700000" algn="ctr" rotWithShape="0">
              <a:srgbClr val="808080">
                <a:alpha val="50000"/>
              </a:srgbClr>
            </a:outerShdw>
          </a:effectLst>
        </xdr:spPr>
        <xdr:txBody>
          <a:bodyPr vertOverflow="clip" vert="vert270" wrap="square" lIns="0" tIns="18288" rIns="27432" bIns="18288" anchor="b" upright="1"/>
          <a:lstStyle/>
          <a:p>
            <a:pPr algn="ctr" rtl="0">
              <a:defRPr sz="1000"/>
            </a:pPr>
            <a:r>
              <a:rPr lang="en-GB" sz="1100" b="1" i="0" u="none" strike="noStrike" baseline="0">
                <a:solidFill>
                  <a:srgbClr val="000000"/>
                </a:solidFill>
                <a:latin typeface="Arial"/>
                <a:cs typeface="Arial"/>
              </a:rPr>
              <a:t>Post-Construction</a:t>
            </a:r>
            <a:r>
              <a:rPr lang="en-GB" sz="1000" b="1" i="0" u="none" strike="noStrike" baseline="0">
                <a:solidFill>
                  <a:srgbClr val="000000"/>
                </a:solidFill>
                <a:latin typeface="Arial"/>
                <a:cs typeface="Arial"/>
              </a:rPr>
              <a:t> R</a:t>
            </a:r>
            <a:r>
              <a:rPr lang="en-GB" sz="1100" b="1" i="0" u="none" strike="noStrike" baseline="0">
                <a:solidFill>
                  <a:srgbClr val="000000"/>
                </a:solidFill>
                <a:latin typeface="Arial"/>
                <a:cs typeface="Arial"/>
              </a:rPr>
              <a:t>eview</a:t>
            </a:r>
          </a:p>
        </xdr:txBody>
      </xdr:sp>
      <xdr:grpSp>
        <xdr:nvGrpSpPr>
          <xdr:cNvPr id="2089" name="Group 2"/>
          <xdr:cNvGrpSpPr>
            <a:grpSpLocks/>
          </xdr:cNvGrpSpPr>
        </xdr:nvGrpSpPr>
        <xdr:grpSpPr bwMode="auto">
          <a:xfrm>
            <a:off x="1084" y="10"/>
            <a:ext cx="538" cy="110"/>
            <a:chOff x="990" y="0"/>
            <a:chExt cx="542" cy="117"/>
          </a:xfrm>
        </xdr:grpSpPr>
        <xdr:sp macro="" textlink="">
          <xdr:nvSpPr>
            <xdr:cNvPr id="2091" name="Freeform 3"/>
            <xdr:cNvSpPr>
              <a:spLocks/>
            </xdr:cNvSpPr>
          </xdr:nvSpPr>
          <xdr:spPr bwMode="auto">
            <a:xfrm>
              <a:off x="990" y="0"/>
              <a:ext cx="542" cy="117"/>
            </a:xfrm>
            <a:custGeom>
              <a:avLst/>
              <a:gdLst/>
              <a:ahLst/>
              <a:cxnLst>
                <a:cxn ang="0">
                  <a:pos x="0" y="115"/>
                </a:cxn>
                <a:cxn ang="0">
                  <a:pos x="0" y="109"/>
                </a:cxn>
                <a:cxn ang="0">
                  <a:pos x="0" y="0"/>
                </a:cxn>
                <a:cxn ang="0">
                  <a:pos x="501" y="0"/>
                </a:cxn>
                <a:cxn ang="0">
                  <a:pos x="542" y="56"/>
                </a:cxn>
                <a:cxn ang="0">
                  <a:pos x="500" y="117"/>
                </a:cxn>
                <a:cxn ang="0">
                  <a:pos x="1" y="117"/>
                </a:cxn>
              </a:cxnLst>
              <a:rect l="0" t="0" r="r" b="b"/>
              <a:pathLst>
                <a:path w="542" h="117">
                  <a:moveTo>
                    <a:pt x="0" y="115"/>
                  </a:moveTo>
                  <a:cubicBezTo>
                    <a:pt x="0" y="113"/>
                    <a:pt x="0" y="111"/>
                    <a:pt x="0" y="109"/>
                  </a:cubicBezTo>
                  <a:lnTo>
                    <a:pt x="0" y="0"/>
                  </a:lnTo>
                  <a:lnTo>
                    <a:pt x="501" y="0"/>
                  </a:lnTo>
                  <a:lnTo>
                    <a:pt x="542" y="56"/>
                  </a:lnTo>
                  <a:lnTo>
                    <a:pt x="500" y="117"/>
                  </a:lnTo>
                  <a:lnTo>
                    <a:pt x="1" y="117"/>
                  </a:lnTo>
                </a:path>
              </a:pathLst>
            </a:custGeom>
            <a:solidFill>
              <a:srgbClr val="99CC00"/>
            </a:solidFill>
            <a:ln w="19050" cap="flat" cmpd="sng">
              <a:solidFill>
                <a:srgbClr val="000000"/>
              </a:solidFill>
              <a:prstDash val="solid"/>
              <a:round/>
              <a:headEnd/>
              <a:tailEnd/>
            </a:ln>
            <a:effectLst>
              <a:outerShdw dist="107763" dir="2700000" algn="ctr" rotWithShape="0">
                <a:srgbClr val="808080">
                  <a:alpha val="50000"/>
                </a:srgbClr>
              </a:outerShdw>
            </a:effectLst>
          </xdr:spPr>
          <xdr:txBody>
            <a:bodyPr/>
            <a:lstStyle/>
            <a:p>
              <a:endParaRPr lang="en-US"/>
            </a:p>
          </xdr:txBody>
        </xdr:sp>
        <xdr:sp macro="" textlink="">
          <xdr:nvSpPr>
            <xdr:cNvPr id="2092" name="Text Box 4"/>
            <xdr:cNvSpPr txBox="1">
              <a:spLocks noChangeArrowheads="1"/>
            </xdr:cNvSpPr>
          </xdr:nvSpPr>
          <xdr:spPr bwMode="auto">
            <a:xfrm>
              <a:off x="1072" y="24"/>
              <a:ext cx="384" cy="64"/>
            </a:xfrm>
            <a:prstGeom prst="rect">
              <a:avLst/>
            </a:prstGeom>
            <a:noFill/>
            <a:ln w="19050" algn="ctr">
              <a:noFill/>
              <a:miter lim="800000"/>
              <a:headEnd/>
              <a:tailEnd/>
            </a:ln>
            <a:effectLst/>
          </xdr:spPr>
          <xdr:txBody>
            <a:bodyPr wrap="none" lIns="91440" tIns="45720" rIns="91440" bIns="45720" anchor="t" upright="1">
              <a:spAutoFit/>
            </a:bodyPr>
            <a:lstStyle/>
            <a:p>
              <a:pPr algn="l" rtl="0">
                <a:defRPr sz="1000"/>
              </a:pPr>
              <a:endParaRPr lang="en-GB" sz="1100" b="1" i="0" u="none" strike="noStrike" baseline="0">
                <a:solidFill>
                  <a:srgbClr val="000000"/>
                </a:solidFill>
                <a:latin typeface="Arial"/>
                <a:cs typeface="Arial"/>
              </a:endParaRPr>
            </a:p>
            <a:p>
              <a:pPr algn="l" rtl="0">
                <a:defRPr sz="1000"/>
              </a:pPr>
              <a:endParaRPr lang="en-GB" sz="1100" b="1" i="0" u="none" strike="noStrike" baseline="0">
                <a:solidFill>
                  <a:srgbClr val="000000"/>
                </a:solidFill>
                <a:latin typeface="Arial"/>
                <a:cs typeface="Arial"/>
              </a:endParaRPr>
            </a:p>
            <a:p>
              <a:pPr algn="l" rtl="0">
                <a:defRPr sz="1000"/>
              </a:pPr>
              <a:r>
                <a:rPr lang="en-GB" sz="1100" b="1" i="0" u="none" strike="noStrike" baseline="0">
                  <a:solidFill>
                    <a:srgbClr val="000000"/>
                  </a:solidFill>
                  <a:latin typeface="Arial"/>
                  <a:cs typeface="Arial"/>
                </a:rPr>
                <a:t>Prosjekteringsfase analyse (Design Stage Assessment)</a:t>
              </a:r>
            </a:p>
          </xdr:txBody>
        </xdr:sp>
      </xdr:grpSp>
      <xdr:sp macro="" textlink="">
        <xdr:nvSpPr>
          <xdr:cNvPr id="2090" name="AutoShape 6266"/>
          <xdr:cNvSpPr>
            <a:spLocks noChangeArrowheads="1"/>
          </xdr:cNvSpPr>
        </xdr:nvSpPr>
        <xdr:spPr bwMode="auto">
          <a:xfrm>
            <a:off x="973" y="10"/>
            <a:ext cx="161" cy="110"/>
          </a:xfrm>
          <a:prstGeom prst="homePlate">
            <a:avLst>
              <a:gd name="adj" fmla="val 36591"/>
            </a:avLst>
          </a:prstGeom>
          <a:solidFill>
            <a:srgbClr val="99CC00"/>
          </a:solidFill>
          <a:ln w="19050" algn="ctr">
            <a:solidFill>
              <a:srgbClr val="000000"/>
            </a:solidFill>
            <a:miter lim="800000"/>
            <a:headEnd/>
            <a:tailEnd/>
          </a:ln>
          <a:effectLst>
            <a:outerShdw dist="107763" dir="2700000" algn="ctr" rotWithShape="0">
              <a:srgbClr val="808080">
                <a:alpha val="50000"/>
              </a:srgbClr>
            </a:outerShdw>
          </a:effectLst>
        </xdr:spPr>
        <xdr:txBody>
          <a:bodyPr vertOverflow="clip" wrap="square" lIns="91440" tIns="45720" rIns="91440" bIns="45720" anchor="ctr" upright="1"/>
          <a:lstStyle/>
          <a:p>
            <a:pPr algn="ctr" rtl="0">
              <a:defRPr sz="1000"/>
            </a:pPr>
            <a:endParaRPr lang="en-GB" sz="1100" b="1" i="0" u="none" strike="noStrike" baseline="0">
              <a:solidFill>
                <a:srgbClr val="000000"/>
              </a:solidFill>
              <a:latin typeface="Arial"/>
              <a:cs typeface="Arial"/>
            </a:endParaRPr>
          </a:p>
          <a:p>
            <a:pPr algn="ctr" rtl="0">
              <a:defRPr sz="1000"/>
            </a:pPr>
            <a:r>
              <a:rPr lang="en-GB" sz="1100" b="1" i="0" u="none" strike="noStrike" baseline="0">
                <a:solidFill>
                  <a:srgbClr val="000000"/>
                </a:solidFill>
                <a:latin typeface="Arial"/>
                <a:cs typeface="Arial"/>
              </a:rPr>
              <a:t>Foranalyseestimat(Pre-Assessment Estimator)</a:t>
            </a:r>
          </a:p>
        </xdr:txBody>
      </xdr:sp>
    </xdr:grpSp>
    <xdr:clientData/>
  </xdr:twoCellAnchor>
  <xdr:twoCellAnchor>
    <xdr:from>
      <xdr:col>4</xdr:col>
      <xdr:colOff>541020</xdr:colOff>
      <xdr:row>165</xdr:row>
      <xdr:rowOff>76200</xdr:rowOff>
    </xdr:from>
    <xdr:to>
      <xdr:col>4</xdr:col>
      <xdr:colOff>647700</xdr:colOff>
      <xdr:row>167</xdr:row>
      <xdr:rowOff>83820</xdr:rowOff>
    </xdr:to>
    <xdr:grpSp>
      <xdr:nvGrpSpPr>
        <xdr:cNvPr id="2153" name="Group 6526"/>
        <xdr:cNvGrpSpPr>
          <a:grpSpLocks/>
        </xdr:cNvGrpSpPr>
      </xdr:nvGrpSpPr>
      <xdr:grpSpPr bwMode="auto">
        <a:xfrm>
          <a:off x="5319849" y="27813000"/>
          <a:ext cx="106680" cy="355963"/>
          <a:chOff x="3771" y="1155"/>
          <a:chExt cx="4759" cy="14934"/>
        </a:xfrm>
      </xdr:grpSpPr>
      <xdr:sp macro="" textlink="">
        <xdr:nvSpPr>
          <xdr:cNvPr id="2154" name="Oval 6527"/>
          <xdr:cNvSpPr>
            <a:spLocks noChangeArrowheads="1"/>
          </xdr:cNvSpPr>
        </xdr:nvSpPr>
        <xdr:spPr bwMode="auto">
          <a:xfrm>
            <a:off x="4643" y="1155"/>
            <a:ext cx="2999" cy="3003"/>
          </a:xfrm>
          <a:prstGeom prst="ellipse">
            <a:avLst/>
          </a:prstGeom>
          <a:solidFill>
            <a:srgbClr val="FFFFFF"/>
          </a:solidFill>
          <a:ln w="9525" algn="ctr">
            <a:solidFill>
              <a:srgbClr val="FF0000"/>
            </a:solidFill>
            <a:round/>
            <a:headEnd/>
            <a:tailEnd/>
          </a:ln>
        </xdr:spPr>
      </xdr:sp>
      <xdr:sp macro="" textlink="">
        <xdr:nvSpPr>
          <xdr:cNvPr id="2155" name="Arc 6528"/>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2156" name="Arc 6529"/>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2157" name="Line 6530"/>
          <xdr:cNvSpPr>
            <a:spLocks noChangeShapeType="1"/>
          </xdr:cNvSpPr>
        </xdr:nvSpPr>
        <xdr:spPr bwMode="auto">
          <a:xfrm>
            <a:off x="3771" y="6471"/>
            <a:ext cx="0" cy="3793"/>
          </a:xfrm>
          <a:prstGeom prst="line">
            <a:avLst/>
          </a:prstGeom>
          <a:noFill/>
          <a:ln w="9525">
            <a:solidFill>
              <a:srgbClr val="FF0000"/>
            </a:solidFill>
            <a:round/>
            <a:headEnd/>
            <a:tailEnd/>
          </a:ln>
        </xdr:spPr>
      </xdr:sp>
      <xdr:sp macro="" textlink="">
        <xdr:nvSpPr>
          <xdr:cNvPr id="2158" name="Line 6531"/>
          <xdr:cNvSpPr>
            <a:spLocks noChangeShapeType="1"/>
          </xdr:cNvSpPr>
        </xdr:nvSpPr>
        <xdr:spPr bwMode="auto">
          <a:xfrm>
            <a:off x="3771" y="10264"/>
            <a:ext cx="861" cy="4"/>
          </a:xfrm>
          <a:prstGeom prst="line">
            <a:avLst/>
          </a:prstGeom>
          <a:noFill/>
          <a:ln w="9525">
            <a:solidFill>
              <a:srgbClr val="FF0000"/>
            </a:solidFill>
            <a:round/>
            <a:headEnd/>
            <a:tailEnd/>
          </a:ln>
        </xdr:spPr>
      </xdr:sp>
      <xdr:sp macro="" textlink="">
        <xdr:nvSpPr>
          <xdr:cNvPr id="2159" name="Line 6532"/>
          <xdr:cNvSpPr>
            <a:spLocks noChangeShapeType="1"/>
          </xdr:cNvSpPr>
        </xdr:nvSpPr>
        <xdr:spPr bwMode="auto">
          <a:xfrm flipV="1">
            <a:off x="4632" y="6384"/>
            <a:ext cx="4" cy="3880"/>
          </a:xfrm>
          <a:prstGeom prst="line">
            <a:avLst/>
          </a:prstGeom>
          <a:noFill/>
          <a:ln w="9525">
            <a:solidFill>
              <a:srgbClr val="FF0000"/>
            </a:solidFill>
            <a:round/>
            <a:headEnd/>
            <a:tailEnd/>
          </a:ln>
        </xdr:spPr>
      </xdr:sp>
      <xdr:sp macro="" textlink="">
        <xdr:nvSpPr>
          <xdr:cNvPr id="2160" name="Line 6533"/>
          <xdr:cNvSpPr>
            <a:spLocks noChangeShapeType="1"/>
          </xdr:cNvSpPr>
        </xdr:nvSpPr>
        <xdr:spPr bwMode="auto">
          <a:xfrm>
            <a:off x="4636" y="6384"/>
            <a:ext cx="211" cy="0"/>
          </a:xfrm>
          <a:prstGeom prst="line">
            <a:avLst/>
          </a:prstGeom>
          <a:noFill/>
          <a:ln w="9525">
            <a:solidFill>
              <a:srgbClr val="FF0000"/>
            </a:solidFill>
            <a:round/>
            <a:headEnd/>
            <a:tailEnd/>
          </a:ln>
        </xdr:spPr>
      </xdr:sp>
      <xdr:sp macro="" textlink="">
        <xdr:nvSpPr>
          <xdr:cNvPr id="2161" name="Line 6534"/>
          <xdr:cNvSpPr>
            <a:spLocks noChangeShapeType="1"/>
          </xdr:cNvSpPr>
        </xdr:nvSpPr>
        <xdr:spPr bwMode="auto">
          <a:xfrm>
            <a:off x="4847" y="6384"/>
            <a:ext cx="0" cy="9701"/>
          </a:xfrm>
          <a:prstGeom prst="line">
            <a:avLst/>
          </a:prstGeom>
          <a:noFill/>
          <a:ln w="9525">
            <a:solidFill>
              <a:srgbClr val="FF0000"/>
            </a:solidFill>
            <a:round/>
            <a:headEnd/>
            <a:tailEnd/>
          </a:ln>
        </xdr:spPr>
      </xdr:sp>
      <xdr:sp macro="" textlink="">
        <xdr:nvSpPr>
          <xdr:cNvPr id="2162" name="Line 6535"/>
          <xdr:cNvSpPr>
            <a:spLocks noChangeShapeType="1"/>
          </xdr:cNvSpPr>
        </xdr:nvSpPr>
        <xdr:spPr bwMode="auto">
          <a:xfrm>
            <a:off x="4847" y="16085"/>
            <a:ext cx="1077" cy="0"/>
          </a:xfrm>
          <a:prstGeom prst="line">
            <a:avLst/>
          </a:prstGeom>
          <a:noFill/>
          <a:ln w="9525">
            <a:solidFill>
              <a:srgbClr val="FF0000"/>
            </a:solidFill>
            <a:round/>
            <a:headEnd/>
            <a:tailEnd/>
          </a:ln>
        </xdr:spPr>
      </xdr:sp>
      <xdr:sp macro="" textlink="">
        <xdr:nvSpPr>
          <xdr:cNvPr id="2163" name="Line 6536"/>
          <xdr:cNvSpPr>
            <a:spLocks noChangeShapeType="1"/>
          </xdr:cNvSpPr>
        </xdr:nvSpPr>
        <xdr:spPr bwMode="auto">
          <a:xfrm flipV="1">
            <a:off x="5924" y="10696"/>
            <a:ext cx="0" cy="5389"/>
          </a:xfrm>
          <a:prstGeom prst="line">
            <a:avLst/>
          </a:prstGeom>
          <a:noFill/>
          <a:ln w="9525">
            <a:solidFill>
              <a:srgbClr val="FF0000"/>
            </a:solidFill>
            <a:round/>
            <a:headEnd/>
            <a:tailEnd/>
          </a:ln>
        </xdr:spPr>
      </xdr:sp>
      <xdr:sp macro="" textlink="">
        <xdr:nvSpPr>
          <xdr:cNvPr id="2164" name="Line 6537"/>
          <xdr:cNvSpPr>
            <a:spLocks noChangeShapeType="1"/>
          </xdr:cNvSpPr>
        </xdr:nvSpPr>
        <xdr:spPr bwMode="auto">
          <a:xfrm>
            <a:off x="5924" y="10696"/>
            <a:ext cx="430" cy="3"/>
          </a:xfrm>
          <a:prstGeom prst="line">
            <a:avLst/>
          </a:prstGeom>
          <a:noFill/>
          <a:ln w="9525">
            <a:solidFill>
              <a:srgbClr val="FF0000"/>
            </a:solidFill>
            <a:round/>
            <a:headEnd/>
            <a:tailEnd/>
          </a:ln>
        </xdr:spPr>
      </xdr:sp>
      <xdr:sp macro="" textlink="">
        <xdr:nvSpPr>
          <xdr:cNvPr id="2165" name="Line 6538"/>
          <xdr:cNvSpPr>
            <a:spLocks noChangeShapeType="1"/>
          </xdr:cNvSpPr>
        </xdr:nvSpPr>
        <xdr:spPr bwMode="auto">
          <a:xfrm flipV="1">
            <a:off x="6354" y="10696"/>
            <a:ext cx="4" cy="5389"/>
          </a:xfrm>
          <a:prstGeom prst="line">
            <a:avLst/>
          </a:prstGeom>
          <a:noFill/>
          <a:ln w="9525">
            <a:solidFill>
              <a:srgbClr val="FF0000"/>
            </a:solidFill>
            <a:round/>
            <a:headEnd/>
            <a:tailEnd/>
          </a:ln>
        </xdr:spPr>
      </xdr:sp>
      <xdr:sp macro="" textlink="">
        <xdr:nvSpPr>
          <xdr:cNvPr id="2166" name="Line 6539"/>
          <xdr:cNvSpPr>
            <a:spLocks noChangeShapeType="1"/>
          </xdr:cNvSpPr>
        </xdr:nvSpPr>
        <xdr:spPr bwMode="auto">
          <a:xfrm>
            <a:off x="6354" y="16085"/>
            <a:ext cx="1077" cy="4"/>
          </a:xfrm>
          <a:prstGeom prst="line">
            <a:avLst/>
          </a:prstGeom>
          <a:noFill/>
          <a:ln w="9525">
            <a:solidFill>
              <a:srgbClr val="FF0000"/>
            </a:solidFill>
            <a:round/>
            <a:headEnd/>
            <a:tailEnd/>
          </a:ln>
        </xdr:spPr>
      </xdr:sp>
      <xdr:sp macro="" textlink="">
        <xdr:nvSpPr>
          <xdr:cNvPr id="2167" name="Line 6540"/>
          <xdr:cNvSpPr>
            <a:spLocks noChangeShapeType="1"/>
          </xdr:cNvSpPr>
        </xdr:nvSpPr>
        <xdr:spPr bwMode="auto">
          <a:xfrm flipV="1">
            <a:off x="7431" y="6384"/>
            <a:ext cx="0" cy="9701"/>
          </a:xfrm>
          <a:prstGeom prst="line">
            <a:avLst/>
          </a:prstGeom>
          <a:noFill/>
          <a:ln w="9525">
            <a:solidFill>
              <a:srgbClr val="FF0000"/>
            </a:solidFill>
            <a:round/>
            <a:headEnd/>
            <a:tailEnd/>
          </a:ln>
        </xdr:spPr>
      </xdr:sp>
      <xdr:sp macro="" textlink="">
        <xdr:nvSpPr>
          <xdr:cNvPr id="2168" name="Line 6541"/>
          <xdr:cNvSpPr>
            <a:spLocks noChangeShapeType="1"/>
          </xdr:cNvSpPr>
        </xdr:nvSpPr>
        <xdr:spPr bwMode="auto">
          <a:xfrm>
            <a:off x="7431" y="6384"/>
            <a:ext cx="211" cy="4"/>
          </a:xfrm>
          <a:prstGeom prst="line">
            <a:avLst/>
          </a:prstGeom>
          <a:noFill/>
          <a:ln w="9525">
            <a:solidFill>
              <a:srgbClr val="FF0000"/>
            </a:solidFill>
            <a:round/>
            <a:headEnd/>
            <a:tailEnd/>
          </a:ln>
        </xdr:spPr>
      </xdr:sp>
      <xdr:sp macro="" textlink="">
        <xdr:nvSpPr>
          <xdr:cNvPr id="2169" name="Line 6542"/>
          <xdr:cNvSpPr>
            <a:spLocks noChangeShapeType="1"/>
          </xdr:cNvSpPr>
        </xdr:nvSpPr>
        <xdr:spPr bwMode="auto">
          <a:xfrm>
            <a:off x="7665" y="6380"/>
            <a:ext cx="4" cy="3881"/>
          </a:xfrm>
          <a:prstGeom prst="line">
            <a:avLst/>
          </a:prstGeom>
          <a:noFill/>
          <a:ln w="9525">
            <a:solidFill>
              <a:srgbClr val="FF0000"/>
            </a:solidFill>
            <a:round/>
            <a:headEnd/>
            <a:tailEnd/>
          </a:ln>
        </xdr:spPr>
      </xdr:sp>
      <xdr:sp macro="" textlink="">
        <xdr:nvSpPr>
          <xdr:cNvPr id="2170" name="Line 6543"/>
          <xdr:cNvSpPr>
            <a:spLocks noChangeShapeType="1"/>
          </xdr:cNvSpPr>
        </xdr:nvSpPr>
        <xdr:spPr bwMode="auto">
          <a:xfrm>
            <a:off x="7665" y="10261"/>
            <a:ext cx="861" cy="3"/>
          </a:xfrm>
          <a:prstGeom prst="line">
            <a:avLst/>
          </a:prstGeom>
          <a:noFill/>
          <a:ln w="9525">
            <a:solidFill>
              <a:srgbClr val="FF0000"/>
            </a:solidFill>
            <a:round/>
            <a:headEnd/>
            <a:tailEnd/>
          </a:ln>
        </xdr:spPr>
      </xdr:sp>
      <xdr:sp macro="" textlink="">
        <xdr:nvSpPr>
          <xdr:cNvPr id="2171" name="Line 6544"/>
          <xdr:cNvSpPr>
            <a:spLocks noChangeShapeType="1"/>
          </xdr:cNvSpPr>
        </xdr:nvSpPr>
        <xdr:spPr bwMode="auto">
          <a:xfrm flipV="1">
            <a:off x="8526" y="6475"/>
            <a:ext cx="4" cy="3786"/>
          </a:xfrm>
          <a:prstGeom prst="line">
            <a:avLst/>
          </a:prstGeom>
          <a:noFill/>
          <a:ln w="9525">
            <a:solidFill>
              <a:srgbClr val="FF0000"/>
            </a:solidFill>
            <a:round/>
            <a:headEnd/>
            <a:tailEnd/>
          </a:ln>
        </xdr:spPr>
      </xdr:sp>
      <xdr:sp macro="" textlink="">
        <xdr:nvSpPr>
          <xdr:cNvPr id="2172" name="Line 6545"/>
          <xdr:cNvSpPr>
            <a:spLocks noChangeShapeType="1"/>
          </xdr:cNvSpPr>
        </xdr:nvSpPr>
        <xdr:spPr bwMode="auto">
          <a:xfrm flipH="1">
            <a:off x="5807" y="4432"/>
            <a:ext cx="683" cy="0"/>
          </a:xfrm>
          <a:prstGeom prst="line">
            <a:avLst/>
          </a:prstGeom>
          <a:noFill/>
          <a:ln w="9525">
            <a:solidFill>
              <a:srgbClr val="FF0000"/>
            </a:solidFill>
            <a:round/>
            <a:headEnd/>
            <a:tailEnd/>
          </a:ln>
        </xdr:spPr>
      </xdr:sp>
    </xdr:grpSp>
    <xdr:clientData/>
  </xdr:twoCellAnchor>
  <xdr:twoCellAnchor>
    <xdr:from>
      <xdr:col>4</xdr:col>
      <xdr:colOff>838200</xdr:colOff>
      <xdr:row>165</xdr:row>
      <xdr:rowOff>60960</xdr:rowOff>
    </xdr:from>
    <xdr:to>
      <xdr:col>4</xdr:col>
      <xdr:colOff>975360</xdr:colOff>
      <xdr:row>167</xdr:row>
      <xdr:rowOff>83820</xdr:rowOff>
    </xdr:to>
    <xdr:grpSp>
      <xdr:nvGrpSpPr>
        <xdr:cNvPr id="2173" name="Group 6546"/>
        <xdr:cNvGrpSpPr>
          <a:grpSpLocks/>
        </xdr:cNvGrpSpPr>
      </xdr:nvGrpSpPr>
      <xdr:grpSpPr bwMode="auto">
        <a:xfrm>
          <a:off x="5617029" y="27797760"/>
          <a:ext cx="137160" cy="371203"/>
          <a:chOff x="1857" y="2993"/>
          <a:chExt cx="4178" cy="10157"/>
        </a:xfrm>
      </xdr:grpSpPr>
      <xdr:grpSp>
        <xdr:nvGrpSpPr>
          <xdr:cNvPr id="2174" name="Group 6547"/>
          <xdr:cNvGrpSpPr>
            <a:grpSpLocks/>
          </xdr:cNvGrpSpPr>
        </xdr:nvGrpSpPr>
        <xdr:grpSpPr bwMode="auto">
          <a:xfrm rot="1441604">
            <a:off x="4764" y="2993"/>
            <a:ext cx="570" cy="2736"/>
            <a:chOff x="4251" y="2947"/>
            <a:chExt cx="570" cy="2736"/>
          </a:xfrm>
        </xdr:grpSpPr>
        <xdr:sp macro="" textlink="">
          <xdr:nvSpPr>
            <xdr:cNvPr id="2186" name="Line 6548"/>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2187" name="Line 6549"/>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2188" name="Line 6550"/>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2189" name="Line 6551"/>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2175" name="Group 6552"/>
          <xdr:cNvGrpSpPr>
            <a:grpSpLocks/>
          </xdr:cNvGrpSpPr>
        </xdr:nvGrpSpPr>
        <xdr:grpSpPr bwMode="auto">
          <a:xfrm rot="8464448">
            <a:off x="5468" y="5524"/>
            <a:ext cx="569" cy="2733"/>
            <a:chOff x="4677" y="4047"/>
            <a:chExt cx="495" cy="2386"/>
          </a:xfrm>
        </xdr:grpSpPr>
        <xdr:sp macro="" textlink="">
          <xdr:nvSpPr>
            <xdr:cNvPr id="2182" name="Line 6553"/>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2183" name="Line 6554"/>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2184" name="Line 6555"/>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2185" name="Line 6556"/>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2176" name="Group 6557"/>
          <xdr:cNvGrpSpPr>
            <a:grpSpLocks/>
          </xdr:cNvGrpSpPr>
        </xdr:nvGrpSpPr>
        <xdr:grpSpPr bwMode="auto">
          <a:xfrm rot="-5905833">
            <a:off x="2936" y="4830"/>
            <a:ext cx="571" cy="2733"/>
            <a:chOff x="4677" y="4047"/>
            <a:chExt cx="495" cy="2386"/>
          </a:xfrm>
        </xdr:grpSpPr>
        <xdr:sp macro="" textlink="">
          <xdr:nvSpPr>
            <xdr:cNvPr id="2178" name="Line 6558"/>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2179" name="Line 6559"/>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2180" name="Line 6560"/>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2181" name="Line 6561"/>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2177" name="AutoShape 6562"/>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165</xdr:row>
      <xdr:rowOff>76200</xdr:rowOff>
    </xdr:from>
    <xdr:to>
      <xdr:col>4</xdr:col>
      <xdr:colOff>342900</xdr:colOff>
      <xdr:row>167</xdr:row>
      <xdr:rowOff>83820</xdr:rowOff>
    </xdr:to>
    <xdr:grpSp>
      <xdr:nvGrpSpPr>
        <xdr:cNvPr id="2190" name="Group 6563"/>
        <xdr:cNvGrpSpPr>
          <a:grpSpLocks/>
        </xdr:cNvGrpSpPr>
      </xdr:nvGrpSpPr>
      <xdr:grpSpPr bwMode="auto">
        <a:xfrm>
          <a:off x="4885509" y="27813000"/>
          <a:ext cx="236220" cy="355963"/>
          <a:chOff x="5163" y="2548"/>
          <a:chExt cx="2109" cy="2909"/>
        </a:xfrm>
      </xdr:grpSpPr>
      <xdr:sp macro="" textlink="">
        <xdr:nvSpPr>
          <xdr:cNvPr id="2191" name="Rectangle 6564"/>
          <xdr:cNvSpPr>
            <a:spLocks noChangeArrowheads="1"/>
          </xdr:cNvSpPr>
        </xdr:nvSpPr>
        <xdr:spPr bwMode="auto">
          <a:xfrm>
            <a:off x="5163" y="2548"/>
            <a:ext cx="1938" cy="2736"/>
          </a:xfrm>
          <a:prstGeom prst="rect">
            <a:avLst/>
          </a:prstGeom>
          <a:solidFill>
            <a:srgbClr val="FFFFFF"/>
          </a:solidFill>
          <a:ln w="9525" algn="ctr">
            <a:solidFill>
              <a:srgbClr val="FF0000"/>
            </a:solidFill>
            <a:miter lim="800000"/>
            <a:headEnd/>
            <a:tailEnd/>
          </a:ln>
        </xdr:spPr>
      </xdr:sp>
      <xdr:sp macro="" textlink="">
        <xdr:nvSpPr>
          <xdr:cNvPr id="2192" name="Line 6565"/>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2193" name="Line 6566"/>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2194" name="Line 6567"/>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2195" name="Line 6568"/>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2196" name="Line 6569"/>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2197" name="Line 6570"/>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2198" name="Line 6571"/>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2199" name="Line 6572"/>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2200" name="Line 6573"/>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2201" name="Line 6574"/>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2202" name="Line 6575"/>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2203" name="Line 6576"/>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2204" name="Line 6577"/>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165</xdr:row>
      <xdr:rowOff>114300</xdr:rowOff>
    </xdr:from>
    <xdr:to>
      <xdr:col>4</xdr:col>
      <xdr:colOff>1478280</xdr:colOff>
      <xdr:row>167</xdr:row>
      <xdr:rowOff>121920</xdr:rowOff>
    </xdr:to>
    <xdr:grpSp>
      <xdr:nvGrpSpPr>
        <xdr:cNvPr id="2205" name="Group 6578"/>
        <xdr:cNvGrpSpPr>
          <a:grpSpLocks/>
        </xdr:cNvGrpSpPr>
      </xdr:nvGrpSpPr>
      <xdr:grpSpPr bwMode="auto">
        <a:xfrm>
          <a:off x="5952309" y="27851100"/>
          <a:ext cx="304800" cy="355963"/>
          <a:chOff x="5238" y="4632"/>
          <a:chExt cx="1597" cy="1311"/>
        </a:xfrm>
      </xdr:grpSpPr>
      <xdr:sp macro="" textlink="">
        <xdr:nvSpPr>
          <xdr:cNvPr id="2206" name="Line 6579"/>
          <xdr:cNvSpPr>
            <a:spLocks noChangeShapeType="1"/>
          </xdr:cNvSpPr>
        </xdr:nvSpPr>
        <xdr:spPr bwMode="auto">
          <a:xfrm flipV="1">
            <a:off x="5238" y="4632"/>
            <a:ext cx="0" cy="855"/>
          </a:xfrm>
          <a:prstGeom prst="line">
            <a:avLst/>
          </a:prstGeom>
          <a:noFill/>
          <a:ln w="9525">
            <a:solidFill>
              <a:srgbClr val="FF0000"/>
            </a:solidFill>
            <a:round/>
            <a:headEnd/>
            <a:tailEnd/>
          </a:ln>
        </xdr:spPr>
      </xdr:sp>
      <xdr:sp macro="" textlink="">
        <xdr:nvSpPr>
          <xdr:cNvPr id="2207" name="Line 6580"/>
          <xdr:cNvSpPr>
            <a:spLocks noChangeShapeType="1"/>
          </xdr:cNvSpPr>
        </xdr:nvSpPr>
        <xdr:spPr bwMode="auto">
          <a:xfrm>
            <a:off x="5238" y="4632"/>
            <a:ext cx="1597" cy="0"/>
          </a:xfrm>
          <a:prstGeom prst="line">
            <a:avLst/>
          </a:prstGeom>
          <a:noFill/>
          <a:ln w="9525">
            <a:solidFill>
              <a:srgbClr val="FF0000"/>
            </a:solidFill>
            <a:round/>
            <a:headEnd/>
            <a:tailEnd/>
          </a:ln>
        </xdr:spPr>
      </xdr:sp>
      <xdr:sp macro="" textlink="">
        <xdr:nvSpPr>
          <xdr:cNvPr id="2208" name="Line 6581"/>
          <xdr:cNvSpPr>
            <a:spLocks noChangeShapeType="1"/>
          </xdr:cNvSpPr>
        </xdr:nvSpPr>
        <xdr:spPr bwMode="auto">
          <a:xfrm>
            <a:off x="5238" y="5487"/>
            <a:ext cx="342" cy="1"/>
          </a:xfrm>
          <a:prstGeom prst="line">
            <a:avLst/>
          </a:prstGeom>
          <a:noFill/>
          <a:ln w="9525">
            <a:solidFill>
              <a:srgbClr val="FF0000"/>
            </a:solidFill>
            <a:round/>
            <a:headEnd/>
            <a:tailEnd/>
          </a:ln>
        </xdr:spPr>
      </xdr:sp>
      <xdr:sp macro="" textlink="">
        <xdr:nvSpPr>
          <xdr:cNvPr id="2209" name="Line 6582"/>
          <xdr:cNvSpPr>
            <a:spLocks noChangeShapeType="1"/>
          </xdr:cNvSpPr>
        </xdr:nvSpPr>
        <xdr:spPr bwMode="auto">
          <a:xfrm flipH="1">
            <a:off x="5409" y="5487"/>
            <a:ext cx="172" cy="456"/>
          </a:xfrm>
          <a:prstGeom prst="line">
            <a:avLst/>
          </a:prstGeom>
          <a:noFill/>
          <a:ln w="9525">
            <a:solidFill>
              <a:srgbClr val="FF0000"/>
            </a:solidFill>
            <a:round/>
            <a:headEnd/>
            <a:tailEnd/>
          </a:ln>
        </xdr:spPr>
      </xdr:sp>
      <xdr:sp macro="" textlink="">
        <xdr:nvSpPr>
          <xdr:cNvPr id="2210" name="Line 6583"/>
          <xdr:cNvSpPr>
            <a:spLocks noChangeShapeType="1"/>
          </xdr:cNvSpPr>
        </xdr:nvSpPr>
        <xdr:spPr bwMode="auto">
          <a:xfrm flipV="1">
            <a:off x="5409" y="5487"/>
            <a:ext cx="627" cy="456"/>
          </a:xfrm>
          <a:prstGeom prst="line">
            <a:avLst/>
          </a:prstGeom>
          <a:noFill/>
          <a:ln w="9525">
            <a:solidFill>
              <a:srgbClr val="FF0000"/>
            </a:solidFill>
            <a:round/>
            <a:headEnd/>
            <a:tailEnd/>
          </a:ln>
        </xdr:spPr>
      </xdr:sp>
      <xdr:sp macro="" textlink="">
        <xdr:nvSpPr>
          <xdr:cNvPr id="2211" name="Line 6584"/>
          <xdr:cNvSpPr>
            <a:spLocks noChangeShapeType="1"/>
          </xdr:cNvSpPr>
        </xdr:nvSpPr>
        <xdr:spPr bwMode="auto">
          <a:xfrm>
            <a:off x="6036" y="5487"/>
            <a:ext cx="799" cy="1"/>
          </a:xfrm>
          <a:prstGeom prst="line">
            <a:avLst/>
          </a:prstGeom>
          <a:noFill/>
          <a:ln w="9525">
            <a:solidFill>
              <a:srgbClr val="FF0000"/>
            </a:solidFill>
            <a:round/>
            <a:headEnd/>
            <a:tailEnd/>
          </a:ln>
        </xdr:spPr>
      </xdr:sp>
      <xdr:sp macro="" textlink="">
        <xdr:nvSpPr>
          <xdr:cNvPr id="2212" name="Line 6585"/>
          <xdr:cNvSpPr>
            <a:spLocks noChangeShapeType="1"/>
          </xdr:cNvSpPr>
        </xdr:nvSpPr>
        <xdr:spPr bwMode="auto">
          <a:xfrm>
            <a:off x="6835" y="4632"/>
            <a:ext cx="0" cy="856"/>
          </a:xfrm>
          <a:prstGeom prst="line">
            <a:avLst/>
          </a:prstGeom>
          <a:noFill/>
          <a:ln w="9525">
            <a:solidFill>
              <a:srgbClr val="FF0000"/>
            </a:solidFill>
            <a:round/>
            <a:headEnd/>
            <a:tailEnd/>
          </a:ln>
        </xdr:spPr>
      </xdr:sp>
    </xdr:grpSp>
    <xdr:clientData/>
  </xdr:twoCellAnchor>
  <xdr:twoCellAnchor>
    <xdr:from>
      <xdr:col>13</xdr:col>
      <xdr:colOff>114300</xdr:colOff>
      <xdr:row>225</xdr:row>
      <xdr:rowOff>28575</xdr:rowOff>
    </xdr:from>
    <xdr:to>
      <xdr:col>13</xdr:col>
      <xdr:colOff>520140</xdr:colOff>
      <xdr:row>227</xdr:row>
      <xdr:rowOff>133350</xdr:rowOff>
    </xdr:to>
    <xdr:sp macro="" textlink="">
      <xdr:nvSpPr>
        <xdr:cNvPr id="2213" name="Rectangle 6587"/>
        <xdr:cNvSpPr>
          <a:spLocks noChangeArrowheads="1"/>
        </xdr:cNvSpPr>
      </xdr:nvSpPr>
      <xdr:spPr bwMode="auto">
        <a:xfrm>
          <a:off x="8862060" y="51996975"/>
          <a:ext cx="405840" cy="440055"/>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clientData/>
  </xdr:twoCellAnchor>
  <xdr:twoCellAnchor>
    <xdr:from>
      <xdr:col>13</xdr:col>
      <xdr:colOff>182880</xdr:colOff>
      <xdr:row>225</xdr:row>
      <xdr:rowOff>68580</xdr:rowOff>
    </xdr:from>
    <xdr:to>
      <xdr:col>13</xdr:col>
      <xdr:colOff>449580</xdr:colOff>
      <xdr:row>227</xdr:row>
      <xdr:rowOff>114300</xdr:rowOff>
    </xdr:to>
    <xdr:pic>
      <xdr:nvPicPr>
        <xdr:cNvPr id="2214" name="Picture 6588"/>
        <xdr:cNvPicPr>
          <a:picLocks noChangeAspect="1" noChangeArrowheads="1"/>
        </xdr:cNvPicPr>
      </xdr:nvPicPr>
      <xdr:blipFill>
        <a:blip xmlns:r="http://schemas.openxmlformats.org/officeDocument/2006/relationships" r:embed="rId1" cstate="print"/>
        <a:srcRect/>
        <a:stretch>
          <a:fillRect/>
        </a:stretch>
      </xdr:blipFill>
      <xdr:spPr bwMode="auto">
        <a:xfrm>
          <a:off x="8930640" y="52036980"/>
          <a:ext cx="266700" cy="381000"/>
        </a:xfrm>
        <a:prstGeom prst="rect">
          <a:avLst/>
        </a:prstGeom>
        <a:noFill/>
        <a:ln w="9525">
          <a:noFill/>
          <a:miter lim="800000"/>
          <a:headEnd/>
          <a:tailEnd/>
        </a:ln>
      </xdr:spPr>
    </xdr:pic>
    <xdr:clientData/>
  </xdr:twoCellAnchor>
  <xdr:twoCellAnchor>
    <xdr:from>
      <xdr:col>4</xdr:col>
      <xdr:colOff>541020</xdr:colOff>
      <xdr:row>225</xdr:row>
      <xdr:rowOff>76200</xdr:rowOff>
    </xdr:from>
    <xdr:to>
      <xdr:col>4</xdr:col>
      <xdr:colOff>647700</xdr:colOff>
      <xdr:row>227</xdr:row>
      <xdr:rowOff>83820</xdr:rowOff>
    </xdr:to>
    <xdr:grpSp>
      <xdr:nvGrpSpPr>
        <xdr:cNvPr id="2215" name="Group 6589"/>
        <xdr:cNvGrpSpPr>
          <a:grpSpLocks/>
        </xdr:cNvGrpSpPr>
      </xdr:nvGrpSpPr>
      <xdr:grpSpPr bwMode="auto">
        <a:xfrm>
          <a:off x="5319849" y="38481000"/>
          <a:ext cx="106680" cy="355963"/>
          <a:chOff x="3771" y="1155"/>
          <a:chExt cx="4759" cy="14934"/>
        </a:xfrm>
      </xdr:grpSpPr>
      <xdr:sp macro="" textlink="">
        <xdr:nvSpPr>
          <xdr:cNvPr id="2216" name="Oval 6590"/>
          <xdr:cNvSpPr>
            <a:spLocks noChangeArrowheads="1"/>
          </xdr:cNvSpPr>
        </xdr:nvSpPr>
        <xdr:spPr bwMode="auto">
          <a:xfrm>
            <a:off x="4643" y="1155"/>
            <a:ext cx="2999" cy="3003"/>
          </a:xfrm>
          <a:prstGeom prst="ellipse">
            <a:avLst/>
          </a:prstGeom>
          <a:solidFill>
            <a:srgbClr val="FFFFFF"/>
          </a:solidFill>
          <a:ln w="9525" algn="ctr">
            <a:solidFill>
              <a:srgbClr val="FF0000"/>
            </a:solidFill>
            <a:round/>
            <a:headEnd/>
            <a:tailEnd/>
          </a:ln>
        </xdr:spPr>
      </xdr:sp>
      <xdr:sp macro="" textlink="">
        <xdr:nvSpPr>
          <xdr:cNvPr id="2217" name="Arc 6591"/>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2218" name="Arc 6592"/>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2219" name="Line 6593"/>
          <xdr:cNvSpPr>
            <a:spLocks noChangeShapeType="1"/>
          </xdr:cNvSpPr>
        </xdr:nvSpPr>
        <xdr:spPr bwMode="auto">
          <a:xfrm>
            <a:off x="3771" y="6471"/>
            <a:ext cx="0" cy="3793"/>
          </a:xfrm>
          <a:prstGeom prst="line">
            <a:avLst/>
          </a:prstGeom>
          <a:noFill/>
          <a:ln w="9525">
            <a:solidFill>
              <a:srgbClr val="FF0000"/>
            </a:solidFill>
            <a:round/>
            <a:headEnd/>
            <a:tailEnd/>
          </a:ln>
        </xdr:spPr>
      </xdr:sp>
      <xdr:sp macro="" textlink="">
        <xdr:nvSpPr>
          <xdr:cNvPr id="2220" name="Line 6594"/>
          <xdr:cNvSpPr>
            <a:spLocks noChangeShapeType="1"/>
          </xdr:cNvSpPr>
        </xdr:nvSpPr>
        <xdr:spPr bwMode="auto">
          <a:xfrm>
            <a:off x="3771" y="10264"/>
            <a:ext cx="861" cy="4"/>
          </a:xfrm>
          <a:prstGeom prst="line">
            <a:avLst/>
          </a:prstGeom>
          <a:noFill/>
          <a:ln w="9525">
            <a:solidFill>
              <a:srgbClr val="FF0000"/>
            </a:solidFill>
            <a:round/>
            <a:headEnd/>
            <a:tailEnd/>
          </a:ln>
        </xdr:spPr>
      </xdr:sp>
      <xdr:sp macro="" textlink="">
        <xdr:nvSpPr>
          <xdr:cNvPr id="2221" name="Line 6595"/>
          <xdr:cNvSpPr>
            <a:spLocks noChangeShapeType="1"/>
          </xdr:cNvSpPr>
        </xdr:nvSpPr>
        <xdr:spPr bwMode="auto">
          <a:xfrm flipV="1">
            <a:off x="4632" y="6384"/>
            <a:ext cx="4" cy="3880"/>
          </a:xfrm>
          <a:prstGeom prst="line">
            <a:avLst/>
          </a:prstGeom>
          <a:noFill/>
          <a:ln w="9525">
            <a:solidFill>
              <a:srgbClr val="FF0000"/>
            </a:solidFill>
            <a:round/>
            <a:headEnd/>
            <a:tailEnd/>
          </a:ln>
        </xdr:spPr>
      </xdr:sp>
      <xdr:sp macro="" textlink="">
        <xdr:nvSpPr>
          <xdr:cNvPr id="2222" name="Line 6596"/>
          <xdr:cNvSpPr>
            <a:spLocks noChangeShapeType="1"/>
          </xdr:cNvSpPr>
        </xdr:nvSpPr>
        <xdr:spPr bwMode="auto">
          <a:xfrm>
            <a:off x="4636" y="6384"/>
            <a:ext cx="211" cy="0"/>
          </a:xfrm>
          <a:prstGeom prst="line">
            <a:avLst/>
          </a:prstGeom>
          <a:noFill/>
          <a:ln w="9525">
            <a:solidFill>
              <a:srgbClr val="FF0000"/>
            </a:solidFill>
            <a:round/>
            <a:headEnd/>
            <a:tailEnd/>
          </a:ln>
        </xdr:spPr>
      </xdr:sp>
      <xdr:sp macro="" textlink="">
        <xdr:nvSpPr>
          <xdr:cNvPr id="2223" name="Line 6597"/>
          <xdr:cNvSpPr>
            <a:spLocks noChangeShapeType="1"/>
          </xdr:cNvSpPr>
        </xdr:nvSpPr>
        <xdr:spPr bwMode="auto">
          <a:xfrm>
            <a:off x="4847" y="6384"/>
            <a:ext cx="0" cy="9701"/>
          </a:xfrm>
          <a:prstGeom prst="line">
            <a:avLst/>
          </a:prstGeom>
          <a:noFill/>
          <a:ln w="9525">
            <a:solidFill>
              <a:srgbClr val="FF0000"/>
            </a:solidFill>
            <a:round/>
            <a:headEnd/>
            <a:tailEnd/>
          </a:ln>
        </xdr:spPr>
      </xdr:sp>
      <xdr:sp macro="" textlink="">
        <xdr:nvSpPr>
          <xdr:cNvPr id="2224" name="Line 6598"/>
          <xdr:cNvSpPr>
            <a:spLocks noChangeShapeType="1"/>
          </xdr:cNvSpPr>
        </xdr:nvSpPr>
        <xdr:spPr bwMode="auto">
          <a:xfrm>
            <a:off x="4847" y="16085"/>
            <a:ext cx="1077" cy="0"/>
          </a:xfrm>
          <a:prstGeom prst="line">
            <a:avLst/>
          </a:prstGeom>
          <a:noFill/>
          <a:ln w="9525">
            <a:solidFill>
              <a:srgbClr val="FF0000"/>
            </a:solidFill>
            <a:round/>
            <a:headEnd/>
            <a:tailEnd/>
          </a:ln>
        </xdr:spPr>
      </xdr:sp>
      <xdr:sp macro="" textlink="">
        <xdr:nvSpPr>
          <xdr:cNvPr id="2225" name="Line 6599"/>
          <xdr:cNvSpPr>
            <a:spLocks noChangeShapeType="1"/>
          </xdr:cNvSpPr>
        </xdr:nvSpPr>
        <xdr:spPr bwMode="auto">
          <a:xfrm flipV="1">
            <a:off x="5924" y="10696"/>
            <a:ext cx="0" cy="5389"/>
          </a:xfrm>
          <a:prstGeom prst="line">
            <a:avLst/>
          </a:prstGeom>
          <a:noFill/>
          <a:ln w="9525">
            <a:solidFill>
              <a:srgbClr val="FF0000"/>
            </a:solidFill>
            <a:round/>
            <a:headEnd/>
            <a:tailEnd/>
          </a:ln>
        </xdr:spPr>
      </xdr:sp>
      <xdr:sp macro="" textlink="">
        <xdr:nvSpPr>
          <xdr:cNvPr id="2226" name="Line 6600"/>
          <xdr:cNvSpPr>
            <a:spLocks noChangeShapeType="1"/>
          </xdr:cNvSpPr>
        </xdr:nvSpPr>
        <xdr:spPr bwMode="auto">
          <a:xfrm>
            <a:off x="5924" y="10696"/>
            <a:ext cx="430" cy="3"/>
          </a:xfrm>
          <a:prstGeom prst="line">
            <a:avLst/>
          </a:prstGeom>
          <a:noFill/>
          <a:ln w="9525">
            <a:solidFill>
              <a:srgbClr val="FF0000"/>
            </a:solidFill>
            <a:round/>
            <a:headEnd/>
            <a:tailEnd/>
          </a:ln>
        </xdr:spPr>
      </xdr:sp>
      <xdr:sp macro="" textlink="">
        <xdr:nvSpPr>
          <xdr:cNvPr id="2227" name="Line 6601"/>
          <xdr:cNvSpPr>
            <a:spLocks noChangeShapeType="1"/>
          </xdr:cNvSpPr>
        </xdr:nvSpPr>
        <xdr:spPr bwMode="auto">
          <a:xfrm flipV="1">
            <a:off x="6354" y="10696"/>
            <a:ext cx="4" cy="5389"/>
          </a:xfrm>
          <a:prstGeom prst="line">
            <a:avLst/>
          </a:prstGeom>
          <a:noFill/>
          <a:ln w="9525">
            <a:solidFill>
              <a:srgbClr val="FF0000"/>
            </a:solidFill>
            <a:round/>
            <a:headEnd/>
            <a:tailEnd/>
          </a:ln>
        </xdr:spPr>
      </xdr:sp>
      <xdr:sp macro="" textlink="">
        <xdr:nvSpPr>
          <xdr:cNvPr id="2228" name="Line 6602"/>
          <xdr:cNvSpPr>
            <a:spLocks noChangeShapeType="1"/>
          </xdr:cNvSpPr>
        </xdr:nvSpPr>
        <xdr:spPr bwMode="auto">
          <a:xfrm>
            <a:off x="6354" y="16085"/>
            <a:ext cx="1077" cy="4"/>
          </a:xfrm>
          <a:prstGeom prst="line">
            <a:avLst/>
          </a:prstGeom>
          <a:noFill/>
          <a:ln w="9525">
            <a:solidFill>
              <a:srgbClr val="FF0000"/>
            </a:solidFill>
            <a:round/>
            <a:headEnd/>
            <a:tailEnd/>
          </a:ln>
        </xdr:spPr>
      </xdr:sp>
      <xdr:sp macro="" textlink="">
        <xdr:nvSpPr>
          <xdr:cNvPr id="2229" name="Line 6603"/>
          <xdr:cNvSpPr>
            <a:spLocks noChangeShapeType="1"/>
          </xdr:cNvSpPr>
        </xdr:nvSpPr>
        <xdr:spPr bwMode="auto">
          <a:xfrm flipV="1">
            <a:off x="7431" y="6384"/>
            <a:ext cx="0" cy="9701"/>
          </a:xfrm>
          <a:prstGeom prst="line">
            <a:avLst/>
          </a:prstGeom>
          <a:noFill/>
          <a:ln w="9525">
            <a:solidFill>
              <a:srgbClr val="FF0000"/>
            </a:solidFill>
            <a:round/>
            <a:headEnd/>
            <a:tailEnd/>
          </a:ln>
        </xdr:spPr>
      </xdr:sp>
      <xdr:sp macro="" textlink="">
        <xdr:nvSpPr>
          <xdr:cNvPr id="2230" name="Line 6604"/>
          <xdr:cNvSpPr>
            <a:spLocks noChangeShapeType="1"/>
          </xdr:cNvSpPr>
        </xdr:nvSpPr>
        <xdr:spPr bwMode="auto">
          <a:xfrm>
            <a:off x="7431" y="6384"/>
            <a:ext cx="211" cy="4"/>
          </a:xfrm>
          <a:prstGeom prst="line">
            <a:avLst/>
          </a:prstGeom>
          <a:noFill/>
          <a:ln w="9525">
            <a:solidFill>
              <a:srgbClr val="FF0000"/>
            </a:solidFill>
            <a:round/>
            <a:headEnd/>
            <a:tailEnd/>
          </a:ln>
        </xdr:spPr>
      </xdr:sp>
      <xdr:sp macro="" textlink="">
        <xdr:nvSpPr>
          <xdr:cNvPr id="2231" name="Line 6605"/>
          <xdr:cNvSpPr>
            <a:spLocks noChangeShapeType="1"/>
          </xdr:cNvSpPr>
        </xdr:nvSpPr>
        <xdr:spPr bwMode="auto">
          <a:xfrm>
            <a:off x="7665" y="6380"/>
            <a:ext cx="4" cy="3881"/>
          </a:xfrm>
          <a:prstGeom prst="line">
            <a:avLst/>
          </a:prstGeom>
          <a:noFill/>
          <a:ln w="9525">
            <a:solidFill>
              <a:srgbClr val="FF0000"/>
            </a:solidFill>
            <a:round/>
            <a:headEnd/>
            <a:tailEnd/>
          </a:ln>
        </xdr:spPr>
      </xdr:sp>
      <xdr:sp macro="" textlink="">
        <xdr:nvSpPr>
          <xdr:cNvPr id="2232" name="Line 6606"/>
          <xdr:cNvSpPr>
            <a:spLocks noChangeShapeType="1"/>
          </xdr:cNvSpPr>
        </xdr:nvSpPr>
        <xdr:spPr bwMode="auto">
          <a:xfrm>
            <a:off x="7665" y="10261"/>
            <a:ext cx="861" cy="3"/>
          </a:xfrm>
          <a:prstGeom prst="line">
            <a:avLst/>
          </a:prstGeom>
          <a:noFill/>
          <a:ln w="9525">
            <a:solidFill>
              <a:srgbClr val="FF0000"/>
            </a:solidFill>
            <a:round/>
            <a:headEnd/>
            <a:tailEnd/>
          </a:ln>
        </xdr:spPr>
      </xdr:sp>
      <xdr:sp macro="" textlink="">
        <xdr:nvSpPr>
          <xdr:cNvPr id="2233" name="Line 6607"/>
          <xdr:cNvSpPr>
            <a:spLocks noChangeShapeType="1"/>
          </xdr:cNvSpPr>
        </xdr:nvSpPr>
        <xdr:spPr bwMode="auto">
          <a:xfrm flipV="1">
            <a:off x="8526" y="6475"/>
            <a:ext cx="4" cy="3786"/>
          </a:xfrm>
          <a:prstGeom prst="line">
            <a:avLst/>
          </a:prstGeom>
          <a:noFill/>
          <a:ln w="9525">
            <a:solidFill>
              <a:srgbClr val="FF0000"/>
            </a:solidFill>
            <a:round/>
            <a:headEnd/>
            <a:tailEnd/>
          </a:ln>
        </xdr:spPr>
      </xdr:sp>
      <xdr:sp macro="" textlink="">
        <xdr:nvSpPr>
          <xdr:cNvPr id="2234" name="Line 6608"/>
          <xdr:cNvSpPr>
            <a:spLocks noChangeShapeType="1"/>
          </xdr:cNvSpPr>
        </xdr:nvSpPr>
        <xdr:spPr bwMode="auto">
          <a:xfrm flipH="1">
            <a:off x="5807" y="4432"/>
            <a:ext cx="683" cy="0"/>
          </a:xfrm>
          <a:prstGeom prst="line">
            <a:avLst/>
          </a:prstGeom>
          <a:noFill/>
          <a:ln w="9525">
            <a:solidFill>
              <a:srgbClr val="FF0000"/>
            </a:solidFill>
            <a:round/>
            <a:headEnd/>
            <a:tailEnd/>
          </a:ln>
        </xdr:spPr>
      </xdr:sp>
    </xdr:grpSp>
    <xdr:clientData/>
  </xdr:twoCellAnchor>
  <xdr:twoCellAnchor>
    <xdr:from>
      <xdr:col>4</xdr:col>
      <xdr:colOff>838200</xdr:colOff>
      <xdr:row>225</xdr:row>
      <xdr:rowOff>60960</xdr:rowOff>
    </xdr:from>
    <xdr:to>
      <xdr:col>4</xdr:col>
      <xdr:colOff>975360</xdr:colOff>
      <xdr:row>227</xdr:row>
      <xdr:rowOff>83820</xdr:rowOff>
    </xdr:to>
    <xdr:grpSp>
      <xdr:nvGrpSpPr>
        <xdr:cNvPr id="2235" name="Group 6609"/>
        <xdr:cNvGrpSpPr>
          <a:grpSpLocks/>
        </xdr:cNvGrpSpPr>
      </xdr:nvGrpSpPr>
      <xdr:grpSpPr bwMode="auto">
        <a:xfrm>
          <a:off x="5617029" y="38465760"/>
          <a:ext cx="137160" cy="371203"/>
          <a:chOff x="1857" y="2993"/>
          <a:chExt cx="4178" cy="10157"/>
        </a:xfrm>
      </xdr:grpSpPr>
      <xdr:grpSp>
        <xdr:nvGrpSpPr>
          <xdr:cNvPr id="2236" name="Group 6610"/>
          <xdr:cNvGrpSpPr>
            <a:grpSpLocks/>
          </xdr:cNvGrpSpPr>
        </xdr:nvGrpSpPr>
        <xdr:grpSpPr bwMode="auto">
          <a:xfrm rot="1441604">
            <a:off x="4764" y="2993"/>
            <a:ext cx="570" cy="2736"/>
            <a:chOff x="4251" y="2947"/>
            <a:chExt cx="570" cy="2736"/>
          </a:xfrm>
        </xdr:grpSpPr>
        <xdr:sp macro="" textlink="">
          <xdr:nvSpPr>
            <xdr:cNvPr id="2248" name="Line 6611"/>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2249" name="Line 6612"/>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2250" name="Line 6613"/>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2251" name="Line 6614"/>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2237" name="Group 6615"/>
          <xdr:cNvGrpSpPr>
            <a:grpSpLocks/>
          </xdr:cNvGrpSpPr>
        </xdr:nvGrpSpPr>
        <xdr:grpSpPr bwMode="auto">
          <a:xfrm rot="8464448">
            <a:off x="5468" y="5524"/>
            <a:ext cx="569" cy="2733"/>
            <a:chOff x="4677" y="4047"/>
            <a:chExt cx="495" cy="2386"/>
          </a:xfrm>
        </xdr:grpSpPr>
        <xdr:sp macro="" textlink="">
          <xdr:nvSpPr>
            <xdr:cNvPr id="2244" name="Line 6616"/>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2245" name="Line 6617"/>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2246" name="Line 6618"/>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2247" name="Line 6619"/>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2238" name="Group 6620"/>
          <xdr:cNvGrpSpPr>
            <a:grpSpLocks/>
          </xdr:cNvGrpSpPr>
        </xdr:nvGrpSpPr>
        <xdr:grpSpPr bwMode="auto">
          <a:xfrm rot="-5905833">
            <a:off x="2936" y="4830"/>
            <a:ext cx="571" cy="2733"/>
            <a:chOff x="4677" y="4047"/>
            <a:chExt cx="495" cy="2386"/>
          </a:xfrm>
        </xdr:grpSpPr>
        <xdr:sp macro="" textlink="">
          <xdr:nvSpPr>
            <xdr:cNvPr id="2240" name="Line 6621"/>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2241" name="Line 6622"/>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2242" name="Line 6623"/>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2243" name="Line 6624"/>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2239" name="AutoShape 6625"/>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225</xdr:row>
      <xdr:rowOff>76200</xdr:rowOff>
    </xdr:from>
    <xdr:to>
      <xdr:col>4</xdr:col>
      <xdr:colOff>342900</xdr:colOff>
      <xdr:row>227</xdr:row>
      <xdr:rowOff>83820</xdr:rowOff>
    </xdr:to>
    <xdr:grpSp>
      <xdr:nvGrpSpPr>
        <xdr:cNvPr id="2252" name="Group 6626"/>
        <xdr:cNvGrpSpPr>
          <a:grpSpLocks/>
        </xdr:cNvGrpSpPr>
      </xdr:nvGrpSpPr>
      <xdr:grpSpPr bwMode="auto">
        <a:xfrm>
          <a:off x="4885509" y="38481000"/>
          <a:ext cx="236220" cy="355963"/>
          <a:chOff x="5163" y="2548"/>
          <a:chExt cx="2109" cy="2909"/>
        </a:xfrm>
      </xdr:grpSpPr>
      <xdr:sp macro="" textlink="">
        <xdr:nvSpPr>
          <xdr:cNvPr id="2253" name="Rectangle 6627"/>
          <xdr:cNvSpPr>
            <a:spLocks noChangeArrowheads="1"/>
          </xdr:cNvSpPr>
        </xdr:nvSpPr>
        <xdr:spPr bwMode="auto">
          <a:xfrm>
            <a:off x="5163" y="2548"/>
            <a:ext cx="1938" cy="2736"/>
          </a:xfrm>
          <a:prstGeom prst="rect">
            <a:avLst/>
          </a:prstGeom>
          <a:solidFill>
            <a:srgbClr val="FFFFFF"/>
          </a:solidFill>
          <a:ln w="9525" algn="ctr">
            <a:solidFill>
              <a:srgbClr val="FF0000"/>
            </a:solidFill>
            <a:miter lim="800000"/>
            <a:headEnd/>
            <a:tailEnd/>
          </a:ln>
        </xdr:spPr>
      </xdr:sp>
      <xdr:sp macro="" textlink="">
        <xdr:nvSpPr>
          <xdr:cNvPr id="2254" name="Line 6628"/>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2255" name="Line 6629"/>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2256" name="Line 6630"/>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2257" name="Line 6631"/>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2258" name="Line 6632"/>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2259" name="Line 6633"/>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2260" name="Line 6634"/>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2261" name="Line 6635"/>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2262" name="Line 6636"/>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2263" name="Line 6637"/>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2264" name="Line 6638"/>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2265" name="Line 6639"/>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2266" name="Line 6640"/>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225</xdr:row>
      <xdr:rowOff>114300</xdr:rowOff>
    </xdr:from>
    <xdr:to>
      <xdr:col>4</xdr:col>
      <xdr:colOff>1478280</xdr:colOff>
      <xdr:row>227</xdr:row>
      <xdr:rowOff>121920</xdr:rowOff>
    </xdr:to>
    <xdr:grpSp>
      <xdr:nvGrpSpPr>
        <xdr:cNvPr id="2267" name="Group 6641"/>
        <xdr:cNvGrpSpPr>
          <a:grpSpLocks/>
        </xdr:cNvGrpSpPr>
      </xdr:nvGrpSpPr>
      <xdr:grpSpPr bwMode="auto">
        <a:xfrm>
          <a:off x="5952309" y="38519100"/>
          <a:ext cx="304800" cy="355963"/>
          <a:chOff x="5238" y="4632"/>
          <a:chExt cx="1597" cy="1311"/>
        </a:xfrm>
      </xdr:grpSpPr>
      <xdr:sp macro="" textlink="">
        <xdr:nvSpPr>
          <xdr:cNvPr id="2268" name="Line 6642"/>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2269" name="Line 6643"/>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2270" name="Line 6644"/>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2271" name="Line 6645"/>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2272" name="Line 6646"/>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2273" name="Line 6647"/>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2274" name="Line 6648"/>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13</xdr:col>
      <xdr:colOff>114300</xdr:colOff>
      <xdr:row>183</xdr:row>
      <xdr:rowOff>28575</xdr:rowOff>
    </xdr:from>
    <xdr:to>
      <xdr:col>13</xdr:col>
      <xdr:colOff>520140</xdr:colOff>
      <xdr:row>185</xdr:row>
      <xdr:rowOff>133350</xdr:rowOff>
    </xdr:to>
    <xdr:sp macro="" textlink="">
      <xdr:nvSpPr>
        <xdr:cNvPr id="2275" name="Rectangle 6657"/>
        <xdr:cNvSpPr>
          <a:spLocks noChangeArrowheads="1"/>
        </xdr:cNvSpPr>
      </xdr:nvSpPr>
      <xdr:spPr bwMode="auto">
        <a:xfrm>
          <a:off x="8862060" y="42944415"/>
          <a:ext cx="405840" cy="440055"/>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clientData/>
  </xdr:twoCellAnchor>
  <xdr:twoCellAnchor>
    <xdr:from>
      <xdr:col>13</xdr:col>
      <xdr:colOff>182880</xdr:colOff>
      <xdr:row>183</xdr:row>
      <xdr:rowOff>68580</xdr:rowOff>
    </xdr:from>
    <xdr:to>
      <xdr:col>13</xdr:col>
      <xdr:colOff>449580</xdr:colOff>
      <xdr:row>185</xdr:row>
      <xdr:rowOff>114300</xdr:rowOff>
    </xdr:to>
    <xdr:pic>
      <xdr:nvPicPr>
        <xdr:cNvPr id="2276" name="Picture 6658"/>
        <xdr:cNvPicPr>
          <a:picLocks noChangeAspect="1" noChangeArrowheads="1"/>
        </xdr:cNvPicPr>
      </xdr:nvPicPr>
      <xdr:blipFill>
        <a:blip xmlns:r="http://schemas.openxmlformats.org/officeDocument/2006/relationships" r:embed="rId1" cstate="print"/>
        <a:srcRect/>
        <a:stretch>
          <a:fillRect/>
        </a:stretch>
      </xdr:blipFill>
      <xdr:spPr bwMode="auto">
        <a:xfrm>
          <a:off x="8930640" y="42984420"/>
          <a:ext cx="266700" cy="381000"/>
        </a:xfrm>
        <a:prstGeom prst="rect">
          <a:avLst/>
        </a:prstGeom>
        <a:noFill/>
        <a:ln w="9525">
          <a:noFill/>
          <a:miter lim="800000"/>
          <a:headEnd/>
          <a:tailEnd/>
        </a:ln>
      </xdr:spPr>
    </xdr:pic>
    <xdr:clientData/>
  </xdr:twoCellAnchor>
  <xdr:twoCellAnchor>
    <xdr:from>
      <xdr:col>13</xdr:col>
      <xdr:colOff>114300</xdr:colOff>
      <xdr:row>183</xdr:row>
      <xdr:rowOff>30480</xdr:rowOff>
    </xdr:from>
    <xdr:to>
      <xdr:col>13</xdr:col>
      <xdr:colOff>518160</xdr:colOff>
      <xdr:row>185</xdr:row>
      <xdr:rowOff>137160</xdr:rowOff>
    </xdr:to>
    <xdr:grpSp>
      <xdr:nvGrpSpPr>
        <xdr:cNvPr id="2277" name="Group 6729"/>
        <xdr:cNvGrpSpPr>
          <a:grpSpLocks/>
        </xdr:cNvGrpSpPr>
      </xdr:nvGrpSpPr>
      <xdr:grpSpPr bwMode="auto">
        <a:xfrm>
          <a:off x="11511643" y="30967680"/>
          <a:ext cx="403860" cy="455023"/>
          <a:chOff x="971" y="1233"/>
          <a:chExt cx="41" cy="43"/>
        </a:xfrm>
      </xdr:grpSpPr>
      <xdr:sp macro="" textlink="">
        <xdr:nvSpPr>
          <xdr:cNvPr id="2278" name="Rectangle 6667"/>
          <xdr:cNvSpPr>
            <a:spLocks noChangeArrowheads="1"/>
          </xdr:cNvSpPr>
        </xdr:nvSpPr>
        <xdr:spPr bwMode="auto">
          <a:xfrm>
            <a:off x="971" y="1233"/>
            <a:ext cx="41" cy="43"/>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pic>
        <xdr:nvPicPr>
          <xdr:cNvPr id="2279" name="Picture 6668"/>
          <xdr:cNvPicPr>
            <a:picLocks noChangeAspect="1" noChangeArrowheads="1"/>
          </xdr:cNvPicPr>
        </xdr:nvPicPr>
        <xdr:blipFill>
          <a:blip xmlns:r="http://schemas.openxmlformats.org/officeDocument/2006/relationships" r:embed="rId1" cstate="print"/>
          <a:srcRect/>
          <a:stretch>
            <a:fillRect/>
          </a:stretch>
        </xdr:blipFill>
        <xdr:spPr bwMode="auto">
          <a:xfrm>
            <a:off x="978" y="1237"/>
            <a:ext cx="27" cy="37"/>
          </a:xfrm>
          <a:prstGeom prst="rect">
            <a:avLst/>
          </a:prstGeom>
          <a:noFill/>
          <a:ln w="9525">
            <a:noFill/>
            <a:miter lim="800000"/>
            <a:headEnd/>
            <a:tailEnd/>
          </a:ln>
        </xdr:spPr>
      </xdr:pic>
    </xdr:grpSp>
    <xdr:clientData/>
  </xdr:twoCellAnchor>
  <xdr:twoCellAnchor>
    <xdr:from>
      <xdr:col>13</xdr:col>
      <xdr:colOff>114300</xdr:colOff>
      <xdr:row>60</xdr:row>
      <xdr:rowOff>22860</xdr:rowOff>
    </xdr:from>
    <xdr:to>
      <xdr:col>13</xdr:col>
      <xdr:colOff>518160</xdr:colOff>
      <xdr:row>62</xdr:row>
      <xdr:rowOff>121920</xdr:rowOff>
    </xdr:to>
    <xdr:grpSp>
      <xdr:nvGrpSpPr>
        <xdr:cNvPr id="2340" name="Group 6733"/>
        <xdr:cNvGrpSpPr>
          <a:grpSpLocks/>
        </xdr:cNvGrpSpPr>
      </xdr:nvGrpSpPr>
      <xdr:grpSpPr bwMode="auto">
        <a:xfrm>
          <a:off x="11511643" y="9090660"/>
          <a:ext cx="403860" cy="447403"/>
          <a:chOff x="971" y="1233"/>
          <a:chExt cx="41" cy="43"/>
        </a:xfrm>
      </xdr:grpSpPr>
      <xdr:sp macro="" textlink="">
        <xdr:nvSpPr>
          <xdr:cNvPr id="2341" name="Rectangle 6734"/>
          <xdr:cNvSpPr>
            <a:spLocks noChangeArrowheads="1"/>
          </xdr:cNvSpPr>
        </xdr:nvSpPr>
        <xdr:spPr bwMode="auto">
          <a:xfrm>
            <a:off x="971" y="1233"/>
            <a:ext cx="41" cy="43"/>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pic>
        <xdr:nvPicPr>
          <xdr:cNvPr id="2342" name="Picture 6735"/>
          <xdr:cNvPicPr>
            <a:picLocks noChangeAspect="1" noChangeArrowheads="1"/>
          </xdr:cNvPicPr>
        </xdr:nvPicPr>
        <xdr:blipFill>
          <a:blip xmlns:r="http://schemas.openxmlformats.org/officeDocument/2006/relationships" r:embed="rId1" cstate="print"/>
          <a:srcRect/>
          <a:stretch>
            <a:fillRect/>
          </a:stretch>
        </xdr:blipFill>
        <xdr:spPr bwMode="auto">
          <a:xfrm>
            <a:off x="978" y="1237"/>
            <a:ext cx="27" cy="37"/>
          </a:xfrm>
          <a:prstGeom prst="rect">
            <a:avLst/>
          </a:prstGeom>
          <a:noFill/>
          <a:ln w="9525">
            <a:noFill/>
            <a:miter lim="800000"/>
            <a:headEnd/>
            <a:tailEnd/>
          </a:ln>
        </xdr:spPr>
      </xdr:pic>
    </xdr:grpSp>
    <xdr:clientData/>
  </xdr:twoCellAnchor>
  <xdr:twoCellAnchor>
    <xdr:from>
      <xdr:col>13</xdr:col>
      <xdr:colOff>114300</xdr:colOff>
      <xdr:row>63</xdr:row>
      <xdr:rowOff>30480</xdr:rowOff>
    </xdr:from>
    <xdr:to>
      <xdr:col>13</xdr:col>
      <xdr:colOff>518160</xdr:colOff>
      <xdr:row>65</xdr:row>
      <xdr:rowOff>137160</xdr:rowOff>
    </xdr:to>
    <xdr:grpSp>
      <xdr:nvGrpSpPr>
        <xdr:cNvPr id="2343" name="Group 6736"/>
        <xdr:cNvGrpSpPr>
          <a:grpSpLocks/>
        </xdr:cNvGrpSpPr>
      </xdr:nvGrpSpPr>
      <xdr:grpSpPr bwMode="auto">
        <a:xfrm>
          <a:off x="11511643" y="9631680"/>
          <a:ext cx="403860" cy="455023"/>
          <a:chOff x="971" y="1233"/>
          <a:chExt cx="41" cy="43"/>
        </a:xfrm>
      </xdr:grpSpPr>
      <xdr:sp macro="" textlink="">
        <xdr:nvSpPr>
          <xdr:cNvPr id="2344" name="Rectangle 6737"/>
          <xdr:cNvSpPr>
            <a:spLocks noChangeArrowheads="1"/>
          </xdr:cNvSpPr>
        </xdr:nvSpPr>
        <xdr:spPr bwMode="auto">
          <a:xfrm>
            <a:off x="971" y="1233"/>
            <a:ext cx="41" cy="43"/>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pic>
        <xdr:nvPicPr>
          <xdr:cNvPr id="2345" name="Picture 6738"/>
          <xdr:cNvPicPr>
            <a:picLocks noChangeAspect="1" noChangeArrowheads="1"/>
          </xdr:cNvPicPr>
        </xdr:nvPicPr>
        <xdr:blipFill>
          <a:blip xmlns:r="http://schemas.openxmlformats.org/officeDocument/2006/relationships" r:embed="rId1" cstate="print"/>
          <a:srcRect/>
          <a:stretch>
            <a:fillRect/>
          </a:stretch>
        </xdr:blipFill>
        <xdr:spPr bwMode="auto">
          <a:xfrm>
            <a:off x="978" y="1237"/>
            <a:ext cx="27" cy="37"/>
          </a:xfrm>
          <a:prstGeom prst="rect">
            <a:avLst/>
          </a:prstGeom>
          <a:noFill/>
          <a:ln w="9525">
            <a:noFill/>
            <a:miter lim="800000"/>
            <a:headEnd/>
            <a:tailEnd/>
          </a:ln>
        </xdr:spPr>
      </xdr:pic>
    </xdr:grpSp>
    <xdr:clientData/>
  </xdr:twoCellAnchor>
  <xdr:twoCellAnchor>
    <xdr:from>
      <xdr:col>13</xdr:col>
      <xdr:colOff>114300</xdr:colOff>
      <xdr:row>186</xdr:row>
      <xdr:rowOff>30480</xdr:rowOff>
    </xdr:from>
    <xdr:to>
      <xdr:col>13</xdr:col>
      <xdr:colOff>518160</xdr:colOff>
      <xdr:row>188</xdr:row>
      <xdr:rowOff>137160</xdr:rowOff>
    </xdr:to>
    <xdr:grpSp>
      <xdr:nvGrpSpPr>
        <xdr:cNvPr id="2346" name="Group 6742"/>
        <xdr:cNvGrpSpPr>
          <a:grpSpLocks/>
        </xdr:cNvGrpSpPr>
      </xdr:nvGrpSpPr>
      <xdr:grpSpPr bwMode="auto">
        <a:xfrm>
          <a:off x="11511643" y="31501080"/>
          <a:ext cx="403860" cy="455023"/>
          <a:chOff x="971" y="1233"/>
          <a:chExt cx="41" cy="43"/>
        </a:xfrm>
      </xdr:grpSpPr>
      <xdr:sp macro="" textlink="">
        <xdr:nvSpPr>
          <xdr:cNvPr id="2347" name="Rectangle 6743"/>
          <xdr:cNvSpPr>
            <a:spLocks noChangeArrowheads="1"/>
          </xdr:cNvSpPr>
        </xdr:nvSpPr>
        <xdr:spPr bwMode="auto">
          <a:xfrm>
            <a:off x="971" y="1233"/>
            <a:ext cx="41" cy="43"/>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pic>
        <xdr:nvPicPr>
          <xdr:cNvPr id="2348" name="Picture 6744"/>
          <xdr:cNvPicPr>
            <a:picLocks noChangeAspect="1" noChangeArrowheads="1"/>
          </xdr:cNvPicPr>
        </xdr:nvPicPr>
        <xdr:blipFill>
          <a:blip xmlns:r="http://schemas.openxmlformats.org/officeDocument/2006/relationships" r:embed="rId1" cstate="print"/>
          <a:srcRect/>
          <a:stretch>
            <a:fillRect/>
          </a:stretch>
        </xdr:blipFill>
        <xdr:spPr bwMode="auto">
          <a:xfrm>
            <a:off x="978" y="1237"/>
            <a:ext cx="27" cy="37"/>
          </a:xfrm>
          <a:prstGeom prst="rect">
            <a:avLst/>
          </a:prstGeom>
          <a:noFill/>
          <a:ln w="9525">
            <a:noFill/>
            <a:miter lim="800000"/>
            <a:headEnd/>
            <a:tailEnd/>
          </a:ln>
        </xdr:spPr>
      </xdr:pic>
    </xdr:grpSp>
    <xdr:clientData/>
  </xdr:twoCellAnchor>
  <xdr:twoCellAnchor>
    <xdr:from>
      <xdr:col>13</xdr:col>
      <xdr:colOff>114300</xdr:colOff>
      <xdr:row>192</xdr:row>
      <xdr:rowOff>30480</xdr:rowOff>
    </xdr:from>
    <xdr:to>
      <xdr:col>13</xdr:col>
      <xdr:colOff>518160</xdr:colOff>
      <xdr:row>194</xdr:row>
      <xdr:rowOff>137160</xdr:rowOff>
    </xdr:to>
    <xdr:grpSp>
      <xdr:nvGrpSpPr>
        <xdr:cNvPr id="2349" name="Group 6745"/>
        <xdr:cNvGrpSpPr>
          <a:grpSpLocks/>
        </xdr:cNvGrpSpPr>
      </xdr:nvGrpSpPr>
      <xdr:grpSpPr bwMode="auto">
        <a:xfrm>
          <a:off x="11511643" y="32567880"/>
          <a:ext cx="403860" cy="455023"/>
          <a:chOff x="971" y="1233"/>
          <a:chExt cx="41" cy="43"/>
        </a:xfrm>
      </xdr:grpSpPr>
      <xdr:sp macro="" textlink="">
        <xdr:nvSpPr>
          <xdr:cNvPr id="2350" name="Rectangle 6746"/>
          <xdr:cNvSpPr>
            <a:spLocks noChangeArrowheads="1"/>
          </xdr:cNvSpPr>
        </xdr:nvSpPr>
        <xdr:spPr bwMode="auto">
          <a:xfrm>
            <a:off x="971" y="1233"/>
            <a:ext cx="41" cy="43"/>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pic>
        <xdr:nvPicPr>
          <xdr:cNvPr id="2351" name="Picture 6747"/>
          <xdr:cNvPicPr>
            <a:picLocks noChangeAspect="1" noChangeArrowheads="1"/>
          </xdr:cNvPicPr>
        </xdr:nvPicPr>
        <xdr:blipFill>
          <a:blip xmlns:r="http://schemas.openxmlformats.org/officeDocument/2006/relationships" r:embed="rId1" cstate="print"/>
          <a:srcRect/>
          <a:stretch>
            <a:fillRect/>
          </a:stretch>
        </xdr:blipFill>
        <xdr:spPr bwMode="auto">
          <a:xfrm>
            <a:off x="978" y="1237"/>
            <a:ext cx="27" cy="37"/>
          </a:xfrm>
          <a:prstGeom prst="rect">
            <a:avLst/>
          </a:prstGeom>
          <a:noFill/>
          <a:ln w="9525">
            <a:noFill/>
            <a:miter lim="800000"/>
            <a:headEnd/>
            <a:tailEnd/>
          </a:ln>
        </xdr:spPr>
      </xdr:pic>
    </xdr:grpSp>
    <xdr:clientData/>
  </xdr:twoCellAnchor>
  <xdr:twoCellAnchor>
    <xdr:from>
      <xdr:col>13</xdr:col>
      <xdr:colOff>114300</xdr:colOff>
      <xdr:row>180</xdr:row>
      <xdr:rowOff>30480</xdr:rowOff>
    </xdr:from>
    <xdr:to>
      <xdr:col>13</xdr:col>
      <xdr:colOff>518160</xdr:colOff>
      <xdr:row>182</xdr:row>
      <xdr:rowOff>137160</xdr:rowOff>
    </xdr:to>
    <xdr:grpSp>
      <xdr:nvGrpSpPr>
        <xdr:cNvPr id="2352" name="Group 6748"/>
        <xdr:cNvGrpSpPr>
          <a:grpSpLocks/>
        </xdr:cNvGrpSpPr>
      </xdr:nvGrpSpPr>
      <xdr:grpSpPr bwMode="auto">
        <a:xfrm>
          <a:off x="11511643" y="30434280"/>
          <a:ext cx="403860" cy="455023"/>
          <a:chOff x="971" y="1233"/>
          <a:chExt cx="41" cy="43"/>
        </a:xfrm>
      </xdr:grpSpPr>
      <xdr:sp macro="" textlink="">
        <xdr:nvSpPr>
          <xdr:cNvPr id="2353" name="Rectangle 6749"/>
          <xdr:cNvSpPr>
            <a:spLocks noChangeArrowheads="1"/>
          </xdr:cNvSpPr>
        </xdr:nvSpPr>
        <xdr:spPr bwMode="auto">
          <a:xfrm>
            <a:off x="971" y="1233"/>
            <a:ext cx="41" cy="43"/>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pic>
        <xdr:nvPicPr>
          <xdr:cNvPr id="2354" name="Picture 6750"/>
          <xdr:cNvPicPr>
            <a:picLocks noChangeAspect="1" noChangeArrowheads="1"/>
          </xdr:cNvPicPr>
        </xdr:nvPicPr>
        <xdr:blipFill>
          <a:blip xmlns:r="http://schemas.openxmlformats.org/officeDocument/2006/relationships" r:embed="rId1" cstate="print"/>
          <a:srcRect/>
          <a:stretch>
            <a:fillRect/>
          </a:stretch>
        </xdr:blipFill>
        <xdr:spPr bwMode="auto">
          <a:xfrm>
            <a:off x="978" y="1237"/>
            <a:ext cx="27" cy="37"/>
          </a:xfrm>
          <a:prstGeom prst="rect">
            <a:avLst/>
          </a:prstGeom>
          <a:noFill/>
          <a:ln w="9525">
            <a:noFill/>
            <a:miter lim="800000"/>
            <a:headEnd/>
            <a:tailEnd/>
          </a:ln>
        </xdr:spPr>
      </xdr:pic>
    </xdr:grpSp>
    <xdr:clientData/>
  </xdr:twoCellAnchor>
  <xdr:twoCellAnchor>
    <xdr:from>
      <xdr:col>13</xdr:col>
      <xdr:colOff>114300</xdr:colOff>
      <xdr:row>174</xdr:row>
      <xdr:rowOff>30480</xdr:rowOff>
    </xdr:from>
    <xdr:to>
      <xdr:col>13</xdr:col>
      <xdr:colOff>518160</xdr:colOff>
      <xdr:row>176</xdr:row>
      <xdr:rowOff>137160</xdr:rowOff>
    </xdr:to>
    <xdr:grpSp>
      <xdr:nvGrpSpPr>
        <xdr:cNvPr id="2355" name="Group 6751"/>
        <xdr:cNvGrpSpPr>
          <a:grpSpLocks/>
        </xdr:cNvGrpSpPr>
      </xdr:nvGrpSpPr>
      <xdr:grpSpPr bwMode="auto">
        <a:xfrm>
          <a:off x="11511643" y="29367480"/>
          <a:ext cx="403860" cy="455023"/>
          <a:chOff x="971" y="1233"/>
          <a:chExt cx="41" cy="43"/>
        </a:xfrm>
      </xdr:grpSpPr>
      <xdr:sp macro="" textlink="">
        <xdr:nvSpPr>
          <xdr:cNvPr id="2356" name="Rectangle 6752"/>
          <xdr:cNvSpPr>
            <a:spLocks noChangeArrowheads="1"/>
          </xdr:cNvSpPr>
        </xdr:nvSpPr>
        <xdr:spPr bwMode="auto">
          <a:xfrm>
            <a:off x="971" y="1233"/>
            <a:ext cx="41" cy="43"/>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pic>
        <xdr:nvPicPr>
          <xdr:cNvPr id="2357" name="Picture 6753"/>
          <xdr:cNvPicPr>
            <a:picLocks noChangeAspect="1" noChangeArrowheads="1"/>
          </xdr:cNvPicPr>
        </xdr:nvPicPr>
        <xdr:blipFill>
          <a:blip xmlns:r="http://schemas.openxmlformats.org/officeDocument/2006/relationships" r:embed="rId1" cstate="print"/>
          <a:srcRect/>
          <a:stretch>
            <a:fillRect/>
          </a:stretch>
        </xdr:blipFill>
        <xdr:spPr bwMode="auto">
          <a:xfrm>
            <a:off x="978" y="1237"/>
            <a:ext cx="27" cy="37"/>
          </a:xfrm>
          <a:prstGeom prst="rect">
            <a:avLst/>
          </a:prstGeom>
          <a:noFill/>
          <a:ln w="9525">
            <a:noFill/>
            <a:miter lim="800000"/>
            <a:headEnd/>
            <a:tailEnd/>
          </a:ln>
        </xdr:spPr>
      </xdr:pic>
    </xdr:grpSp>
    <xdr:clientData/>
  </xdr:twoCellAnchor>
  <xdr:twoCellAnchor>
    <xdr:from>
      <xdr:col>13</xdr:col>
      <xdr:colOff>114300</xdr:colOff>
      <xdr:row>171</xdr:row>
      <xdr:rowOff>30480</xdr:rowOff>
    </xdr:from>
    <xdr:to>
      <xdr:col>13</xdr:col>
      <xdr:colOff>518160</xdr:colOff>
      <xdr:row>173</xdr:row>
      <xdr:rowOff>137160</xdr:rowOff>
    </xdr:to>
    <xdr:grpSp>
      <xdr:nvGrpSpPr>
        <xdr:cNvPr id="2358" name="Group 6754"/>
        <xdr:cNvGrpSpPr>
          <a:grpSpLocks/>
        </xdr:cNvGrpSpPr>
      </xdr:nvGrpSpPr>
      <xdr:grpSpPr bwMode="auto">
        <a:xfrm>
          <a:off x="11511643" y="28834080"/>
          <a:ext cx="403860" cy="455023"/>
          <a:chOff x="971" y="1233"/>
          <a:chExt cx="41" cy="43"/>
        </a:xfrm>
      </xdr:grpSpPr>
      <xdr:sp macro="" textlink="">
        <xdr:nvSpPr>
          <xdr:cNvPr id="2359" name="Rectangle 6755"/>
          <xdr:cNvSpPr>
            <a:spLocks noChangeArrowheads="1"/>
          </xdr:cNvSpPr>
        </xdr:nvSpPr>
        <xdr:spPr bwMode="auto">
          <a:xfrm>
            <a:off x="971" y="1233"/>
            <a:ext cx="41" cy="43"/>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pic>
        <xdr:nvPicPr>
          <xdr:cNvPr id="2360" name="Picture 6756"/>
          <xdr:cNvPicPr>
            <a:picLocks noChangeAspect="1" noChangeArrowheads="1"/>
          </xdr:cNvPicPr>
        </xdr:nvPicPr>
        <xdr:blipFill>
          <a:blip xmlns:r="http://schemas.openxmlformats.org/officeDocument/2006/relationships" r:embed="rId1" cstate="print"/>
          <a:srcRect/>
          <a:stretch>
            <a:fillRect/>
          </a:stretch>
        </xdr:blipFill>
        <xdr:spPr bwMode="auto">
          <a:xfrm>
            <a:off x="978" y="1237"/>
            <a:ext cx="27" cy="37"/>
          </a:xfrm>
          <a:prstGeom prst="rect">
            <a:avLst/>
          </a:prstGeom>
          <a:noFill/>
          <a:ln w="9525">
            <a:noFill/>
            <a:miter lim="800000"/>
            <a:headEnd/>
            <a:tailEnd/>
          </a:ln>
        </xdr:spPr>
      </xdr:pic>
    </xdr:grpSp>
    <xdr:clientData/>
  </xdr:twoCellAnchor>
  <xdr:twoCellAnchor>
    <xdr:from>
      <xdr:col>13</xdr:col>
      <xdr:colOff>114300</xdr:colOff>
      <xdr:row>168</xdr:row>
      <xdr:rowOff>30480</xdr:rowOff>
    </xdr:from>
    <xdr:to>
      <xdr:col>13</xdr:col>
      <xdr:colOff>518160</xdr:colOff>
      <xdr:row>170</xdr:row>
      <xdr:rowOff>137160</xdr:rowOff>
    </xdr:to>
    <xdr:grpSp>
      <xdr:nvGrpSpPr>
        <xdr:cNvPr id="2361" name="Group 6757"/>
        <xdr:cNvGrpSpPr>
          <a:grpSpLocks/>
        </xdr:cNvGrpSpPr>
      </xdr:nvGrpSpPr>
      <xdr:grpSpPr bwMode="auto">
        <a:xfrm>
          <a:off x="11511643" y="28300680"/>
          <a:ext cx="403860" cy="455023"/>
          <a:chOff x="971" y="1233"/>
          <a:chExt cx="41" cy="43"/>
        </a:xfrm>
      </xdr:grpSpPr>
      <xdr:sp macro="" textlink="">
        <xdr:nvSpPr>
          <xdr:cNvPr id="2362" name="Rectangle 6758"/>
          <xdr:cNvSpPr>
            <a:spLocks noChangeArrowheads="1"/>
          </xdr:cNvSpPr>
        </xdr:nvSpPr>
        <xdr:spPr bwMode="auto">
          <a:xfrm>
            <a:off x="971" y="1233"/>
            <a:ext cx="41" cy="43"/>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pic>
        <xdr:nvPicPr>
          <xdr:cNvPr id="2363" name="Picture 6759"/>
          <xdr:cNvPicPr>
            <a:picLocks noChangeAspect="1" noChangeArrowheads="1"/>
          </xdr:cNvPicPr>
        </xdr:nvPicPr>
        <xdr:blipFill>
          <a:blip xmlns:r="http://schemas.openxmlformats.org/officeDocument/2006/relationships" r:embed="rId1" cstate="print"/>
          <a:srcRect/>
          <a:stretch>
            <a:fillRect/>
          </a:stretch>
        </xdr:blipFill>
        <xdr:spPr bwMode="auto">
          <a:xfrm>
            <a:off x="978" y="1237"/>
            <a:ext cx="27" cy="37"/>
          </a:xfrm>
          <a:prstGeom prst="rect">
            <a:avLst/>
          </a:prstGeom>
          <a:noFill/>
          <a:ln w="9525">
            <a:noFill/>
            <a:miter lim="800000"/>
            <a:headEnd/>
            <a:tailEnd/>
          </a:ln>
        </xdr:spPr>
      </xdr:pic>
    </xdr:grpSp>
    <xdr:clientData/>
  </xdr:twoCellAnchor>
  <xdr:twoCellAnchor>
    <xdr:from>
      <xdr:col>13</xdr:col>
      <xdr:colOff>114300</xdr:colOff>
      <xdr:row>195</xdr:row>
      <xdr:rowOff>30480</xdr:rowOff>
    </xdr:from>
    <xdr:to>
      <xdr:col>13</xdr:col>
      <xdr:colOff>518160</xdr:colOff>
      <xdr:row>197</xdr:row>
      <xdr:rowOff>137160</xdr:rowOff>
    </xdr:to>
    <xdr:grpSp>
      <xdr:nvGrpSpPr>
        <xdr:cNvPr id="2364" name="Group 6763"/>
        <xdr:cNvGrpSpPr>
          <a:grpSpLocks/>
        </xdr:cNvGrpSpPr>
      </xdr:nvGrpSpPr>
      <xdr:grpSpPr bwMode="auto">
        <a:xfrm>
          <a:off x="11511643" y="33101280"/>
          <a:ext cx="403860" cy="455023"/>
          <a:chOff x="971" y="1233"/>
          <a:chExt cx="41" cy="43"/>
        </a:xfrm>
      </xdr:grpSpPr>
      <xdr:sp macro="" textlink="">
        <xdr:nvSpPr>
          <xdr:cNvPr id="2365" name="Rectangle 6764"/>
          <xdr:cNvSpPr>
            <a:spLocks noChangeArrowheads="1"/>
          </xdr:cNvSpPr>
        </xdr:nvSpPr>
        <xdr:spPr bwMode="auto">
          <a:xfrm>
            <a:off x="971" y="1233"/>
            <a:ext cx="41" cy="43"/>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pic>
        <xdr:nvPicPr>
          <xdr:cNvPr id="2366" name="Picture 6765"/>
          <xdr:cNvPicPr>
            <a:picLocks noChangeAspect="1" noChangeArrowheads="1"/>
          </xdr:cNvPicPr>
        </xdr:nvPicPr>
        <xdr:blipFill>
          <a:blip xmlns:r="http://schemas.openxmlformats.org/officeDocument/2006/relationships" r:embed="rId1" cstate="print"/>
          <a:srcRect/>
          <a:stretch>
            <a:fillRect/>
          </a:stretch>
        </xdr:blipFill>
        <xdr:spPr bwMode="auto">
          <a:xfrm>
            <a:off x="978" y="1237"/>
            <a:ext cx="27" cy="37"/>
          </a:xfrm>
          <a:prstGeom prst="rect">
            <a:avLst/>
          </a:prstGeom>
          <a:noFill/>
          <a:ln w="9525">
            <a:noFill/>
            <a:miter lim="800000"/>
            <a:headEnd/>
            <a:tailEnd/>
          </a:ln>
        </xdr:spPr>
      </xdr:pic>
    </xdr:grpSp>
    <xdr:clientData/>
  </xdr:twoCellAnchor>
  <xdr:twoCellAnchor>
    <xdr:from>
      <xdr:col>13</xdr:col>
      <xdr:colOff>114300</xdr:colOff>
      <xdr:row>72</xdr:row>
      <xdr:rowOff>30480</xdr:rowOff>
    </xdr:from>
    <xdr:to>
      <xdr:col>13</xdr:col>
      <xdr:colOff>518160</xdr:colOff>
      <xdr:row>74</xdr:row>
      <xdr:rowOff>137160</xdr:rowOff>
    </xdr:to>
    <xdr:grpSp>
      <xdr:nvGrpSpPr>
        <xdr:cNvPr id="2373" name="Group 6772"/>
        <xdr:cNvGrpSpPr>
          <a:grpSpLocks/>
        </xdr:cNvGrpSpPr>
      </xdr:nvGrpSpPr>
      <xdr:grpSpPr bwMode="auto">
        <a:xfrm>
          <a:off x="11511643" y="11231880"/>
          <a:ext cx="403860" cy="455023"/>
          <a:chOff x="971" y="1233"/>
          <a:chExt cx="41" cy="43"/>
        </a:xfrm>
      </xdr:grpSpPr>
      <xdr:sp macro="" textlink="">
        <xdr:nvSpPr>
          <xdr:cNvPr id="2374" name="Rectangle 6773"/>
          <xdr:cNvSpPr>
            <a:spLocks noChangeArrowheads="1"/>
          </xdr:cNvSpPr>
        </xdr:nvSpPr>
        <xdr:spPr bwMode="auto">
          <a:xfrm>
            <a:off x="971" y="1233"/>
            <a:ext cx="41" cy="43"/>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pic>
        <xdr:nvPicPr>
          <xdr:cNvPr id="2375" name="Picture 6774"/>
          <xdr:cNvPicPr>
            <a:picLocks noChangeAspect="1" noChangeArrowheads="1"/>
          </xdr:cNvPicPr>
        </xdr:nvPicPr>
        <xdr:blipFill>
          <a:blip xmlns:r="http://schemas.openxmlformats.org/officeDocument/2006/relationships" r:embed="rId1" cstate="print"/>
          <a:srcRect/>
          <a:stretch>
            <a:fillRect/>
          </a:stretch>
        </xdr:blipFill>
        <xdr:spPr bwMode="auto">
          <a:xfrm>
            <a:off x="978" y="1237"/>
            <a:ext cx="27" cy="37"/>
          </a:xfrm>
          <a:prstGeom prst="rect">
            <a:avLst/>
          </a:prstGeom>
          <a:noFill/>
          <a:ln w="9525">
            <a:noFill/>
            <a:miter lim="800000"/>
            <a:headEnd/>
            <a:tailEnd/>
          </a:ln>
        </xdr:spPr>
      </xdr:pic>
    </xdr:grpSp>
    <xdr:clientData/>
  </xdr:twoCellAnchor>
  <xdr:twoCellAnchor>
    <xdr:from>
      <xdr:col>4</xdr:col>
      <xdr:colOff>541020</xdr:colOff>
      <xdr:row>189</xdr:row>
      <xdr:rowOff>76200</xdr:rowOff>
    </xdr:from>
    <xdr:to>
      <xdr:col>4</xdr:col>
      <xdr:colOff>647700</xdr:colOff>
      <xdr:row>191</xdr:row>
      <xdr:rowOff>83820</xdr:rowOff>
    </xdr:to>
    <xdr:grpSp>
      <xdr:nvGrpSpPr>
        <xdr:cNvPr id="2616" name="Group 7018"/>
        <xdr:cNvGrpSpPr>
          <a:grpSpLocks/>
        </xdr:cNvGrpSpPr>
      </xdr:nvGrpSpPr>
      <xdr:grpSpPr bwMode="auto">
        <a:xfrm>
          <a:off x="5319849" y="32080200"/>
          <a:ext cx="106680" cy="355963"/>
          <a:chOff x="3771" y="1155"/>
          <a:chExt cx="4759" cy="14934"/>
        </a:xfrm>
      </xdr:grpSpPr>
      <xdr:sp macro="" textlink="">
        <xdr:nvSpPr>
          <xdr:cNvPr id="2617" name="Oval 7019"/>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2618" name="Arc 7020"/>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2619" name="Arc 7021"/>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2620" name="Line 7022"/>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2621" name="Line 7023"/>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2622" name="Line 7024"/>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2623" name="Line 7025"/>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2624" name="Line 7026"/>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2625" name="Line 7027"/>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2626" name="Line 7028"/>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2627" name="Line 7029"/>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2628" name="Line 7030"/>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2629" name="Line 7031"/>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2630" name="Line 7032"/>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2631" name="Line 7033"/>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2632" name="Line 7034"/>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2633" name="Line 7035"/>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2634" name="Line 7036"/>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2635" name="Line 7037"/>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189</xdr:row>
      <xdr:rowOff>60960</xdr:rowOff>
    </xdr:from>
    <xdr:to>
      <xdr:col>4</xdr:col>
      <xdr:colOff>975360</xdr:colOff>
      <xdr:row>191</xdr:row>
      <xdr:rowOff>83820</xdr:rowOff>
    </xdr:to>
    <xdr:grpSp>
      <xdr:nvGrpSpPr>
        <xdr:cNvPr id="2636" name="Group 7038"/>
        <xdr:cNvGrpSpPr>
          <a:grpSpLocks/>
        </xdr:cNvGrpSpPr>
      </xdr:nvGrpSpPr>
      <xdr:grpSpPr bwMode="auto">
        <a:xfrm>
          <a:off x="5617029" y="32064960"/>
          <a:ext cx="137160" cy="371203"/>
          <a:chOff x="1857" y="2993"/>
          <a:chExt cx="4178" cy="10157"/>
        </a:xfrm>
      </xdr:grpSpPr>
      <xdr:grpSp>
        <xdr:nvGrpSpPr>
          <xdr:cNvPr id="2637" name="Group 7039"/>
          <xdr:cNvGrpSpPr>
            <a:grpSpLocks/>
          </xdr:cNvGrpSpPr>
        </xdr:nvGrpSpPr>
        <xdr:grpSpPr bwMode="auto">
          <a:xfrm rot="1441604">
            <a:off x="4764" y="2993"/>
            <a:ext cx="570" cy="2736"/>
            <a:chOff x="4251" y="2947"/>
            <a:chExt cx="570" cy="2736"/>
          </a:xfrm>
        </xdr:grpSpPr>
        <xdr:sp macro="" textlink="">
          <xdr:nvSpPr>
            <xdr:cNvPr id="2649" name="Line 7040"/>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2650" name="Line 7041"/>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2651" name="Line 7042"/>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2652" name="Line 7043"/>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2638" name="Group 7044"/>
          <xdr:cNvGrpSpPr>
            <a:grpSpLocks/>
          </xdr:cNvGrpSpPr>
        </xdr:nvGrpSpPr>
        <xdr:grpSpPr bwMode="auto">
          <a:xfrm rot="8464448">
            <a:off x="5468" y="5524"/>
            <a:ext cx="569" cy="2733"/>
            <a:chOff x="4677" y="4047"/>
            <a:chExt cx="495" cy="2386"/>
          </a:xfrm>
        </xdr:grpSpPr>
        <xdr:sp macro="" textlink="">
          <xdr:nvSpPr>
            <xdr:cNvPr id="2645" name="Line 7045"/>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2646" name="Line 7046"/>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2647" name="Line 7047"/>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2648" name="Line 7048"/>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2639" name="Group 7049"/>
          <xdr:cNvGrpSpPr>
            <a:grpSpLocks/>
          </xdr:cNvGrpSpPr>
        </xdr:nvGrpSpPr>
        <xdr:grpSpPr bwMode="auto">
          <a:xfrm rot="-5905833">
            <a:off x="2936" y="4830"/>
            <a:ext cx="571" cy="2733"/>
            <a:chOff x="4677" y="4047"/>
            <a:chExt cx="495" cy="2386"/>
          </a:xfrm>
        </xdr:grpSpPr>
        <xdr:sp macro="" textlink="">
          <xdr:nvSpPr>
            <xdr:cNvPr id="2641" name="Line 7050"/>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2642" name="Line 7051"/>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2643" name="Line 7052"/>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2644" name="Line 7053"/>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2640" name="AutoShape 7054"/>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189</xdr:row>
      <xdr:rowOff>76200</xdr:rowOff>
    </xdr:from>
    <xdr:to>
      <xdr:col>4</xdr:col>
      <xdr:colOff>342900</xdr:colOff>
      <xdr:row>191</xdr:row>
      <xdr:rowOff>83820</xdr:rowOff>
    </xdr:to>
    <xdr:grpSp>
      <xdr:nvGrpSpPr>
        <xdr:cNvPr id="2653" name="Group 7055"/>
        <xdr:cNvGrpSpPr>
          <a:grpSpLocks/>
        </xdr:cNvGrpSpPr>
      </xdr:nvGrpSpPr>
      <xdr:grpSpPr bwMode="auto">
        <a:xfrm>
          <a:off x="4885509" y="32080200"/>
          <a:ext cx="236220" cy="355963"/>
          <a:chOff x="5163" y="2548"/>
          <a:chExt cx="2109" cy="2909"/>
        </a:xfrm>
      </xdr:grpSpPr>
      <xdr:sp macro="" textlink="">
        <xdr:nvSpPr>
          <xdr:cNvPr id="2654" name="Rectangle 7056"/>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2655" name="Line 7057"/>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2656" name="Line 7058"/>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2657" name="Line 7059"/>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2658" name="Line 7060"/>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2659" name="Line 7061"/>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2660" name="Line 7062"/>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2661" name="Line 7063"/>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2662" name="Line 7064"/>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2663" name="Line 7065"/>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2664" name="Line 7066"/>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2665" name="Line 7067"/>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2666" name="Line 7068"/>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2667" name="Line 7069"/>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189</xdr:row>
      <xdr:rowOff>114300</xdr:rowOff>
    </xdr:from>
    <xdr:to>
      <xdr:col>4</xdr:col>
      <xdr:colOff>1478280</xdr:colOff>
      <xdr:row>191</xdr:row>
      <xdr:rowOff>121920</xdr:rowOff>
    </xdr:to>
    <xdr:grpSp>
      <xdr:nvGrpSpPr>
        <xdr:cNvPr id="2668" name="Group 7070"/>
        <xdr:cNvGrpSpPr>
          <a:grpSpLocks/>
        </xdr:cNvGrpSpPr>
      </xdr:nvGrpSpPr>
      <xdr:grpSpPr bwMode="auto">
        <a:xfrm>
          <a:off x="5952309" y="32118300"/>
          <a:ext cx="304800" cy="355963"/>
          <a:chOff x="5238" y="4632"/>
          <a:chExt cx="1597" cy="1311"/>
        </a:xfrm>
      </xdr:grpSpPr>
      <xdr:sp macro="" textlink="">
        <xdr:nvSpPr>
          <xdr:cNvPr id="2669" name="Line 7071"/>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2670" name="Line 7072"/>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2671" name="Line 7073"/>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2672" name="Line 7074"/>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2673" name="Line 7075"/>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2674" name="Line 7076"/>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2675" name="Line 7077"/>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13</xdr:col>
      <xdr:colOff>114300</xdr:colOff>
      <xdr:row>189</xdr:row>
      <xdr:rowOff>30480</xdr:rowOff>
    </xdr:from>
    <xdr:to>
      <xdr:col>13</xdr:col>
      <xdr:colOff>518160</xdr:colOff>
      <xdr:row>191</xdr:row>
      <xdr:rowOff>137160</xdr:rowOff>
    </xdr:to>
    <xdr:grpSp>
      <xdr:nvGrpSpPr>
        <xdr:cNvPr id="2676" name="Group 7078"/>
        <xdr:cNvGrpSpPr>
          <a:grpSpLocks/>
        </xdr:cNvGrpSpPr>
      </xdr:nvGrpSpPr>
      <xdr:grpSpPr bwMode="auto">
        <a:xfrm>
          <a:off x="11511643" y="32034480"/>
          <a:ext cx="403860" cy="455023"/>
          <a:chOff x="971" y="1233"/>
          <a:chExt cx="41" cy="43"/>
        </a:xfrm>
      </xdr:grpSpPr>
      <xdr:sp macro="" textlink="">
        <xdr:nvSpPr>
          <xdr:cNvPr id="2677" name="Rectangle 7079"/>
          <xdr:cNvSpPr>
            <a:spLocks noChangeArrowheads="1"/>
          </xdr:cNvSpPr>
        </xdr:nvSpPr>
        <xdr:spPr bwMode="auto">
          <a:xfrm>
            <a:off x="971" y="1233"/>
            <a:ext cx="41" cy="43"/>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pic>
        <xdr:nvPicPr>
          <xdr:cNvPr id="2678" name="Picture 7080"/>
          <xdr:cNvPicPr>
            <a:picLocks noChangeAspect="1" noChangeArrowheads="1"/>
          </xdr:cNvPicPr>
        </xdr:nvPicPr>
        <xdr:blipFill>
          <a:blip xmlns:r="http://schemas.openxmlformats.org/officeDocument/2006/relationships" r:embed="rId1" cstate="print"/>
          <a:srcRect/>
          <a:stretch>
            <a:fillRect/>
          </a:stretch>
        </xdr:blipFill>
        <xdr:spPr bwMode="auto">
          <a:xfrm>
            <a:off x="978" y="1237"/>
            <a:ext cx="27" cy="37"/>
          </a:xfrm>
          <a:prstGeom prst="rect">
            <a:avLst/>
          </a:prstGeom>
          <a:noFill/>
          <a:ln w="9525">
            <a:noFill/>
            <a:miter lim="800000"/>
            <a:headEnd/>
            <a:tailEnd/>
          </a:ln>
        </xdr:spPr>
      </xdr:pic>
    </xdr:grpSp>
    <xdr:clientData/>
  </xdr:twoCellAnchor>
  <xdr:twoCellAnchor>
    <xdr:from>
      <xdr:col>13</xdr:col>
      <xdr:colOff>114300</xdr:colOff>
      <xdr:row>189</xdr:row>
      <xdr:rowOff>30480</xdr:rowOff>
    </xdr:from>
    <xdr:to>
      <xdr:col>13</xdr:col>
      <xdr:colOff>518160</xdr:colOff>
      <xdr:row>191</xdr:row>
      <xdr:rowOff>137160</xdr:rowOff>
    </xdr:to>
    <xdr:grpSp>
      <xdr:nvGrpSpPr>
        <xdr:cNvPr id="2679" name="Group 7084"/>
        <xdr:cNvGrpSpPr>
          <a:grpSpLocks/>
        </xdr:cNvGrpSpPr>
      </xdr:nvGrpSpPr>
      <xdr:grpSpPr bwMode="auto">
        <a:xfrm>
          <a:off x="11511643" y="32034480"/>
          <a:ext cx="403860" cy="455023"/>
          <a:chOff x="971" y="1233"/>
          <a:chExt cx="41" cy="43"/>
        </a:xfrm>
      </xdr:grpSpPr>
      <xdr:sp macro="" textlink="">
        <xdr:nvSpPr>
          <xdr:cNvPr id="2680" name="Rectangle 7085"/>
          <xdr:cNvSpPr>
            <a:spLocks noChangeArrowheads="1"/>
          </xdr:cNvSpPr>
        </xdr:nvSpPr>
        <xdr:spPr bwMode="auto">
          <a:xfrm>
            <a:off x="971" y="1233"/>
            <a:ext cx="41" cy="43"/>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pic>
        <xdr:nvPicPr>
          <xdr:cNvPr id="2681" name="Picture 7086"/>
          <xdr:cNvPicPr>
            <a:picLocks noChangeAspect="1" noChangeArrowheads="1"/>
          </xdr:cNvPicPr>
        </xdr:nvPicPr>
        <xdr:blipFill>
          <a:blip xmlns:r="http://schemas.openxmlformats.org/officeDocument/2006/relationships" r:embed="rId1" cstate="print"/>
          <a:srcRect/>
          <a:stretch>
            <a:fillRect/>
          </a:stretch>
        </xdr:blipFill>
        <xdr:spPr bwMode="auto">
          <a:xfrm>
            <a:off x="978" y="1237"/>
            <a:ext cx="27" cy="37"/>
          </a:xfrm>
          <a:prstGeom prst="rect">
            <a:avLst/>
          </a:prstGeom>
          <a:noFill/>
          <a:ln w="9525">
            <a:noFill/>
            <a:miter lim="800000"/>
            <a:headEnd/>
            <a:tailEnd/>
          </a:ln>
        </xdr:spPr>
      </xdr:pic>
    </xdr:grpSp>
    <xdr:clientData/>
  </xdr:twoCellAnchor>
  <xdr:twoCellAnchor>
    <xdr:from>
      <xdr:col>4</xdr:col>
      <xdr:colOff>541020</xdr:colOff>
      <xdr:row>105</xdr:row>
      <xdr:rowOff>76200</xdr:rowOff>
    </xdr:from>
    <xdr:to>
      <xdr:col>4</xdr:col>
      <xdr:colOff>647700</xdr:colOff>
      <xdr:row>107</xdr:row>
      <xdr:rowOff>83820</xdr:rowOff>
    </xdr:to>
    <xdr:grpSp>
      <xdr:nvGrpSpPr>
        <xdr:cNvPr id="2682" name="Group 7087"/>
        <xdr:cNvGrpSpPr>
          <a:grpSpLocks/>
        </xdr:cNvGrpSpPr>
      </xdr:nvGrpSpPr>
      <xdr:grpSpPr bwMode="auto">
        <a:xfrm>
          <a:off x="5319849" y="17145000"/>
          <a:ext cx="106680" cy="355963"/>
          <a:chOff x="3771" y="1155"/>
          <a:chExt cx="4759" cy="14934"/>
        </a:xfrm>
      </xdr:grpSpPr>
      <xdr:sp macro="" textlink="">
        <xdr:nvSpPr>
          <xdr:cNvPr id="2683" name="Oval 7088"/>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2684" name="Arc 7089"/>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2685" name="Arc 7090"/>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2686" name="Line 7091"/>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2687" name="Line 7092"/>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2688" name="Line 7093"/>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2689" name="Line 7094"/>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2690" name="Line 7095"/>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2691" name="Line 7096"/>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2692" name="Line 7097"/>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2693" name="Line 7098"/>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2694" name="Line 7099"/>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2695" name="Line 7100"/>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2696" name="Line 7101"/>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2697" name="Line 7102"/>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2698" name="Line 7103"/>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2699" name="Line 7104"/>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2700" name="Line 7105"/>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2701" name="Line 7106"/>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105</xdr:row>
      <xdr:rowOff>60960</xdr:rowOff>
    </xdr:from>
    <xdr:to>
      <xdr:col>4</xdr:col>
      <xdr:colOff>975360</xdr:colOff>
      <xdr:row>107</xdr:row>
      <xdr:rowOff>83820</xdr:rowOff>
    </xdr:to>
    <xdr:grpSp>
      <xdr:nvGrpSpPr>
        <xdr:cNvPr id="2702" name="Group 7107"/>
        <xdr:cNvGrpSpPr>
          <a:grpSpLocks/>
        </xdr:cNvGrpSpPr>
      </xdr:nvGrpSpPr>
      <xdr:grpSpPr bwMode="auto">
        <a:xfrm>
          <a:off x="5617029" y="17129760"/>
          <a:ext cx="137160" cy="371203"/>
          <a:chOff x="1857" y="2993"/>
          <a:chExt cx="4178" cy="10157"/>
        </a:xfrm>
      </xdr:grpSpPr>
      <xdr:grpSp>
        <xdr:nvGrpSpPr>
          <xdr:cNvPr id="2703" name="Group 7108"/>
          <xdr:cNvGrpSpPr>
            <a:grpSpLocks/>
          </xdr:cNvGrpSpPr>
        </xdr:nvGrpSpPr>
        <xdr:grpSpPr bwMode="auto">
          <a:xfrm rot="1441604">
            <a:off x="4764" y="2993"/>
            <a:ext cx="570" cy="2736"/>
            <a:chOff x="4251" y="2947"/>
            <a:chExt cx="570" cy="2736"/>
          </a:xfrm>
        </xdr:grpSpPr>
        <xdr:sp macro="" textlink="">
          <xdr:nvSpPr>
            <xdr:cNvPr id="2715" name="Line 7109"/>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2716" name="Line 7110"/>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2717" name="Line 7111"/>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2718" name="Line 7112"/>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2704" name="Group 7113"/>
          <xdr:cNvGrpSpPr>
            <a:grpSpLocks/>
          </xdr:cNvGrpSpPr>
        </xdr:nvGrpSpPr>
        <xdr:grpSpPr bwMode="auto">
          <a:xfrm rot="8464448">
            <a:off x="5468" y="5524"/>
            <a:ext cx="569" cy="2733"/>
            <a:chOff x="4677" y="4047"/>
            <a:chExt cx="495" cy="2386"/>
          </a:xfrm>
        </xdr:grpSpPr>
        <xdr:sp macro="" textlink="">
          <xdr:nvSpPr>
            <xdr:cNvPr id="2711" name="Line 7114"/>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2712" name="Line 7115"/>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2713" name="Line 7116"/>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2714" name="Line 7117"/>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2705" name="Group 7118"/>
          <xdr:cNvGrpSpPr>
            <a:grpSpLocks/>
          </xdr:cNvGrpSpPr>
        </xdr:nvGrpSpPr>
        <xdr:grpSpPr bwMode="auto">
          <a:xfrm rot="-5905833">
            <a:off x="2936" y="4830"/>
            <a:ext cx="571" cy="2733"/>
            <a:chOff x="4677" y="4047"/>
            <a:chExt cx="495" cy="2386"/>
          </a:xfrm>
        </xdr:grpSpPr>
        <xdr:sp macro="" textlink="">
          <xdr:nvSpPr>
            <xdr:cNvPr id="2707" name="Line 7119"/>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2708" name="Line 7120"/>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2709" name="Line 7121"/>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2710" name="Line 7122"/>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2706" name="AutoShape 7123"/>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105</xdr:row>
      <xdr:rowOff>76200</xdr:rowOff>
    </xdr:from>
    <xdr:to>
      <xdr:col>4</xdr:col>
      <xdr:colOff>342900</xdr:colOff>
      <xdr:row>107</xdr:row>
      <xdr:rowOff>83820</xdr:rowOff>
    </xdr:to>
    <xdr:grpSp>
      <xdr:nvGrpSpPr>
        <xdr:cNvPr id="2719" name="Group 7124"/>
        <xdr:cNvGrpSpPr>
          <a:grpSpLocks/>
        </xdr:cNvGrpSpPr>
      </xdr:nvGrpSpPr>
      <xdr:grpSpPr bwMode="auto">
        <a:xfrm>
          <a:off x="4885509" y="17145000"/>
          <a:ext cx="236220" cy="355963"/>
          <a:chOff x="5163" y="2548"/>
          <a:chExt cx="2109" cy="2909"/>
        </a:xfrm>
      </xdr:grpSpPr>
      <xdr:sp macro="" textlink="">
        <xdr:nvSpPr>
          <xdr:cNvPr id="2720" name="Rectangle 7125"/>
          <xdr:cNvSpPr>
            <a:spLocks noChangeArrowheads="1"/>
          </xdr:cNvSpPr>
        </xdr:nvSpPr>
        <xdr:spPr bwMode="auto">
          <a:xfrm>
            <a:off x="5163" y="2548"/>
            <a:ext cx="1938" cy="2736"/>
          </a:xfrm>
          <a:prstGeom prst="rect">
            <a:avLst/>
          </a:prstGeom>
          <a:solidFill>
            <a:srgbClr val="FFFFFF"/>
          </a:solidFill>
          <a:ln w="9525" algn="ctr">
            <a:solidFill>
              <a:srgbClr val="FF0000"/>
            </a:solidFill>
            <a:miter lim="800000"/>
            <a:headEnd/>
            <a:tailEnd/>
          </a:ln>
        </xdr:spPr>
      </xdr:sp>
      <xdr:sp macro="" textlink="">
        <xdr:nvSpPr>
          <xdr:cNvPr id="2721" name="Line 7126"/>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2722" name="Line 7127"/>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2723" name="Line 7128"/>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2724" name="Line 7129"/>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2725" name="Line 7130"/>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2726" name="Line 7131"/>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2727" name="Line 7132"/>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2728" name="Line 7133"/>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2729" name="Line 7134"/>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2730" name="Line 7135"/>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2731" name="Line 7136"/>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2732" name="Line 7137"/>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2733" name="Line 7138"/>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105</xdr:row>
      <xdr:rowOff>114300</xdr:rowOff>
    </xdr:from>
    <xdr:to>
      <xdr:col>4</xdr:col>
      <xdr:colOff>1478280</xdr:colOff>
      <xdr:row>107</xdr:row>
      <xdr:rowOff>121920</xdr:rowOff>
    </xdr:to>
    <xdr:grpSp>
      <xdr:nvGrpSpPr>
        <xdr:cNvPr id="2734" name="Group 7139"/>
        <xdr:cNvGrpSpPr>
          <a:grpSpLocks/>
        </xdr:cNvGrpSpPr>
      </xdr:nvGrpSpPr>
      <xdr:grpSpPr bwMode="auto">
        <a:xfrm>
          <a:off x="5952309" y="17183100"/>
          <a:ext cx="304800" cy="355963"/>
          <a:chOff x="5238" y="4632"/>
          <a:chExt cx="1597" cy="1311"/>
        </a:xfrm>
      </xdr:grpSpPr>
      <xdr:sp macro="" textlink="">
        <xdr:nvSpPr>
          <xdr:cNvPr id="2735" name="Line 7140"/>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2736" name="Line 7141"/>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2737" name="Line 7142"/>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2738" name="Line 7143"/>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2739" name="Line 7144"/>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2740" name="Line 7145"/>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2741" name="Line 7146"/>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108</xdr:row>
      <xdr:rowOff>76200</xdr:rowOff>
    </xdr:from>
    <xdr:to>
      <xdr:col>4</xdr:col>
      <xdr:colOff>647700</xdr:colOff>
      <xdr:row>110</xdr:row>
      <xdr:rowOff>83820</xdr:rowOff>
    </xdr:to>
    <xdr:grpSp>
      <xdr:nvGrpSpPr>
        <xdr:cNvPr id="2742" name="Group 7147"/>
        <xdr:cNvGrpSpPr>
          <a:grpSpLocks/>
        </xdr:cNvGrpSpPr>
      </xdr:nvGrpSpPr>
      <xdr:grpSpPr bwMode="auto">
        <a:xfrm>
          <a:off x="5319849" y="17678400"/>
          <a:ext cx="106680" cy="355963"/>
          <a:chOff x="3771" y="1155"/>
          <a:chExt cx="4759" cy="14934"/>
        </a:xfrm>
      </xdr:grpSpPr>
      <xdr:sp macro="" textlink="">
        <xdr:nvSpPr>
          <xdr:cNvPr id="2743" name="Oval 7148"/>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2744" name="Arc 7149"/>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2745" name="Arc 7150"/>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2746" name="Line 7151"/>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2747" name="Line 7152"/>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2748" name="Line 7153"/>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2749" name="Line 7154"/>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2750" name="Line 7155"/>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2751" name="Line 7156"/>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2752" name="Line 7157"/>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2753" name="Line 7158"/>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2754" name="Line 7159"/>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2755" name="Line 7160"/>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2756" name="Line 7161"/>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2757" name="Line 7162"/>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2758" name="Line 7163"/>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2759" name="Line 7164"/>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2760" name="Line 7165"/>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2761" name="Line 7166"/>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108</xdr:row>
      <xdr:rowOff>60960</xdr:rowOff>
    </xdr:from>
    <xdr:to>
      <xdr:col>4</xdr:col>
      <xdr:colOff>975360</xdr:colOff>
      <xdr:row>110</xdr:row>
      <xdr:rowOff>83820</xdr:rowOff>
    </xdr:to>
    <xdr:grpSp>
      <xdr:nvGrpSpPr>
        <xdr:cNvPr id="2762" name="Group 7167"/>
        <xdr:cNvGrpSpPr>
          <a:grpSpLocks/>
        </xdr:cNvGrpSpPr>
      </xdr:nvGrpSpPr>
      <xdr:grpSpPr bwMode="auto">
        <a:xfrm>
          <a:off x="5617029" y="17663160"/>
          <a:ext cx="137160" cy="371203"/>
          <a:chOff x="1857" y="2993"/>
          <a:chExt cx="4178" cy="10157"/>
        </a:xfrm>
      </xdr:grpSpPr>
      <xdr:grpSp>
        <xdr:nvGrpSpPr>
          <xdr:cNvPr id="2763" name="Group 7168"/>
          <xdr:cNvGrpSpPr>
            <a:grpSpLocks/>
          </xdr:cNvGrpSpPr>
        </xdr:nvGrpSpPr>
        <xdr:grpSpPr bwMode="auto">
          <a:xfrm rot="1441604">
            <a:off x="4764" y="2993"/>
            <a:ext cx="570" cy="2736"/>
            <a:chOff x="4251" y="2947"/>
            <a:chExt cx="570" cy="2736"/>
          </a:xfrm>
        </xdr:grpSpPr>
        <xdr:sp macro="" textlink="">
          <xdr:nvSpPr>
            <xdr:cNvPr id="2775" name="Line 7169"/>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2776" name="Line 7170"/>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2777" name="Line 7171"/>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2778" name="Line 7172"/>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2764" name="Group 7173"/>
          <xdr:cNvGrpSpPr>
            <a:grpSpLocks/>
          </xdr:cNvGrpSpPr>
        </xdr:nvGrpSpPr>
        <xdr:grpSpPr bwMode="auto">
          <a:xfrm rot="8464448">
            <a:off x="5468" y="5524"/>
            <a:ext cx="569" cy="2733"/>
            <a:chOff x="4677" y="4047"/>
            <a:chExt cx="495" cy="2386"/>
          </a:xfrm>
        </xdr:grpSpPr>
        <xdr:sp macro="" textlink="">
          <xdr:nvSpPr>
            <xdr:cNvPr id="2771" name="Line 7174"/>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2772" name="Line 7175"/>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2773" name="Line 7176"/>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2774" name="Line 7177"/>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2765" name="Group 7178"/>
          <xdr:cNvGrpSpPr>
            <a:grpSpLocks/>
          </xdr:cNvGrpSpPr>
        </xdr:nvGrpSpPr>
        <xdr:grpSpPr bwMode="auto">
          <a:xfrm rot="-5905833">
            <a:off x="2936" y="4830"/>
            <a:ext cx="571" cy="2733"/>
            <a:chOff x="4677" y="4047"/>
            <a:chExt cx="495" cy="2386"/>
          </a:xfrm>
        </xdr:grpSpPr>
        <xdr:sp macro="" textlink="">
          <xdr:nvSpPr>
            <xdr:cNvPr id="2767" name="Line 7179"/>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2768" name="Line 7180"/>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2769" name="Line 7181"/>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2770" name="Line 7182"/>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2766" name="AutoShape 7183"/>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108</xdr:row>
      <xdr:rowOff>76200</xdr:rowOff>
    </xdr:from>
    <xdr:to>
      <xdr:col>4</xdr:col>
      <xdr:colOff>342900</xdr:colOff>
      <xdr:row>110</xdr:row>
      <xdr:rowOff>83820</xdr:rowOff>
    </xdr:to>
    <xdr:grpSp>
      <xdr:nvGrpSpPr>
        <xdr:cNvPr id="2779" name="Group 7184"/>
        <xdr:cNvGrpSpPr>
          <a:grpSpLocks/>
        </xdr:cNvGrpSpPr>
      </xdr:nvGrpSpPr>
      <xdr:grpSpPr bwMode="auto">
        <a:xfrm>
          <a:off x="4885509" y="17678400"/>
          <a:ext cx="236220" cy="355963"/>
          <a:chOff x="5163" y="2548"/>
          <a:chExt cx="2109" cy="2909"/>
        </a:xfrm>
      </xdr:grpSpPr>
      <xdr:sp macro="" textlink="">
        <xdr:nvSpPr>
          <xdr:cNvPr id="2780" name="Rectangle 7185"/>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2781" name="Line 7186"/>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2782" name="Line 7187"/>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2783" name="Line 7188"/>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2784" name="Line 7189"/>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2785" name="Line 7190"/>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2786" name="Line 7191"/>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2787" name="Line 7192"/>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2788" name="Line 7193"/>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2789" name="Line 7194"/>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2790" name="Line 7195"/>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2791" name="Line 7196"/>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2792" name="Line 7197"/>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2793" name="Line 7198"/>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108</xdr:row>
      <xdr:rowOff>114300</xdr:rowOff>
    </xdr:from>
    <xdr:to>
      <xdr:col>4</xdr:col>
      <xdr:colOff>1478280</xdr:colOff>
      <xdr:row>110</xdr:row>
      <xdr:rowOff>121920</xdr:rowOff>
    </xdr:to>
    <xdr:grpSp>
      <xdr:nvGrpSpPr>
        <xdr:cNvPr id="2794" name="Group 7199"/>
        <xdr:cNvGrpSpPr>
          <a:grpSpLocks/>
        </xdr:cNvGrpSpPr>
      </xdr:nvGrpSpPr>
      <xdr:grpSpPr bwMode="auto">
        <a:xfrm>
          <a:off x="5952309" y="17716500"/>
          <a:ext cx="304800" cy="355963"/>
          <a:chOff x="5238" y="4632"/>
          <a:chExt cx="1597" cy="1311"/>
        </a:xfrm>
      </xdr:grpSpPr>
      <xdr:sp macro="" textlink="">
        <xdr:nvSpPr>
          <xdr:cNvPr id="2795" name="Line 7200"/>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2796" name="Line 7201"/>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2797" name="Line 7202"/>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2798" name="Line 7203"/>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2799" name="Line 7204"/>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2800" name="Line 7205"/>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2801" name="Line 7206"/>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90</xdr:row>
      <xdr:rowOff>76200</xdr:rowOff>
    </xdr:from>
    <xdr:to>
      <xdr:col>4</xdr:col>
      <xdr:colOff>647700</xdr:colOff>
      <xdr:row>92</xdr:row>
      <xdr:rowOff>83820</xdr:rowOff>
    </xdr:to>
    <xdr:grpSp>
      <xdr:nvGrpSpPr>
        <xdr:cNvPr id="2862" name="Group 7267"/>
        <xdr:cNvGrpSpPr>
          <a:grpSpLocks/>
        </xdr:cNvGrpSpPr>
      </xdr:nvGrpSpPr>
      <xdr:grpSpPr bwMode="auto">
        <a:xfrm>
          <a:off x="5319849" y="14478000"/>
          <a:ext cx="106680" cy="355963"/>
          <a:chOff x="3771" y="1155"/>
          <a:chExt cx="4759" cy="14934"/>
        </a:xfrm>
      </xdr:grpSpPr>
      <xdr:sp macro="" textlink="">
        <xdr:nvSpPr>
          <xdr:cNvPr id="2863" name="Oval 7268"/>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2864" name="Arc 7269"/>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2865" name="Arc 7270"/>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2866" name="Line 7271"/>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2867" name="Line 7272"/>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2868" name="Line 7273"/>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2869" name="Line 7274"/>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2870" name="Line 7275"/>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2871" name="Line 7276"/>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2872" name="Line 7277"/>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2873" name="Line 7278"/>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2874" name="Line 7279"/>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2875" name="Line 7280"/>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2876" name="Line 7281"/>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2877" name="Line 7282"/>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2878" name="Line 7283"/>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2879" name="Line 7284"/>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2880" name="Line 7285"/>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2881" name="Line 7286"/>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90</xdr:row>
      <xdr:rowOff>60960</xdr:rowOff>
    </xdr:from>
    <xdr:to>
      <xdr:col>4</xdr:col>
      <xdr:colOff>975360</xdr:colOff>
      <xdr:row>92</xdr:row>
      <xdr:rowOff>83820</xdr:rowOff>
    </xdr:to>
    <xdr:grpSp>
      <xdr:nvGrpSpPr>
        <xdr:cNvPr id="2882" name="Group 7287"/>
        <xdr:cNvGrpSpPr>
          <a:grpSpLocks/>
        </xdr:cNvGrpSpPr>
      </xdr:nvGrpSpPr>
      <xdr:grpSpPr bwMode="auto">
        <a:xfrm>
          <a:off x="5617029" y="14462760"/>
          <a:ext cx="137160" cy="371203"/>
          <a:chOff x="1857" y="2993"/>
          <a:chExt cx="4178" cy="10157"/>
        </a:xfrm>
      </xdr:grpSpPr>
      <xdr:grpSp>
        <xdr:nvGrpSpPr>
          <xdr:cNvPr id="2883" name="Group 7288"/>
          <xdr:cNvGrpSpPr>
            <a:grpSpLocks/>
          </xdr:cNvGrpSpPr>
        </xdr:nvGrpSpPr>
        <xdr:grpSpPr bwMode="auto">
          <a:xfrm rot="1441604">
            <a:off x="4764" y="2993"/>
            <a:ext cx="570" cy="2736"/>
            <a:chOff x="4251" y="2947"/>
            <a:chExt cx="570" cy="2736"/>
          </a:xfrm>
        </xdr:grpSpPr>
        <xdr:sp macro="" textlink="">
          <xdr:nvSpPr>
            <xdr:cNvPr id="2895" name="Line 7289"/>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2896" name="Line 7290"/>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2897" name="Line 7291"/>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2898" name="Line 7292"/>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2884" name="Group 7293"/>
          <xdr:cNvGrpSpPr>
            <a:grpSpLocks/>
          </xdr:cNvGrpSpPr>
        </xdr:nvGrpSpPr>
        <xdr:grpSpPr bwMode="auto">
          <a:xfrm rot="8464448">
            <a:off x="5468" y="5524"/>
            <a:ext cx="569" cy="2733"/>
            <a:chOff x="4677" y="4047"/>
            <a:chExt cx="495" cy="2386"/>
          </a:xfrm>
        </xdr:grpSpPr>
        <xdr:sp macro="" textlink="">
          <xdr:nvSpPr>
            <xdr:cNvPr id="2891" name="Line 7294"/>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2892" name="Line 7295"/>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2893" name="Line 7296"/>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2894" name="Line 7297"/>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2885" name="Group 7298"/>
          <xdr:cNvGrpSpPr>
            <a:grpSpLocks/>
          </xdr:cNvGrpSpPr>
        </xdr:nvGrpSpPr>
        <xdr:grpSpPr bwMode="auto">
          <a:xfrm rot="-5905833">
            <a:off x="2936" y="4830"/>
            <a:ext cx="571" cy="2733"/>
            <a:chOff x="4677" y="4047"/>
            <a:chExt cx="495" cy="2386"/>
          </a:xfrm>
        </xdr:grpSpPr>
        <xdr:sp macro="" textlink="">
          <xdr:nvSpPr>
            <xdr:cNvPr id="2887" name="Line 7299"/>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2888" name="Line 7300"/>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2889" name="Line 7301"/>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2890" name="Line 7302"/>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2886" name="AutoShape 7303"/>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90</xdr:row>
      <xdr:rowOff>76200</xdr:rowOff>
    </xdr:from>
    <xdr:to>
      <xdr:col>4</xdr:col>
      <xdr:colOff>342900</xdr:colOff>
      <xdr:row>92</xdr:row>
      <xdr:rowOff>83820</xdr:rowOff>
    </xdr:to>
    <xdr:grpSp>
      <xdr:nvGrpSpPr>
        <xdr:cNvPr id="2899" name="Group 7304"/>
        <xdr:cNvGrpSpPr>
          <a:grpSpLocks/>
        </xdr:cNvGrpSpPr>
      </xdr:nvGrpSpPr>
      <xdr:grpSpPr bwMode="auto">
        <a:xfrm>
          <a:off x="4885509" y="14478000"/>
          <a:ext cx="236220" cy="355963"/>
          <a:chOff x="5163" y="2548"/>
          <a:chExt cx="2109" cy="2909"/>
        </a:xfrm>
      </xdr:grpSpPr>
      <xdr:sp macro="" textlink="">
        <xdr:nvSpPr>
          <xdr:cNvPr id="2900" name="Rectangle 7305"/>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2901" name="Line 7306"/>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2902" name="Line 7307"/>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2903" name="Line 7308"/>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2904" name="Line 7309"/>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2905" name="Line 7310"/>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2906" name="Line 7311"/>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2907" name="Line 7312"/>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2908" name="Line 7313"/>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2909" name="Line 7314"/>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2910" name="Line 7315"/>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2911" name="Line 7316"/>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2912" name="Line 7317"/>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2913" name="Line 7318"/>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90</xdr:row>
      <xdr:rowOff>114300</xdr:rowOff>
    </xdr:from>
    <xdr:to>
      <xdr:col>4</xdr:col>
      <xdr:colOff>1478280</xdr:colOff>
      <xdr:row>92</xdr:row>
      <xdr:rowOff>121920</xdr:rowOff>
    </xdr:to>
    <xdr:grpSp>
      <xdr:nvGrpSpPr>
        <xdr:cNvPr id="2914" name="Group 7319"/>
        <xdr:cNvGrpSpPr>
          <a:grpSpLocks/>
        </xdr:cNvGrpSpPr>
      </xdr:nvGrpSpPr>
      <xdr:grpSpPr bwMode="auto">
        <a:xfrm>
          <a:off x="5952309" y="14516100"/>
          <a:ext cx="304800" cy="355963"/>
          <a:chOff x="5238" y="4632"/>
          <a:chExt cx="1597" cy="1311"/>
        </a:xfrm>
      </xdr:grpSpPr>
      <xdr:sp macro="" textlink="">
        <xdr:nvSpPr>
          <xdr:cNvPr id="2915" name="Line 7320"/>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2916" name="Line 7321"/>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2917" name="Line 7322"/>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2918" name="Line 7323"/>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2919" name="Line 7324"/>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2920" name="Line 7325"/>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2921" name="Line 7326"/>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93</xdr:row>
      <xdr:rowOff>76200</xdr:rowOff>
    </xdr:from>
    <xdr:to>
      <xdr:col>4</xdr:col>
      <xdr:colOff>647700</xdr:colOff>
      <xdr:row>95</xdr:row>
      <xdr:rowOff>83820</xdr:rowOff>
    </xdr:to>
    <xdr:grpSp>
      <xdr:nvGrpSpPr>
        <xdr:cNvPr id="2922" name="Group 7327"/>
        <xdr:cNvGrpSpPr>
          <a:grpSpLocks/>
        </xdr:cNvGrpSpPr>
      </xdr:nvGrpSpPr>
      <xdr:grpSpPr bwMode="auto">
        <a:xfrm>
          <a:off x="5319849" y="15011400"/>
          <a:ext cx="106680" cy="355963"/>
          <a:chOff x="3771" y="1155"/>
          <a:chExt cx="4759" cy="14934"/>
        </a:xfrm>
      </xdr:grpSpPr>
      <xdr:sp macro="" textlink="">
        <xdr:nvSpPr>
          <xdr:cNvPr id="2923" name="Oval 7328"/>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2924" name="Arc 7329"/>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2925" name="Arc 7330"/>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2926" name="Line 7331"/>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2927" name="Line 7332"/>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2928" name="Line 7333"/>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2929" name="Line 7334"/>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2930" name="Line 7335"/>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2931" name="Line 7336"/>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2932" name="Line 7337"/>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2933" name="Line 7338"/>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2934" name="Line 7339"/>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2935" name="Line 7340"/>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2936" name="Line 7341"/>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2937" name="Line 7342"/>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2938" name="Line 7343"/>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2939" name="Line 7344"/>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2940" name="Line 7345"/>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2941" name="Line 7346"/>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93</xdr:row>
      <xdr:rowOff>60960</xdr:rowOff>
    </xdr:from>
    <xdr:to>
      <xdr:col>4</xdr:col>
      <xdr:colOff>975360</xdr:colOff>
      <xdr:row>95</xdr:row>
      <xdr:rowOff>83820</xdr:rowOff>
    </xdr:to>
    <xdr:grpSp>
      <xdr:nvGrpSpPr>
        <xdr:cNvPr id="2942" name="Group 7347"/>
        <xdr:cNvGrpSpPr>
          <a:grpSpLocks/>
        </xdr:cNvGrpSpPr>
      </xdr:nvGrpSpPr>
      <xdr:grpSpPr bwMode="auto">
        <a:xfrm>
          <a:off x="5617029" y="14996160"/>
          <a:ext cx="137160" cy="371203"/>
          <a:chOff x="1857" y="2993"/>
          <a:chExt cx="4178" cy="10157"/>
        </a:xfrm>
      </xdr:grpSpPr>
      <xdr:grpSp>
        <xdr:nvGrpSpPr>
          <xdr:cNvPr id="2943" name="Group 7348"/>
          <xdr:cNvGrpSpPr>
            <a:grpSpLocks/>
          </xdr:cNvGrpSpPr>
        </xdr:nvGrpSpPr>
        <xdr:grpSpPr bwMode="auto">
          <a:xfrm rot="1441604">
            <a:off x="4764" y="2993"/>
            <a:ext cx="570" cy="2736"/>
            <a:chOff x="4251" y="2947"/>
            <a:chExt cx="570" cy="2736"/>
          </a:xfrm>
        </xdr:grpSpPr>
        <xdr:sp macro="" textlink="">
          <xdr:nvSpPr>
            <xdr:cNvPr id="2955" name="Line 7349"/>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2956" name="Line 7350"/>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2957" name="Line 7351"/>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2958" name="Line 7352"/>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2944" name="Group 7353"/>
          <xdr:cNvGrpSpPr>
            <a:grpSpLocks/>
          </xdr:cNvGrpSpPr>
        </xdr:nvGrpSpPr>
        <xdr:grpSpPr bwMode="auto">
          <a:xfrm rot="8464448">
            <a:off x="5468" y="5524"/>
            <a:ext cx="569" cy="2733"/>
            <a:chOff x="4677" y="4047"/>
            <a:chExt cx="495" cy="2386"/>
          </a:xfrm>
        </xdr:grpSpPr>
        <xdr:sp macro="" textlink="">
          <xdr:nvSpPr>
            <xdr:cNvPr id="2951" name="Line 7354"/>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2952" name="Line 7355"/>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2953" name="Line 7356"/>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2954" name="Line 7357"/>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2945" name="Group 7358"/>
          <xdr:cNvGrpSpPr>
            <a:grpSpLocks/>
          </xdr:cNvGrpSpPr>
        </xdr:nvGrpSpPr>
        <xdr:grpSpPr bwMode="auto">
          <a:xfrm rot="-5905833">
            <a:off x="2936" y="4830"/>
            <a:ext cx="571" cy="2733"/>
            <a:chOff x="4677" y="4047"/>
            <a:chExt cx="495" cy="2386"/>
          </a:xfrm>
        </xdr:grpSpPr>
        <xdr:sp macro="" textlink="">
          <xdr:nvSpPr>
            <xdr:cNvPr id="2947" name="Line 7359"/>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2948" name="Line 7360"/>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2949" name="Line 7361"/>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2950" name="Line 7362"/>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2946" name="AutoShape 7363"/>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93</xdr:row>
      <xdr:rowOff>76200</xdr:rowOff>
    </xdr:from>
    <xdr:to>
      <xdr:col>4</xdr:col>
      <xdr:colOff>342900</xdr:colOff>
      <xdr:row>95</xdr:row>
      <xdr:rowOff>83820</xdr:rowOff>
    </xdr:to>
    <xdr:grpSp>
      <xdr:nvGrpSpPr>
        <xdr:cNvPr id="2959" name="Group 7364"/>
        <xdr:cNvGrpSpPr>
          <a:grpSpLocks/>
        </xdr:cNvGrpSpPr>
      </xdr:nvGrpSpPr>
      <xdr:grpSpPr bwMode="auto">
        <a:xfrm>
          <a:off x="4885509" y="15011400"/>
          <a:ext cx="236220" cy="355963"/>
          <a:chOff x="5163" y="2548"/>
          <a:chExt cx="2109" cy="2909"/>
        </a:xfrm>
      </xdr:grpSpPr>
      <xdr:sp macro="" textlink="">
        <xdr:nvSpPr>
          <xdr:cNvPr id="2960" name="Rectangle 7365"/>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2961" name="Line 7366"/>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2962" name="Line 7367"/>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2963" name="Line 7368"/>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2964" name="Line 7369"/>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2965" name="Line 7370"/>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2966" name="Line 7371"/>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2967" name="Line 7372"/>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2968" name="Line 7373"/>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2969" name="Line 7374"/>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2970" name="Line 7375"/>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2971" name="Line 7376"/>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2972" name="Line 7377"/>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2973" name="Line 7378"/>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93</xdr:row>
      <xdr:rowOff>114300</xdr:rowOff>
    </xdr:from>
    <xdr:to>
      <xdr:col>4</xdr:col>
      <xdr:colOff>1478280</xdr:colOff>
      <xdr:row>95</xdr:row>
      <xdr:rowOff>121920</xdr:rowOff>
    </xdr:to>
    <xdr:grpSp>
      <xdr:nvGrpSpPr>
        <xdr:cNvPr id="2974" name="Group 7379"/>
        <xdr:cNvGrpSpPr>
          <a:grpSpLocks/>
        </xdr:cNvGrpSpPr>
      </xdr:nvGrpSpPr>
      <xdr:grpSpPr bwMode="auto">
        <a:xfrm>
          <a:off x="5952309" y="15049500"/>
          <a:ext cx="304800" cy="355963"/>
          <a:chOff x="5238" y="4632"/>
          <a:chExt cx="1597" cy="1311"/>
        </a:xfrm>
      </xdr:grpSpPr>
      <xdr:sp macro="" textlink="">
        <xdr:nvSpPr>
          <xdr:cNvPr id="2975" name="Line 7380"/>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2976" name="Line 7381"/>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2977" name="Line 7382"/>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2978" name="Line 7383"/>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2979" name="Line 7384"/>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2980" name="Line 7385"/>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2981" name="Line 7386"/>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144</xdr:row>
      <xdr:rowOff>76200</xdr:rowOff>
    </xdr:from>
    <xdr:to>
      <xdr:col>4</xdr:col>
      <xdr:colOff>647700</xdr:colOff>
      <xdr:row>146</xdr:row>
      <xdr:rowOff>83820</xdr:rowOff>
    </xdr:to>
    <xdr:grpSp>
      <xdr:nvGrpSpPr>
        <xdr:cNvPr id="2982" name="Group 7387"/>
        <xdr:cNvGrpSpPr>
          <a:grpSpLocks/>
        </xdr:cNvGrpSpPr>
      </xdr:nvGrpSpPr>
      <xdr:grpSpPr bwMode="auto">
        <a:xfrm>
          <a:off x="5319849" y="24079200"/>
          <a:ext cx="106680" cy="355963"/>
          <a:chOff x="3771" y="1155"/>
          <a:chExt cx="4759" cy="14934"/>
        </a:xfrm>
      </xdr:grpSpPr>
      <xdr:sp macro="" textlink="">
        <xdr:nvSpPr>
          <xdr:cNvPr id="2983" name="Oval 7388"/>
          <xdr:cNvSpPr>
            <a:spLocks noChangeArrowheads="1"/>
          </xdr:cNvSpPr>
        </xdr:nvSpPr>
        <xdr:spPr bwMode="auto">
          <a:xfrm>
            <a:off x="4643" y="1155"/>
            <a:ext cx="2999" cy="3003"/>
          </a:xfrm>
          <a:prstGeom prst="ellipse">
            <a:avLst/>
          </a:prstGeom>
          <a:solidFill>
            <a:srgbClr val="FFFFFF"/>
          </a:solidFill>
          <a:ln w="9525" algn="ctr">
            <a:solidFill>
              <a:srgbClr val="FF0000"/>
            </a:solidFill>
            <a:round/>
            <a:headEnd/>
            <a:tailEnd/>
          </a:ln>
        </xdr:spPr>
      </xdr:sp>
      <xdr:sp macro="" textlink="">
        <xdr:nvSpPr>
          <xdr:cNvPr id="2984" name="Arc 7389"/>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2985" name="Arc 7390"/>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2986" name="Line 7391"/>
          <xdr:cNvSpPr>
            <a:spLocks noChangeShapeType="1"/>
          </xdr:cNvSpPr>
        </xdr:nvSpPr>
        <xdr:spPr bwMode="auto">
          <a:xfrm>
            <a:off x="3771" y="6471"/>
            <a:ext cx="0" cy="3793"/>
          </a:xfrm>
          <a:prstGeom prst="line">
            <a:avLst/>
          </a:prstGeom>
          <a:noFill/>
          <a:ln w="9525">
            <a:solidFill>
              <a:srgbClr val="FF0000"/>
            </a:solidFill>
            <a:round/>
            <a:headEnd/>
            <a:tailEnd/>
          </a:ln>
        </xdr:spPr>
      </xdr:sp>
      <xdr:sp macro="" textlink="">
        <xdr:nvSpPr>
          <xdr:cNvPr id="2987" name="Line 7392"/>
          <xdr:cNvSpPr>
            <a:spLocks noChangeShapeType="1"/>
          </xdr:cNvSpPr>
        </xdr:nvSpPr>
        <xdr:spPr bwMode="auto">
          <a:xfrm>
            <a:off x="3771" y="10264"/>
            <a:ext cx="861" cy="4"/>
          </a:xfrm>
          <a:prstGeom prst="line">
            <a:avLst/>
          </a:prstGeom>
          <a:noFill/>
          <a:ln w="9525">
            <a:solidFill>
              <a:srgbClr val="FF0000"/>
            </a:solidFill>
            <a:round/>
            <a:headEnd/>
            <a:tailEnd/>
          </a:ln>
        </xdr:spPr>
      </xdr:sp>
      <xdr:sp macro="" textlink="">
        <xdr:nvSpPr>
          <xdr:cNvPr id="2988" name="Line 7393"/>
          <xdr:cNvSpPr>
            <a:spLocks noChangeShapeType="1"/>
          </xdr:cNvSpPr>
        </xdr:nvSpPr>
        <xdr:spPr bwMode="auto">
          <a:xfrm flipV="1">
            <a:off x="4632" y="6384"/>
            <a:ext cx="4" cy="3880"/>
          </a:xfrm>
          <a:prstGeom prst="line">
            <a:avLst/>
          </a:prstGeom>
          <a:noFill/>
          <a:ln w="9525">
            <a:solidFill>
              <a:srgbClr val="FF0000"/>
            </a:solidFill>
            <a:round/>
            <a:headEnd/>
            <a:tailEnd/>
          </a:ln>
        </xdr:spPr>
      </xdr:sp>
      <xdr:sp macro="" textlink="">
        <xdr:nvSpPr>
          <xdr:cNvPr id="2989" name="Line 7394"/>
          <xdr:cNvSpPr>
            <a:spLocks noChangeShapeType="1"/>
          </xdr:cNvSpPr>
        </xdr:nvSpPr>
        <xdr:spPr bwMode="auto">
          <a:xfrm>
            <a:off x="4636" y="6384"/>
            <a:ext cx="211" cy="0"/>
          </a:xfrm>
          <a:prstGeom prst="line">
            <a:avLst/>
          </a:prstGeom>
          <a:noFill/>
          <a:ln w="9525">
            <a:solidFill>
              <a:srgbClr val="FF0000"/>
            </a:solidFill>
            <a:round/>
            <a:headEnd/>
            <a:tailEnd/>
          </a:ln>
        </xdr:spPr>
      </xdr:sp>
      <xdr:sp macro="" textlink="">
        <xdr:nvSpPr>
          <xdr:cNvPr id="2990" name="Line 7395"/>
          <xdr:cNvSpPr>
            <a:spLocks noChangeShapeType="1"/>
          </xdr:cNvSpPr>
        </xdr:nvSpPr>
        <xdr:spPr bwMode="auto">
          <a:xfrm>
            <a:off x="4847" y="6384"/>
            <a:ext cx="0" cy="9701"/>
          </a:xfrm>
          <a:prstGeom prst="line">
            <a:avLst/>
          </a:prstGeom>
          <a:noFill/>
          <a:ln w="9525">
            <a:solidFill>
              <a:srgbClr val="FF0000"/>
            </a:solidFill>
            <a:round/>
            <a:headEnd/>
            <a:tailEnd/>
          </a:ln>
        </xdr:spPr>
      </xdr:sp>
      <xdr:sp macro="" textlink="">
        <xdr:nvSpPr>
          <xdr:cNvPr id="2991" name="Line 7396"/>
          <xdr:cNvSpPr>
            <a:spLocks noChangeShapeType="1"/>
          </xdr:cNvSpPr>
        </xdr:nvSpPr>
        <xdr:spPr bwMode="auto">
          <a:xfrm>
            <a:off x="4847" y="16085"/>
            <a:ext cx="1077" cy="0"/>
          </a:xfrm>
          <a:prstGeom prst="line">
            <a:avLst/>
          </a:prstGeom>
          <a:noFill/>
          <a:ln w="9525">
            <a:solidFill>
              <a:srgbClr val="FF0000"/>
            </a:solidFill>
            <a:round/>
            <a:headEnd/>
            <a:tailEnd/>
          </a:ln>
        </xdr:spPr>
      </xdr:sp>
      <xdr:sp macro="" textlink="">
        <xdr:nvSpPr>
          <xdr:cNvPr id="2992" name="Line 7397"/>
          <xdr:cNvSpPr>
            <a:spLocks noChangeShapeType="1"/>
          </xdr:cNvSpPr>
        </xdr:nvSpPr>
        <xdr:spPr bwMode="auto">
          <a:xfrm flipV="1">
            <a:off x="5924" y="10696"/>
            <a:ext cx="0" cy="5389"/>
          </a:xfrm>
          <a:prstGeom prst="line">
            <a:avLst/>
          </a:prstGeom>
          <a:noFill/>
          <a:ln w="9525">
            <a:solidFill>
              <a:srgbClr val="FF0000"/>
            </a:solidFill>
            <a:round/>
            <a:headEnd/>
            <a:tailEnd/>
          </a:ln>
        </xdr:spPr>
      </xdr:sp>
      <xdr:sp macro="" textlink="">
        <xdr:nvSpPr>
          <xdr:cNvPr id="2993" name="Line 7398"/>
          <xdr:cNvSpPr>
            <a:spLocks noChangeShapeType="1"/>
          </xdr:cNvSpPr>
        </xdr:nvSpPr>
        <xdr:spPr bwMode="auto">
          <a:xfrm>
            <a:off x="5924" y="10696"/>
            <a:ext cx="430" cy="3"/>
          </a:xfrm>
          <a:prstGeom prst="line">
            <a:avLst/>
          </a:prstGeom>
          <a:noFill/>
          <a:ln w="9525">
            <a:solidFill>
              <a:srgbClr val="FF0000"/>
            </a:solidFill>
            <a:round/>
            <a:headEnd/>
            <a:tailEnd/>
          </a:ln>
        </xdr:spPr>
      </xdr:sp>
      <xdr:sp macro="" textlink="">
        <xdr:nvSpPr>
          <xdr:cNvPr id="2994" name="Line 7399"/>
          <xdr:cNvSpPr>
            <a:spLocks noChangeShapeType="1"/>
          </xdr:cNvSpPr>
        </xdr:nvSpPr>
        <xdr:spPr bwMode="auto">
          <a:xfrm flipV="1">
            <a:off x="6354" y="10696"/>
            <a:ext cx="4" cy="5389"/>
          </a:xfrm>
          <a:prstGeom prst="line">
            <a:avLst/>
          </a:prstGeom>
          <a:noFill/>
          <a:ln w="9525">
            <a:solidFill>
              <a:srgbClr val="FF0000"/>
            </a:solidFill>
            <a:round/>
            <a:headEnd/>
            <a:tailEnd/>
          </a:ln>
        </xdr:spPr>
      </xdr:sp>
      <xdr:sp macro="" textlink="">
        <xdr:nvSpPr>
          <xdr:cNvPr id="2995" name="Line 7400"/>
          <xdr:cNvSpPr>
            <a:spLocks noChangeShapeType="1"/>
          </xdr:cNvSpPr>
        </xdr:nvSpPr>
        <xdr:spPr bwMode="auto">
          <a:xfrm>
            <a:off x="6354" y="16085"/>
            <a:ext cx="1077" cy="4"/>
          </a:xfrm>
          <a:prstGeom prst="line">
            <a:avLst/>
          </a:prstGeom>
          <a:noFill/>
          <a:ln w="9525">
            <a:solidFill>
              <a:srgbClr val="FF0000"/>
            </a:solidFill>
            <a:round/>
            <a:headEnd/>
            <a:tailEnd/>
          </a:ln>
        </xdr:spPr>
      </xdr:sp>
      <xdr:sp macro="" textlink="">
        <xdr:nvSpPr>
          <xdr:cNvPr id="2996" name="Line 7401"/>
          <xdr:cNvSpPr>
            <a:spLocks noChangeShapeType="1"/>
          </xdr:cNvSpPr>
        </xdr:nvSpPr>
        <xdr:spPr bwMode="auto">
          <a:xfrm flipV="1">
            <a:off x="7431" y="6384"/>
            <a:ext cx="0" cy="9701"/>
          </a:xfrm>
          <a:prstGeom prst="line">
            <a:avLst/>
          </a:prstGeom>
          <a:noFill/>
          <a:ln w="9525">
            <a:solidFill>
              <a:srgbClr val="FF0000"/>
            </a:solidFill>
            <a:round/>
            <a:headEnd/>
            <a:tailEnd/>
          </a:ln>
        </xdr:spPr>
      </xdr:sp>
      <xdr:sp macro="" textlink="">
        <xdr:nvSpPr>
          <xdr:cNvPr id="2997" name="Line 7402"/>
          <xdr:cNvSpPr>
            <a:spLocks noChangeShapeType="1"/>
          </xdr:cNvSpPr>
        </xdr:nvSpPr>
        <xdr:spPr bwMode="auto">
          <a:xfrm>
            <a:off x="7431" y="6384"/>
            <a:ext cx="211" cy="4"/>
          </a:xfrm>
          <a:prstGeom prst="line">
            <a:avLst/>
          </a:prstGeom>
          <a:noFill/>
          <a:ln w="9525">
            <a:solidFill>
              <a:srgbClr val="FF0000"/>
            </a:solidFill>
            <a:round/>
            <a:headEnd/>
            <a:tailEnd/>
          </a:ln>
        </xdr:spPr>
      </xdr:sp>
      <xdr:sp macro="" textlink="">
        <xdr:nvSpPr>
          <xdr:cNvPr id="2998" name="Line 7403"/>
          <xdr:cNvSpPr>
            <a:spLocks noChangeShapeType="1"/>
          </xdr:cNvSpPr>
        </xdr:nvSpPr>
        <xdr:spPr bwMode="auto">
          <a:xfrm>
            <a:off x="7665" y="6380"/>
            <a:ext cx="4" cy="3881"/>
          </a:xfrm>
          <a:prstGeom prst="line">
            <a:avLst/>
          </a:prstGeom>
          <a:noFill/>
          <a:ln w="9525">
            <a:solidFill>
              <a:srgbClr val="FF0000"/>
            </a:solidFill>
            <a:round/>
            <a:headEnd/>
            <a:tailEnd/>
          </a:ln>
        </xdr:spPr>
      </xdr:sp>
      <xdr:sp macro="" textlink="">
        <xdr:nvSpPr>
          <xdr:cNvPr id="2999" name="Line 7404"/>
          <xdr:cNvSpPr>
            <a:spLocks noChangeShapeType="1"/>
          </xdr:cNvSpPr>
        </xdr:nvSpPr>
        <xdr:spPr bwMode="auto">
          <a:xfrm>
            <a:off x="7665" y="10261"/>
            <a:ext cx="861" cy="3"/>
          </a:xfrm>
          <a:prstGeom prst="line">
            <a:avLst/>
          </a:prstGeom>
          <a:noFill/>
          <a:ln w="9525">
            <a:solidFill>
              <a:srgbClr val="FF0000"/>
            </a:solidFill>
            <a:round/>
            <a:headEnd/>
            <a:tailEnd/>
          </a:ln>
        </xdr:spPr>
      </xdr:sp>
      <xdr:sp macro="" textlink="">
        <xdr:nvSpPr>
          <xdr:cNvPr id="3000" name="Line 7405"/>
          <xdr:cNvSpPr>
            <a:spLocks noChangeShapeType="1"/>
          </xdr:cNvSpPr>
        </xdr:nvSpPr>
        <xdr:spPr bwMode="auto">
          <a:xfrm flipV="1">
            <a:off x="8526" y="6475"/>
            <a:ext cx="4" cy="3786"/>
          </a:xfrm>
          <a:prstGeom prst="line">
            <a:avLst/>
          </a:prstGeom>
          <a:noFill/>
          <a:ln w="9525">
            <a:solidFill>
              <a:srgbClr val="FF0000"/>
            </a:solidFill>
            <a:round/>
            <a:headEnd/>
            <a:tailEnd/>
          </a:ln>
        </xdr:spPr>
      </xdr:sp>
      <xdr:sp macro="" textlink="">
        <xdr:nvSpPr>
          <xdr:cNvPr id="3001" name="Line 7406"/>
          <xdr:cNvSpPr>
            <a:spLocks noChangeShapeType="1"/>
          </xdr:cNvSpPr>
        </xdr:nvSpPr>
        <xdr:spPr bwMode="auto">
          <a:xfrm flipH="1">
            <a:off x="5807" y="4432"/>
            <a:ext cx="683" cy="0"/>
          </a:xfrm>
          <a:prstGeom prst="line">
            <a:avLst/>
          </a:prstGeom>
          <a:noFill/>
          <a:ln w="9525">
            <a:solidFill>
              <a:srgbClr val="FF0000"/>
            </a:solidFill>
            <a:round/>
            <a:headEnd/>
            <a:tailEnd/>
          </a:ln>
        </xdr:spPr>
      </xdr:sp>
    </xdr:grpSp>
    <xdr:clientData/>
  </xdr:twoCellAnchor>
  <xdr:twoCellAnchor>
    <xdr:from>
      <xdr:col>4</xdr:col>
      <xdr:colOff>838200</xdr:colOff>
      <xdr:row>144</xdr:row>
      <xdr:rowOff>60960</xdr:rowOff>
    </xdr:from>
    <xdr:to>
      <xdr:col>4</xdr:col>
      <xdr:colOff>975360</xdr:colOff>
      <xdr:row>146</xdr:row>
      <xdr:rowOff>83820</xdr:rowOff>
    </xdr:to>
    <xdr:grpSp>
      <xdr:nvGrpSpPr>
        <xdr:cNvPr id="3002" name="Group 7407"/>
        <xdr:cNvGrpSpPr>
          <a:grpSpLocks/>
        </xdr:cNvGrpSpPr>
      </xdr:nvGrpSpPr>
      <xdr:grpSpPr bwMode="auto">
        <a:xfrm>
          <a:off x="5617029" y="24063960"/>
          <a:ext cx="137160" cy="371203"/>
          <a:chOff x="1857" y="2993"/>
          <a:chExt cx="4178" cy="10157"/>
        </a:xfrm>
      </xdr:grpSpPr>
      <xdr:grpSp>
        <xdr:nvGrpSpPr>
          <xdr:cNvPr id="3003" name="Group 7408"/>
          <xdr:cNvGrpSpPr>
            <a:grpSpLocks/>
          </xdr:cNvGrpSpPr>
        </xdr:nvGrpSpPr>
        <xdr:grpSpPr bwMode="auto">
          <a:xfrm rot="1441604">
            <a:off x="4764" y="2993"/>
            <a:ext cx="570" cy="2736"/>
            <a:chOff x="4251" y="2947"/>
            <a:chExt cx="570" cy="2736"/>
          </a:xfrm>
        </xdr:grpSpPr>
        <xdr:sp macro="" textlink="">
          <xdr:nvSpPr>
            <xdr:cNvPr id="3015" name="Line 7409"/>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3016" name="Line 7410"/>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3017" name="Line 7411"/>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3018" name="Line 7412"/>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3004" name="Group 7413"/>
          <xdr:cNvGrpSpPr>
            <a:grpSpLocks/>
          </xdr:cNvGrpSpPr>
        </xdr:nvGrpSpPr>
        <xdr:grpSpPr bwMode="auto">
          <a:xfrm rot="8464448">
            <a:off x="5468" y="5524"/>
            <a:ext cx="569" cy="2733"/>
            <a:chOff x="4677" y="4047"/>
            <a:chExt cx="495" cy="2386"/>
          </a:xfrm>
        </xdr:grpSpPr>
        <xdr:sp macro="" textlink="">
          <xdr:nvSpPr>
            <xdr:cNvPr id="3011" name="Line 7414"/>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3012" name="Line 7415"/>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3013" name="Line 7416"/>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3014" name="Line 7417"/>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3005" name="Group 7418"/>
          <xdr:cNvGrpSpPr>
            <a:grpSpLocks/>
          </xdr:cNvGrpSpPr>
        </xdr:nvGrpSpPr>
        <xdr:grpSpPr bwMode="auto">
          <a:xfrm rot="-5905833">
            <a:off x="2936" y="4830"/>
            <a:ext cx="571" cy="2733"/>
            <a:chOff x="4677" y="4047"/>
            <a:chExt cx="495" cy="2386"/>
          </a:xfrm>
        </xdr:grpSpPr>
        <xdr:sp macro="" textlink="">
          <xdr:nvSpPr>
            <xdr:cNvPr id="3007" name="Line 7419"/>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3008" name="Line 7420"/>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3009" name="Line 7421"/>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3010" name="Line 7422"/>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3006" name="AutoShape 7423"/>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144</xdr:row>
      <xdr:rowOff>76200</xdr:rowOff>
    </xdr:from>
    <xdr:to>
      <xdr:col>4</xdr:col>
      <xdr:colOff>342900</xdr:colOff>
      <xdr:row>146</xdr:row>
      <xdr:rowOff>83820</xdr:rowOff>
    </xdr:to>
    <xdr:grpSp>
      <xdr:nvGrpSpPr>
        <xdr:cNvPr id="3019" name="Group 7424"/>
        <xdr:cNvGrpSpPr>
          <a:grpSpLocks/>
        </xdr:cNvGrpSpPr>
      </xdr:nvGrpSpPr>
      <xdr:grpSpPr bwMode="auto">
        <a:xfrm>
          <a:off x="4885509" y="24079200"/>
          <a:ext cx="236220" cy="355963"/>
          <a:chOff x="5163" y="2548"/>
          <a:chExt cx="2109" cy="2909"/>
        </a:xfrm>
      </xdr:grpSpPr>
      <xdr:sp macro="" textlink="">
        <xdr:nvSpPr>
          <xdr:cNvPr id="3020" name="Rectangle 7425"/>
          <xdr:cNvSpPr>
            <a:spLocks noChangeArrowheads="1"/>
          </xdr:cNvSpPr>
        </xdr:nvSpPr>
        <xdr:spPr bwMode="auto">
          <a:xfrm>
            <a:off x="5163" y="2548"/>
            <a:ext cx="1938" cy="2736"/>
          </a:xfrm>
          <a:prstGeom prst="rect">
            <a:avLst/>
          </a:prstGeom>
          <a:solidFill>
            <a:srgbClr val="FFFFFF"/>
          </a:solidFill>
          <a:ln w="9525" algn="ctr">
            <a:solidFill>
              <a:srgbClr val="FF0000"/>
            </a:solidFill>
            <a:miter lim="800000"/>
            <a:headEnd/>
            <a:tailEnd/>
          </a:ln>
        </xdr:spPr>
      </xdr:sp>
      <xdr:sp macro="" textlink="">
        <xdr:nvSpPr>
          <xdr:cNvPr id="3021" name="Line 7426"/>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3022" name="Line 7427"/>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3023" name="Line 7428"/>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3024" name="Line 7429"/>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3025" name="Line 7430"/>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3026" name="Line 7431"/>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3027" name="Line 7432"/>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3028" name="Line 7433"/>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3029" name="Line 7434"/>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3030" name="Line 7435"/>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3031" name="Line 7436"/>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3032" name="Line 7437"/>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3033" name="Line 7438"/>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144</xdr:row>
      <xdr:rowOff>114300</xdr:rowOff>
    </xdr:from>
    <xdr:to>
      <xdr:col>4</xdr:col>
      <xdr:colOff>1478280</xdr:colOff>
      <xdr:row>146</xdr:row>
      <xdr:rowOff>121920</xdr:rowOff>
    </xdr:to>
    <xdr:grpSp>
      <xdr:nvGrpSpPr>
        <xdr:cNvPr id="3034" name="Group 7439"/>
        <xdr:cNvGrpSpPr>
          <a:grpSpLocks/>
        </xdr:cNvGrpSpPr>
      </xdr:nvGrpSpPr>
      <xdr:grpSpPr bwMode="auto">
        <a:xfrm>
          <a:off x="5952309" y="24117300"/>
          <a:ext cx="304800" cy="355963"/>
          <a:chOff x="5238" y="4632"/>
          <a:chExt cx="1597" cy="1311"/>
        </a:xfrm>
      </xdr:grpSpPr>
      <xdr:sp macro="" textlink="">
        <xdr:nvSpPr>
          <xdr:cNvPr id="3035" name="Line 7440"/>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3036" name="Line 7441"/>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3037" name="Line 7442"/>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3038" name="Line 7443"/>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3039" name="Line 7444"/>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3040" name="Line 7445"/>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3041" name="Line 7446"/>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201</xdr:row>
      <xdr:rowOff>76200</xdr:rowOff>
    </xdr:from>
    <xdr:to>
      <xdr:col>4</xdr:col>
      <xdr:colOff>647700</xdr:colOff>
      <xdr:row>203</xdr:row>
      <xdr:rowOff>83820</xdr:rowOff>
    </xdr:to>
    <xdr:grpSp>
      <xdr:nvGrpSpPr>
        <xdr:cNvPr id="3042" name="Group 7447"/>
        <xdr:cNvGrpSpPr>
          <a:grpSpLocks/>
        </xdr:cNvGrpSpPr>
      </xdr:nvGrpSpPr>
      <xdr:grpSpPr bwMode="auto">
        <a:xfrm>
          <a:off x="5319849" y="34213800"/>
          <a:ext cx="106680" cy="355963"/>
          <a:chOff x="3771" y="1155"/>
          <a:chExt cx="4759" cy="14934"/>
        </a:xfrm>
      </xdr:grpSpPr>
      <xdr:sp macro="" textlink="">
        <xdr:nvSpPr>
          <xdr:cNvPr id="3043" name="Oval 7448"/>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3044" name="Arc 7449"/>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3045" name="Arc 7450"/>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3046" name="Line 7451"/>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3047" name="Line 7452"/>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3048" name="Line 7453"/>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3049" name="Line 7454"/>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3050" name="Line 7455"/>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3051" name="Line 7456"/>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3052" name="Line 7457"/>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3053" name="Line 7458"/>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3054" name="Line 7459"/>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3055" name="Line 7460"/>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3056" name="Line 7461"/>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3057" name="Line 7462"/>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3058" name="Line 7463"/>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3059" name="Line 7464"/>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3060" name="Line 7465"/>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3061" name="Line 7466"/>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201</xdr:row>
      <xdr:rowOff>60960</xdr:rowOff>
    </xdr:from>
    <xdr:to>
      <xdr:col>4</xdr:col>
      <xdr:colOff>975360</xdr:colOff>
      <xdr:row>203</xdr:row>
      <xdr:rowOff>83820</xdr:rowOff>
    </xdr:to>
    <xdr:grpSp>
      <xdr:nvGrpSpPr>
        <xdr:cNvPr id="3062" name="Group 7467"/>
        <xdr:cNvGrpSpPr>
          <a:grpSpLocks/>
        </xdr:cNvGrpSpPr>
      </xdr:nvGrpSpPr>
      <xdr:grpSpPr bwMode="auto">
        <a:xfrm>
          <a:off x="5617029" y="34198560"/>
          <a:ext cx="137160" cy="371203"/>
          <a:chOff x="1857" y="2993"/>
          <a:chExt cx="4178" cy="10157"/>
        </a:xfrm>
      </xdr:grpSpPr>
      <xdr:grpSp>
        <xdr:nvGrpSpPr>
          <xdr:cNvPr id="3063" name="Group 7468"/>
          <xdr:cNvGrpSpPr>
            <a:grpSpLocks/>
          </xdr:cNvGrpSpPr>
        </xdr:nvGrpSpPr>
        <xdr:grpSpPr bwMode="auto">
          <a:xfrm rot="1441604">
            <a:off x="4764" y="2993"/>
            <a:ext cx="570" cy="2736"/>
            <a:chOff x="4251" y="2947"/>
            <a:chExt cx="570" cy="2736"/>
          </a:xfrm>
        </xdr:grpSpPr>
        <xdr:sp macro="" textlink="">
          <xdr:nvSpPr>
            <xdr:cNvPr id="3075" name="Line 7469"/>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3076" name="Line 7470"/>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3077" name="Line 7471"/>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3078" name="Line 7472"/>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3064" name="Group 7473"/>
          <xdr:cNvGrpSpPr>
            <a:grpSpLocks/>
          </xdr:cNvGrpSpPr>
        </xdr:nvGrpSpPr>
        <xdr:grpSpPr bwMode="auto">
          <a:xfrm rot="8464448">
            <a:off x="5468" y="5524"/>
            <a:ext cx="569" cy="2733"/>
            <a:chOff x="4677" y="4047"/>
            <a:chExt cx="495" cy="2386"/>
          </a:xfrm>
        </xdr:grpSpPr>
        <xdr:sp macro="" textlink="">
          <xdr:nvSpPr>
            <xdr:cNvPr id="3071" name="Line 7474"/>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3072" name="Line 7475"/>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3073" name="Line 7476"/>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3074" name="Line 7477"/>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3065" name="Group 7478"/>
          <xdr:cNvGrpSpPr>
            <a:grpSpLocks/>
          </xdr:cNvGrpSpPr>
        </xdr:nvGrpSpPr>
        <xdr:grpSpPr bwMode="auto">
          <a:xfrm rot="-5905833">
            <a:off x="2936" y="4830"/>
            <a:ext cx="571" cy="2733"/>
            <a:chOff x="4677" y="4047"/>
            <a:chExt cx="495" cy="2386"/>
          </a:xfrm>
        </xdr:grpSpPr>
        <xdr:sp macro="" textlink="">
          <xdr:nvSpPr>
            <xdr:cNvPr id="3067" name="Line 7479"/>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3068" name="Line 7480"/>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3069" name="Line 7481"/>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3070" name="Line 7482"/>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3066" name="AutoShape 7483"/>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201</xdr:row>
      <xdr:rowOff>76200</xdr:rowOff>
    </xdr:from>
    <xdr:to>
      <xdr:col>4</xdr:col>
      <xdr:colOff>342900</xdr:colOff>
      <xdr:row>203</xdr:row>
      <xdr:rowOff>83820</xdr:rowOff>
    </xdr:to>
    <xdr:grpSp>
      <xdr:nvGrpSpPr>
        <xdr:cNvPr id="3079" name="Group 7484"/>
        <xdr:cNvGrpSpPr>
          <a:grpSpLocks/>
        </xdr:cNvGrpSpPr>
      </xdr:nvGrpSpPr>
      <xdr:grpSpPr bwMode="auto">
        <a:xfrm>
          <a:off x="4885509" y="34213800"/>
          <a:ext cx="236220" cy="355963"/>
          <a:chOff x="5163" y="2548"/>
          <a:chExt cx="2109" cy="2909"/>
        </a:xfrm>
      </xdr:grpSpPr>
      <xdr:sp macro="" textlink="">
        <xdr:nvSpPr>
          <xdr:cNvPr id="3080" name="Rectangle 7485"/>
          <xdr:cNvSpPr>
            <a:spLocks noChangeArrowheads="1"/>
          </xdr:cNvSpPr>
        </xdr:nvSpPr>
        <xdr:spPr bwMode="auto">
          <a:xfrm>
            <a:off x="5163" y="2548"/>
            <a:ext cx="1938" cy="2736"/>
          </a:xfrm>
          <a:prstGeom prst="rect">
            <a:avLst/>
          </a:prstGeom>
          <a:solidFill>
            <a:srgbClr val="FFFFFF"/>
          </a:solidFill>
          <a:ln w="9525" algn="ctr">
            <a:solidFill>
              <a:srgbClr val="C0C0C0"/>
            </a:solidFill>
            <a:miter lim="800000"/>
            <a:headEnd/>
            <a:tailEnd/>
          </a:ln>
        </xdr:spPr>
      </xdr:sp>
      <xdr:sp macro="" textlink="">
        <xdr:nvSpPr>
          <xdr:cNvPr id="3081" name="Line 7486"/>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3082" name="Line 7487"/>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3083" name="Line 7488"/>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3084" name="Line 7489"/>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3085" name="Line 7490"/>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3086" name="Line 7491"/>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3087" name="Line 7492"/>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3088" name="Line 7493"/>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3089" name="Line 7494"/>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3090" name="Line 7495"/>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3091" name="Line 7496"/>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3092" name="Line 7497"/>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3093" name="Line 7498"/>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201</xdr:row>
      <xdr:rowOff>114300</xdr:rowOff>
    </xdr:from>
    <xdr:to>
      <xdr:col>4</xdr:col>
      <xdr:colOff>1478280</xdr:colOff>
      <xdr:row>203</xdr:row>
      <xdr:rowOff>121920</xdr:rowOff>
    </xdr:to>
    <xdr:grpSp>
      <xdr:nvGrpSpPr>
        <xdr:cNvPr id="3094" name="Group 7499"/>
        <xdr:cNvGrpSpPr>
          <a:grpSpLocks/>
        </xdr:cNvGrpSpPr>
      </xdr:nvGrpSpPr>
      <xdr:grpSpPr bwMode="auto">
        <a:xfrm>
          <a:off x="5952309" y="34251900"/>
          <a:ext cx="304800" cy="355963"/>
          <a:chOff x="5238" y="4632"/>
          <a:chExt cx="1597" cy="1311"/>
        </a:xfrm>
      </xdr:grpSpPr>
      <xdr:sp macro="" textlink="">
        <xdr:nvSpPr>
          <xdr:cNvPr id="3095" name="Line 7500"/>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3096" name="Line 7501"/>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3097" name="Line 7502"/>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3098" name="Line 7503"/>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3099" name="Line 7504"/>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3100" name="Line 7505"/>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3101" name="Line 7506"/>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132</xdr:row>
      <xdr:rowOff>76200</xdr:rowOff>
    </xdr:from>
    <xdr:to>
      <xdr:col>4</xdr:col>
      <xdr:colOff>647700</xdr:colOff>
      <xdr:row>134</xdr:row>
      <xdr:rowOff>83820</xdr:rowOff>
    </xdr:to>
    <xdr:grpSp>
      <xdr:nvGrpSpPr>
        <xdr:cNvPr id="3102" name="Group 7507"/>
        <xdr:cNvGrpSpPr>
          <a:grpSpLocks/>
        </xdr:cNvGrpSpPr>
      </xdr:nvGrpSpPr>
      <xdr:grpSpPr bwMode="auto">
        <a:xfrm>
          <a:off x="5319849" y="21945600"/>
          <a:ext cx="106680" cy="355963"/>
          <a:chOff x="3771" y="1155"/>
          <a:chExt cx="4759" cy="14934"/>
        </a:xfrm>
      </xdr:grpSpPr>
      <xdr:sp macro="" textlink="">
        <xdr:nvSpPr>
          <xdr:cNvPr id="3103" name="Oval 7508"/>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3104" name="Arc 7509"/>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3105" name="Arc 7510"/>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3106" name="Line 7511"/>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3107" name="Line 7512"/>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3108" name="Line 7513"/>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3109" name="Line 7514"/>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3110" name="Line 7515"/>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3111" name="Line 7516"/>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3112" name="Line 7517"/>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3113" name="Line 7518"/>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3114" name="Line 7519"/>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3115" name="Line 7520"/>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3116" name="Line 7521"/>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3117" name="Line 7522"/>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3118" name="Line 7523"/>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3119" name="Line 7524"/>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3120" name="Line 7525"/>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3121" name="Line 7526"/>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132</xdr:row>
      <xdr:rowOff>60960</xdr:rowOff>
    </xdr:from>
    <xdr:to>
      <xdr:col>4</xdr:col>
      <xdr:colOff>975360</xdr:colOff>
      <xdr:row>134</xdr:row>
      <xdr:rowOff>83820</xdr:rowOff>
    </xdr:to>
    <xdr:grpSp>
      <xdr:nvGrpSpPr>
        <xdr:cNvPr id="3122" name="Group 7527"/>
        <xdr:cNvGrpSpPr>
          <a:grpSpLocks/>
        </xdr:cNvGrpSpPr>
      </xdr:nvGrpSpPr>
      <xdr:grpSpPr bwMode="auto">
        <a:xfrm>
          <a:off x="5617029" y="21930360"/>
          <a:ext cx="137160" cy="371203"/>
          <a:chOff x="1857" y="2993"/>
          <a:chExt cx="4178" cy="10157"/>
        </a:xfrm>
      </xdr:grpSpPr>
      <xdr:grpSp>
        <xdr:nvGrpSpPr>
          <xdr:cNvPr id="3123" name="Group 7528"/>
          <xdr:cNvGrpSpPr>
            <a:grpSpLocks/>
          </xdr:cNvGrpSpPr>
        </xdr:nvGrpSpPr>
        <xdr:grpSpPr bwMode="auto">
          <a:xfrm rot="1441604">
            <a:off x="4764" y="2993"/>
            <a:ext cx="570" cy="2736"/>
            <a:chOff x="4251" y="2947"/>
            <a:chExt cx="570" cy="2736"/>
          </a:xfrm>
        </xdr:grpSpPr>
        <xdr:sp macro="" textlink="">
          <xdr:nvSpPr>
            <xdr:cNvPr id="3135" name="Line 7529"/>
            <xdr:cNvSpPr>
              <a:spLocks noChangeShapeType="1"/>
            </xdr:cNvSpPr>
          </xdr:nvSpPr>
          <xdr:spPr bwMode="auto">
            <a:xfrm flipV="1">
              <a:off x="4251" y="2947"/>
              <a:ext cx="400" cy="1938"/>
            </a:xfrm>
            <a:prstGeom prst="line">
              <a:avLst/>
            </a:prstGeom>
            <a:noFill/>
            <a:ln w="9525">
              <a:solidFill>
                <a:srgbClr val="FF0000"/>
              </a:solidFill>
              <a:round/>
              <a:headEnd/>
              <a:tailEnd/>
            </a:ln>
          </xdr:spPr>
        </xdr:sp>
        <xdr:sp macro="" textlink="">
          <xdr:nvSpPr>
            <xdr:cNvPr id="3136" name="Line 7530"/>
            <xdr:cNvSpPr>
              <a:spLocks noChangeShapeType="1"/>
            </xdr:cNvSpPr>
          </xdr:nvSpPr>
          <xdr:spPr bwMode="auto">
            <a:xfrm>
              <a:off x="4651" y="2947"/>
              <a:ext cx="170" cy="0"/>
            </a:xfrm>
            <a:prstGeom prst="line">
              <a:avLst/>
            </a:prstGeom>
            <a:noFill/>
            <a:ln w="9525">
              <a:solidFill>
                <a:srgbClr val="FF0000"/>
              </a:solidFill>
              <a:round/>
              <a:headEnd/>
              <a:tailEnd/>
            </a:ln>
          </xdr:spPr>
        </xdr:sp>
        <xdr:sp macro="" textlink="">
          <xdr:nvSpPr>
            <xdr:cNvPr id="3137" name="Line 7531"/>
            <xdr:cNvSpPr>
              <a:spLocks noChangeShapeType="1"/>
            </xdr:cNvSpPr>
          </xdr:nvSpPr>
          <xdr:spPr bwMode="auto">
            <a:xfrm>
              <a:off x="4821" y="2947"/>
              <a:ext cx="0" cy="2678"/>
            </a:xfrm>
            <a:prstGeom prst="line">
              <a:avLst/>
            </a:prstGeom>
            <a:noFill/>
            <a:ln w="9525">
              <a:solidFill>
                <a:srgbClr val="FF0000"/>
              </a:solidFill>
              <a:round/>
              <a:headEnd/>
              <a:tailEnd/>
            </a:ln>
          </xdr:spPr>
        </xdr:sp>
        <xdr:sp macro="" textlink="">
          <xdr:nvSpPr>
            <xdr:cNvPr id="3138" name="Line 7532"/>
            <xdr:cNvSpPr>
              <a:spLocks noChangeShapeType="1"/>
            </xdr:cNvSpPr>
          </xdr:nvSpPr>
          <xdr:spPr bwMode="auto">
            <a:xfrm>
              <a:off x="4251" y="4885"/>
              <a:ext cx="400" cy="798"/>
            </a:xfrm>
            <a:prstGeom prst="line">
              <a:avLst/>
            </a:prstGeom>
            <a:noFill/>
            <a:ln w="9525">
              <a:solidFill>
                <a:srgbClr val="FF0000"/>
              </a:solidFill>
              <a:round/>
              <a:headEnd/>
              <a:tailEnd/>
            </a:ln>
          </xdr:spPr>
        </xdr:sp>
      </xdr:grpSp>
      <xdr:grpSp>
        <xdr:nvGrpSpPr>
          <xdr:cNvPr id="3124" name="Group 7533"/>
          <xdr:cNvGrpSpPr>
            <a:grpSpLocks/>
          </xdr:cNvGrpSpPr>
        </xdr:nvGrpSpPr>
        <xdr:grpSpPr bwMode="auto">
          <a:xfrm rot="8464448">
            <a:off x="5468" y="5524"/>
            <a:ext cx="569" cy="2733"/>
            <a:chOff x="4677" y="4047"/>
            <a:chExt cx="495" cy="2386"/>
          </a:xfrm>
        </xdr:grpSpPr>
        <xdr:sp macro="" textlink="">
          <xdr:nvSpPr>
            <xdr:cNvPr id="3131" name="Line 7534"/>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3132" name="Line 7535"/>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3133" name="Line 7536"/>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3134" name="Line 7537"/>
            <xdr:cNvSpPr>
              <a:spLocks noChangeShapeType="1"/>
            </xdr:cNvSpPr>
          </xdr:nvSpPr>
          <xdr:spPr bwMode="auto">
            <a:xfrm>
              <a:off x="4677" y="5737"/>
              <a:ext cx="347" cy="696"/>
            </a:xfrm>
            <a:prstGeom prst="line">
              <a:avLst/>
            </a:prstGeom>
            <a:noFill/>
            <a:ln w="9525">
              <a:solidFill>
                <a:srgbClr val="FF0000"/>
              </a:solidFill>
              <a:round/>
              <a:headEnd/>
              <a:tailEnd/>
            </a:ln>
          </xdr:spPr>
        </xdr:sp>
      </xdr:grpSp>
      <xdr:grpSp>
        <xdr:nvGrpSpPr>
          <xdr:cNvPr id="3125" name="Group 7538"/>
          <xdr:cNvGrpSpPr>
            <a:grpSpLocks/>
          </xdr:cNvGrpSpPr>
        </xdr:nvGrpSpPr>
        <xdr:grpSpPr bwMode="auto">
          <a:xfrm rot="-5905833">
            <a:off x="2936" y="4830"/>
            <a:ext cx="571" cy="2733"/>
            <a:chOff x="4677" y="4047"/>
            <a:chExt cx="495" cy="2386"/>
          </a:xfrm>
        </xdr:grpSpPr>
        <xdr:sp macro="" textlink="">
          <xdr:nvSpPr>
            <xdr:cNvPr id="3127" name="Line 7539"/>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3128" name="Line 7540"/>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3129" name="Line 7541"/>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3130" name="Line 7542"/>
            <xdr:cNvSpPr>
              <a:spLocks noChangeShapeType="1"/>
            </xdr:cNvSpPr>
          </xdr:nvSpPr>
          <xdr:spPr bwMode="auto">
            <a:xfrm>
              <a:off x="4677" y="5737"/>
              <a:ext cx="347" cy="696"/>
            </a:xfrm>
            <a:prstGeom prst="line">
              <a:avLst/>
            </a:prstGeom>
            <a:noFill/>
            <a:ln w="9525">
              <a:solidFill>
                <a:srgbClr val="FF0000"/>
              </a:solidFill>
              <a:round/>
              <a:headEnd/>
              <a:tailEnd/>
            </a:ln>
          </xdr:spPr>
        </xdr:sp>
      </xdr:grpSp>
      <xdr:sp macro="" textlink="">
        <xdr:nvSpPr>
          <xdr:cNvPr id="3126" name="AutoShape 7543"/>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FF0000"/>
            </a:solidFill>
            <a:miter lim="800000"/>
            <a:headEnd/>
            <a:tailEnd/>
          </a:ln>
        </xdr:spPr>
      </xdr:sp>
    </xdr:grpSp>
    <xdr:clientData/>
  </xdr:twoCellAnchor>
  <xdr:twoCellAnchor>
    <xdr:from>
      <xdr:col>4</xdr:col>
      <xdr:colOff>106680</xdr:colOff>
      <xdr:row>132</xdr:row>
      <xdr:rowOff>76200</xdr:rowOff>
    </xdr:from>
    <xdr:to>
      <xdr:col>4</xdr:col>
      <xdr:colOff>342900</xdr:colOff>
      <xdr:row>134</xdr:row>
      <xdr:rowOff>83820</xdr:rowOff>
    </xdr:to>
    <xdr:grpSp>
      <xdr:nvGrpSpPr>
        <xdr:cNvPr id="3139" name="Group 7544"/>
        <xdr:cNvGrpSpPr>
          <a:grpSpLocks/>
        </xdr:cNvGrpSpPr>
      </xdr:nvGrpSpPr>
      <xdr:grpSpPr bwMode="auto">
        <a:xfrm>
          <a:off x="4885509" y="21945600"/>
          <a:ext cx="236220" cy="355963"/>
          <a:chOff x="5163" y="2548"/>
          <a:chExt cx="2109" cy="2909"/>
        </a:xfrm>
      </xdr:grpSpPr>
      <xdr:sp macro="" textlink="">
        <xdr:nvSpPr>
          <xdr:cNvPr id="3140" name="Rectangle 7545"/>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3141" name="Line 7546"/>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3142" name="Line 7547"/>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3143" name="Line 7548"/>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3144" name="Line 7549"/>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3145" name="Line 7550"/>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3146" name="Line 7551"/>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3147" name="Line 7552"/>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3148" name="Line 7553"/>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3149" name="Line 7554"/>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3150" name="Line 7555"/>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3151" name="Line 7556"/>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3152" name="Line 7557"/>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3153" name="Line 7558"/>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132</xdr:row>
      <xdr:rowOff>114300</xdr:rowOff>
    </xdr:from>
    <xdr:to>
      <xdr:col>4</xdr:col>
      <xdr:colOff>1478280</xdr:colOff>
      <xdr:row>134</xdr:row>
      <xdr:rowOff>121920</xdr:rowOff>
    </xdr:to>
    <xdr:grpSp>
      <xdr:nvGrpSpPr>
        <xdr:cNvPr id="3154" name="Group 7559"/>
        <xdr:cNvGrpSpPr>
          <a:grpSpLocks/>
        </xdr:cNvGrpSpPr>
      </xdr:nvGrpSpPr>
      <xdr:grpSpPr bwMode="auto">
        <a:xfrm>
          <a:off x="5952309" y="21983700"/>
          <a:ext cx="304800" cy="355963"/>
          <a:chOff x="5238" y="4632"/>
          <a:chExt cx="1597" cy="1311"/>
        </a:xfrm>
      </xdr:grpSpPr>
      <xdr:sp macro="" textlink="">
        <xdr:nvSpPr>
          <xdr:cNvPr id="3155" name="Line 7560"/>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3156" name="Line 7561"/>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3157" name="Line 7562"/>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3158" name="Line 7563"/>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3159" name="Line 7564"/>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3160" name="Line 7565"/>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3161" name="Line 7566"/>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135</xdr:row>
      <xdr:rowOff>76200</xdr:rowOff>
    </xdr:from>
    <xdr:to>
      <xdr:col>4</xdr:col>
      <xdr:colOff>647700</xdr:colOff>
      <xdr:row>137</xdr:row>
      <xdr:rowOff>83820</xdr:rowOff>
    </xdr:to>
    <xdr:grpSp>
      <xdr:nvGrpSpPr>
        <xdr:cNvPr id="3162" name="Group 7567"/>
        <xdr:cNvGrpSpPr>
          <a:grpSpLocks/>
        </xdr:cNvGrpSpPr>
      </xdr:nvGrpSpPr>
      <xdr:grpSpPr bwMode="auto">
        <a:xfrm>
          <a:off x="5319849" y="22479000"/>
          <a:ext cx="106680" cy="355963"/>
          <a:chOff x="3771" y="1155"/>
          <a:chExt cx="4759" cy="14934"/>
        </a:xfrm>
      </xdr:grpSpPr>
      <xdr:sp macro="" textlink="">
        <xdr:nvSpPr>
          <xdr:cNvPr id="3163" name="Oval 7568"/>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3164" name="Arc 7569"/>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3165" name="Arc 7570"/>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3166" name="Line 7571"/>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3167" name="Line 7572"/>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3168" name="Line 7573"/>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3169" name="Line 7574"/>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3170" name="Line 7575"/>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3171" name="Line 7576"/>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3172" name="Line 7577"/>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3173" name="Line 7578"/>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3174" name="Line 7579"/>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3175" name="Line 7580"/>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3176" name="Line 7581"/>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3177" name="Line 7582"/>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3178" name="Line 7583"/>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3179" name="Line 7584"/>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3180" name="Line 7585"/>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3181" name="Line 7586"/>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135</xdr:row>
      <xdr:rowOff>60960</xdr:rowOff>
    </xdr:from>
    <xdr:to>
      <xdr:col>4</xdr:col>
      <xdr:colOff>975360</xdr:colOff>
      <xdr:row>137</xdr:row>
      <xdr:rowOff>83820</xdr:rowOff>
    </xdr:to>
    <xdr:grpSp>
      <xdr:nvGrpSpPr>
        <xdr:cNvPr id="3182" name="Group 7587"/>
        <xdr:cNvGrpSpPr>
          <a:grpSpLocks/>
        </xdr:cNvGrpSpPr>
      </xdr:nvGrpSpPr>
      <xdr:grpSpPr bwMode="auto">
        <a:xfrm>
          <a:off x="5617029" y="22463760"/>
          <a:ext cx="137160" cy="371203"/>
          <a:chOff x="1857" y="2993"/>
          <a:chExt cx="4178" cy="10157"/>
        </a:xfrm>
      </xdr:grpSpPr>
      <xdr:grpSp>
        <xdr:nvGrpSpPr>
          <xdr:cNvPr id="3183" name="Group 7588"/>
          <xdr:cNvGrpSpPr>
            <a:grpSpLocks/>
          </xdr:cNvGrpSpPr>
        </xdr:nvGrpSpPr>
        <xdr:grpSpPr bwMode="auto">
          <a:xfrm rot="1441604">
            <a:off x="4764" y="2993"/>
            <a:ext cx="570" cy="2736"/>
            <a:chOff x="4251" y="2947"/>
            <a:chExt cx="570" cy="2736"/>
          </a:xfrm>
        </xdr:grpSpPr>
        <xdr:sp macro="" textlink="">
          <xdr:nvSpPr>
            <xdr:cNvPr id="3195" name="Line 7589"/>
            <xdr:cNvSpPr>
              <a:spLocks noChangeShapeType="1"/>
            </xdr:cNvSpPr>
          </xdr:nvSpPr>
          <xdr:spPr bwMode="auto">
            <a:xfrm flipV="1">
              <a:off x="4251" y="2947"/>
              <a:ext cx="400" cy="1938"/>
            </a:xfrm>
            <a:prstGeom prst="line">
              <a:avLst/>
            </a:prstGeom>
            <a:noFill/>
            <a:ln w="9525">
              <a:solidFill>
                <a:srgbClr val="FF0000"/>
              </a:solidFill>
              <a:round/>
              <a:headEnd/>
              <a:tailEnd/>
            </a:ln>
          </xdr:spPr>
        </xdr:sp>
        <xdr:sp macro="" textlink="">
          <xdr:nvSpPr>
            <xdr:cNvPr id="3196" name="Line 7590"/>
            <xdr:cNvSpPr>
              <a:spLocks noChangeShapeType="1"/>
            </xdr:cNvSpPr>
          </xdr:nvSpPr>
          <xdr:spPr bwMode="auto">
            <a:xfrm>
              <a:off x="4651" y="2947"/>
              <a:ext cx="170" cy="0"/>
            </a:xfrm>
            <a:prstGeom prst="line">
              <a:avLst/>
            </a:prstGeom>
            <a:noFill/>
            <a:ln w="9525">
              <a:solidFill>
                <a:srgbClr val="FF0000"/>
              </a:solidFill>
              <a:round/>
              <a:headEnd/>
              <a:tailEnd/>
            </a:ln>
          </xdr:spPr>
        </xdr:sp>
        <xdr:sp macro="" textlink="">
          <xdr:nvSpPr>
            <xdr:cNvPr id="3197" name="Line 7591"/>
            <xdr:cNvSpPr>
              <a:spLocks noChangeShapeType="1"/>
            </xdr:cNvSpPr>
          </xdr:nvSpPr>
          <xdr:spPr bwMode="auto">
            <a:xfrm>
              <a:off x="4821" y="2947"/>
              <a:ext cx="0" cy="2678"/>
            </a:xfrm>
            <a:prstGeom prst="line">
              <a:avLst/>
            </a:prstGeom>
            <a:noFill/>
            <a:ln w="9525">
              <a:solidFill>
                <a:srgbClr val="FF0000"/>
              </a:solidFill>
              <a:round/>
              <a:headEnd/>
              <a:tailEnd/>
            </a:ln>
          </xdr:spPr>
        </xdr:sp>
        <xdr:sp macro="" textlink="">
          <xdr:nvSpPr>
            <xdr:cNvPr id="3198" name="Line 7592"/>
            <xdr:cNvSpPr>
              <a:spLocks noChangeShapeType="1"/>
            </xdr:cNvSpPr>
          </xdr:nvSpPr>
          <xdr:spPr bwMode="auto">
            <a:xfrm>
              <a:off x="4251" y="4885"/>
              <a:ext cx="400" cy="798"/>
            </a:xfrm>
            <a:prstGeom prst="line">
              <a:avLst/>
            </a:prstGeom>
            <a:noFill/>
            <a:ln w="9525">
              <a:solidFill>
                <a:srgbClr val="FF0000"/>
              </a:solidFill>
              <a:round/>
              <a:headEnd/>
              <a:tailEnd/>
            </a:ln>
          </xdr:spPr>
        </xdr:sp>
      </xdr:grpSp>
      <xdr:grpSp>
        <xdr:nvGrpSpPr>
          <xdr:cNvPr id="3184" name="Group 7593"/>
          <xdr:cNvGrpSpPr>
            <a:grpSpLocks/>
          </xdr:cNvGrpSpPr>
        </xdr:nvGrpSpPr>
        <xdr:grpSpPr bwMode="auto">
          <a:xfrm rot="8464448">
            <a:off x="5468" y="5524"/>
            <a:ext cx="569" cy="2733"/>
            <a:chOff x="4677" y="4047"/>
            <a:chExt cx="495" cy="2386"/>
          </a:xfrm>
        </xdr:grpSpPr>
        <xdr:sp macro="" textlink="">
          <xdr:nvSpPr>
            <xdr:cNvPr id="3191" name="Line 7594"/>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3192" name="Line 7595"/>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3193" name="Line 7596"/>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3194" name="Line 7597"/>
            <xdr:cNvSpPr>
              <a:spLocks noChangeShapeType="1"/>
            </xdr:cNvSpPr>
          </xdr:nvSpPr>
          <xdr:spPr bwMode="auto">
            <a:xfrm>
              <a:off x="4677" y="5737"/>
              <a:ext cx="347" cy="696"/>
            </a:xfrm>
            <a:prstGeom prst="line">
              <a:avLst/>
            </a:prstGeom>
            <a:noFill/>
            <a:ln w="9525">
              <a:solidFill>
                <a:srgbClr val="FF0000"/>
              </a:solidFill>
              <a:round/>
              <a:headEnd/>
              <a:tailEnd/>
            </a:ln>
          </xdr:spPr>
        </xdr:sp>
      </xdr:grpSp>
      <xdr:grpSp>
        <xdr:nvGrpSpPr>
          <xdr:cNvPr id="3185" name="Group 7598"/>
          <xdr:cNvGrpSpPr>
            <a:grpSpLocks/>
          </xdr:cNvGrpSpPr>
        </xdr:nvGrpSpPr>
        <xdr:grpSpPr bwMode="auto">
          <a:xfrm rot="-5905833">
            <a:off x="2936" y="4830"/>
            <a:ext cx="571" cy="2733"/>
            <a:chOff x="4677" y="4047"/>
            <a:chExt cx="495" cy="2386"/>
          </a:xfrm>
        </xdr:grpSpPr>
        <xdr:sp macro="" textlink="">
          <xdr:nvSpPr>
            <xdr:cNvPr id="3187" name="Line 7599"/>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3188" name="Line 7600"/>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3189" name="Line 7601"/>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3190" name="Line 7602"/>
            <xdr:cNvSpPr>
              <a:spLocks noChangeShapeType="1"/>
            </xdr:cNvSpPr>
          </xdr:nvSpPr>
          <xdr:spPr bwMode="auto">
            <a:xfrm>
              <a:off x="4677" y="5737"/>
              <a:ext cx="347" cy="696"/>
            </a:xfrm>
            <a:prstGeom prst="line">
              <a:avLst/>
            </a:prstGeom>
            <a:noFill/>
            <a:ln w="9525">
              <a:solidFill>
                <a:srgbClr val="FF0000"/>
              </a:solidFill>
              <a:round/>
              <a:headEnd/>
              <a:tailEnd/>
            </a:ln>
          </xdr:spPr>
        </xdr:sp>
      </xdr:grpSp>
      <xdr:sp macro="" textlink="">
        <xdr:nvSpPr>
          <xdr:cNvPr id="3186" name="AutoShape 7603"/>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FF0000"/>
            </a:solidFill>
            <a:miter lim="800000"/>
            <a:headEnd/>
            <a:tailEnd/>
          </a:ln>
        </xdr:spPr>
      </xdr:sp>
    </xdr:grpSp>
    <xdr:clientData/>
  </xdr:twoCellAnchor>
  <xdr:twoCellAnchor>
    <xdr:from>
      <xdr:col>4</xdr:col>
      <xdr:colOff>106680</xdr:colOff>
      <xdr:row>135</xdr:row>
      <xdr:rowOff>76200</xdr:rowOff>
    </xdr:from>
    <xdr:to>
      <xdr:col>4</xdr:col>
      <xdr:colOff>342900</xdr:colOff>
      <xdr:row>137</xdr:row>
      <xdr:rowOff>83820</xdr:rowOff>
    </xdr:to>
    <xdr:grpSp>
      <xdr:nvGrpSpPr>
        <xdr:cNvPr id="3199" name="Group 7604"/>
        <xdr:cNvGrpSpPr>
          <a:grpSpLocks/>
        </xdr:cNvGrpSpPr>
      </xdr:nvGrpSpPr>
      <xdr:grpSpPr bwMode="auto">
        <a:xfrm>
          <a:off x="4885509" y="22479000"/>
          <a:ext cx="236220" cy="355963"/>
          <a:chOff x="5163" y="2548"/>
          <a:chExt cx="2109" cy="2909"/>
        </a:xfrm>
      </xdr:grpSpPr>
      <xdr:sp macro="" textlink="">
        <xdr:nvSpPr>
          <xdr:cNvPr id="3200" name="Rectangle 7605"/>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3201" name="Line 7606"/>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3202" name="Line 7607"/>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3203" name="Line 7608"/>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3204" name="Line 7609"/>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3205" name="Line 7610"/>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3206" name="Line 7611"/>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3207" name="Line 7612"/>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3208" name="Line 7613"/>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3209" name="Line 7614"/>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3210" name="Line 7615"/>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3211" name="Line 7616"/>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3212" name="Line 7617"/>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3213" name="Line 7618"/>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135</xdr:row>
      <xdr:rowOff>114300</xdr:rowOff>
    </xdr:from>
    <xdr:to>
      <xdr:col>4</xdr:col>
      <xdr:colOff>1478280</xdr:colOff>
      <xdr:row>137</xdr:row>
      <xdr:rowOff>121920</xdr:rowOff>
    </xdr:to>
    <xdr:grpSp>
      <xdr:nvGrpSpPr>
        <xdr:cNvPr id="3214" name="Group 7619"/>
        <xdr:cNvGrpSpPr>
          <a:grpSpLocks/>
        </xdr:cNvGrpSpPr>
      </xdr:nvGrpSpPr>
      <xdr:grpSpPr bwMode="auto">
        <a:xfrm>
          <a:off x="5952309" y="22517100"/>
          <a:ext cx="304800" cy="355963"/>
          <a:chOff x="5238" y="4632"/>
          <a:chExt cx="1597" cy="1311"/>
        </a:xfrm>
      </xdr:grpSpPr>
      <xdr:sp macro="" textlink="">
        <xdr:nvSpPr>
          <xdr:cNvPr id="3215" name="Line 7620"/>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3216" name="Line 7621"/>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3217" name="Line 7622"/>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3218" name="Line 7623"/>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3219" name="Line 7624"/>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3220" name="Line 7625"/>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3221" name="Line 7626"/>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198</xdr:row>
      <xdr:rowOff>76200</xdr:rowOff>
    </xdr:from>
    <xdr:to>
      <xdr:col>4</xdr:col>
      <xdr:colOff>647700</xdr:colOff>
      <xdr:row>200</xdr:row>
      <xdr:rowOff>83820</xdr:rowOff>
    </xdr:to>
    <xdr:grpSp>
      <xdr:nvGrpSpPr>
        <xdr:cNvPr id="3222" name="Group 7627"/>
        <xdr:cNvGrpSpPr>
          <a:grpSpLocks/>
        </xdr:cNvGrpSpPr>
      </xdr:nvGrpSpPr>
      <xdr:grpSpPr bwMode="auto">
        <a:xfrm>
          <a:off x="5319849" y="33680400"/>
          <a:ext cx="106680" cy="355963"/>
          <a:chOff x="3771" y="1155"/>
          <a:chExt cx="4759" cy="14934"/>
        </a:xfrm>
      </xdr:grpSpPr>
      <xdr:sp macro="" textlink="">
        <xdr:nvSpPr>
          <xdr:cNvPr id="3223" name="Oval 7628"/>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3224" name="Arc 7629"/>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3225" name="Arc 7630"/>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3226" name="Line 7631"/>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3227" name="Line 7632"/>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3228" name="Line 7633"/>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3229" name="Line 7634"/>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3230" name="Line 7635"/>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3231" name="Line 7636"/>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3232" name="Line 7637"/>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3233" name="Line 7638"/>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3234" name="Line 7639"/>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3235" name="Line 7640"/>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3236" name="Line 7641"/>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3237" name="Line 7642"/>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3238" name="Line 7643"/>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3239" name="Line 7644"/>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3240" name="Line 7645"/>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3241" name="Line 7646"/>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198</xdr:row>
      <xdr:rowOff>60960</xdr:rowOff>
    </xdr:from>
    <xdr:to>
      <xdr:col>4</xdr:col>
      <xdr:colOff>975360</xdr:colOff>
      <xdr:row>200</xdr:row>
      <xdr:rowOff>83820</xdr:rowOff>
    </xdr:to>
    <xdr:grpSp>
      <xdr:nvGrpSpPr>
        <xdr:cNvPr id="3242" name="Group 7647"/>
        <xdr:cNvGrpSpPr>
          <a:grpSpLocks/>
        </xdr:cNvGrpSpPr>
      </xdr:nvGrpSpPr>
      <xdr:grpSpPr bwMode="auto">
        <a:xfrm>
          <a:off x="5617029" y="33665160"/>
          <a:ext cx="137160" cy="371203"/>
          <a:chOff x="1857" y="2993"/>
          <a:chExt cx="4178" cy="10157"/>
        </a:xfrm>
      </xdr:grpSpPr>
      <xdr:grpSp>
        <xdr:nvGrpSpPr>
          <xdr:cNvPr id="3243" name="Group 7648"/>
          <xdr:cNvGrpSpPr>
            <a:grpSpLocks/>
          </xdr:cNvGrpSpPr>
        </xdr:nvGrpSpPr>
        <xdr:grpSpPr bwMode="auto">
          <a:xfrm rot="1441604">
            <a:off x="4764" y="2993"/>
            <a:ext cx="570" cy="2736"/>
            <a:chOff x="4251" y="2947"/>
            <a:chExt cx="570" cy="2736"/>
          </a:xfrm>
        </xdr:grpSpPr>
        <xdr:sp macro="" textlink="">
          <xdr:nvSpPr>
            <xdr:cNvPr id="3255" name="Line 7649"/>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3256" name="Line 7650"/>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3257" name="Line 7651"/>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3258" name="Line 7652"/>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3244" name="Group 7653"/>
          <xdr:cNvGrpSpPr>
            <a:grpSpLocks/>
          </xdr:cNvGrpSpPr>
        </xdr:nvGrpSpPr>
        <xdr:grpSpPr bwMode="auto">
          <a:xfrm rot="8464448">
            <a:off x="5468" y="5524"/>
            <a:ext cx="569" cy="2733"/>
            <a:chOff x="4677" y="4047"/>
            <a:chExt cx="495" cy="2386"/>
          </a:xfrm>
        </xdr:grpSpPr>
        <xdr:sp macro="" textlink="">
          <xdr:nvSpPr>
            <xdr:cNvPr id="3251" name="Line 7654"/>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3252" name="Line 7655"/>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3253" name="Line 7656"/>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3254" name="Line 7657"/>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3245" name="Group 7658"/>
          <xdr:cNvGrpSpPr>
            <a:grpSpLocks/>
          </xdr:cNvGrpSpPr>
        </xdr:nvGrpSpPr>
        <xdr:grpSpPr bwMode="auto">
          <a:xfrm rot="-5905833">
            <a:off x="2936" y="4830"/>
            <a:ext cx="571" cy="2733"/>
            <a:chOff x="4677" y="4047"/>
            <a:chExt cx="495" cy="2386"/>
          </a:xfrm>
        </xdr:grpSpPr>
        <xdr:sp macro="" textlink="">
          <xdr:nvSpPr>
            <xdr:cNvPr id="3247" name="Line 7659"/>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3248" name="Line 7660"/>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3249" name="Line 7661"/>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3250" name="Line 7662"/>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3246" name="AutoShape 7663"/>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198</xdr:row>
      <xdr:rowOff>76200</xdr:rowOff>
    </xdr:from>
    <xdr:to>
      <xdr:col>4</xdr:col>
      <xdr:colOff>342900</xdr:colOff>
      <xdr:row>200</xdr:row>
      <xdr:rowOff>83820</xdr:rowOff>
    </xdr:to>
    <xdr:grpSp>
      <xdr:nvGrpSpPr>
        <xdr:cNvPr id="3259" name="Group 7664"/>
        <xdr:cNvGrpSpPr>
          <a:grpSpLocks/>
        </xdr:cNvGrpSpPr>
      </xdr:nvGrpSpPr>
      <xdr:grpSpPr bwMode="auto">
        <a:xfrm>
          <a:off x="4885509" y="33680400"/>
          <a:ext cx="236220" cy="355963"/>
          <a:chOff x="5163" y="2548"/>
          <a:chExt cx="2109" cy="2909"/>
        </a:xfrm>
      </xdr:grpSpPr>
      <xdr:sp macro="" textlink="">
        <xdr:nvSpPr>
          <xdr:cNvPr id="3260" name="Rectangle 7665"/>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3261" name="Line 7666"/>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3262" name="Line 7667"/>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3263" name="Line 7668"/>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3264" name="Line 7669"/>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3265" name="Line 7670"/>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3266" name="Line 7671"/>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3267" name="Line 7672"/>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3268" name="Line 7673"/>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3269" name="Line 7674"/>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3270" name="Line 7675"/>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3271" name="Line 7676"/>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3272" name="Line 7677"/>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3273" name="Line 7678"/>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198</xdr:row>
      <xdr:rowOff>114300</xdr:rowOff>
    </xdr:from>
    <xdr:to>
      <xdr:col>4</xdr:col>
      <xdr:colOff>1478280</xdr:colOff>
      <xdr:row>200</xdr:row>
      <xdr:rowOff>121920</xdr:rowOff>
    </xdr:to>
    <xdr:grpSp>
      <xdr:nvGrpSpPr>
        <xdr:cNvPr id="3274" name="Group 7679"/>
        <xdr:cNvGrpSpPr>
          <a:grpSpLocks/>
        </xdr:cNvGrpSpPr>
      </xdr:nvGrpSpPr>
      <xdr:grpSpPr bwMode="auto">
        <a:xfrm>
          <a:off x="5952309" y="33718500"/>
          <a:ext cx="304800" cy="355963"/>
          <a:chOff x="5238" y="4632"/>
          <a:chExt cx="1597" cy="1311"/>
        </a:xfrm>
      </xdr:grpSpPr>
      <xdr:sp macro="" textlink="">
        <xdr:nvSpPr>
          <xdr:cNvPr id="3275" name="Line 7680"/>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3276" name="Line 7681"/>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3277" name="Line 7682"/>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3278" name="Line 7683"/>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3279" name="Line 7684"/>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3280" name="Line 7685"/>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3281" name="Line 7686"/>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54</xdr:row>
      <xdr:rowOff>76200</xdr:rowOff>
    </xdr:from>
    <xdr:to>
      <xdr:col>4</xdr:col>
      <xdr:colOff>647700</xdr:colOff>
      <xdr:row>56</xdr:row>
      <xdr:rowOff>83820</xdr:rowOff>
    </xdr:to>
    <xdr:grpSp>
      <xdr:nvGrpSpPr>
        <xdr:cNvPr id="3282" name="Group 7690"/>
        <xdr:cNvGrpSpPr>
          <a:grpSpLocks/>
        </xdr:cNvGrpSpPr>
      </xdr:nvGrpSpPr>
      <xdr:grpSpPr bwMode="auto">
        <a:xfrm>
          <a:off x="5319849" y="8229600"/>
          <a:ext cx="106680" cy="312420"/>
          <a:chOff x="3771" y="1155"/>
          <a:chExt cx="4759" cy="14934"/>
        </a:xfrm>
      </xdr:grpSpPr>
      <xdr:sp macro="" textlink="">
        <xdr:nvSpPr>
          <xdr:cNvPr id="3283" name="Oval 7691"/>
          <xdr:cNvSpPr>
            <a:spLocks noChangeArrowheads="1"/>
          </xdr:cNvSpPr>
        </xdr:nvSpPr>
        <xdr:spPr bwMode="auto">
          <a:xfrm>
            <a:off x="4643" y="1155"/>
            <a:ext cx="2999" cy="3003"/>
          </a:xfrm>
          <a:prstGeom prst="ellipse">
            <a:avLst/>
          </a:prstGeom>
          <a:solidFill>
            <a:srgbClr val="FFFFFF"/>
          </a:solidFill>
          <a:ln w="9525">
            <a:solidFill>
              <a:srgbClr val="FF0000"/>
            </a:solidFill>
            <a:round/>
            <a:headEnd/>
            <a:tailEnd/>
          </a:ln>
        </xdr:spPr>
      </xdr:sp>
      <xdr:sp macro="" textlink="">
        <xdr:nvSpPr>
          <xdr:cNvPr id="3284" name="Arc 769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3285" name="Arc 769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3286" name="Line 7694"/>
          <xdr:cNvSpPr>
            <a:spLocks noChangeShapeType="1"/>
          </xdr:cNvSpPr>
        </xdr:nvSpPr>
        <xdr:spPr bwMode="auto">
          <a:xfrm>
            <a:off x="3771" y="6471"/>
            <a:ext cx="0" cy="3793"/>
          </a:xfrm>
          <a:prstGeom prst="line">
            <a:avLst/>
          </a:prstGeom>
          <a:noFill/>
          <a:ln w="9525">
            <a:solidFill>
              <a:srgbClr val="FF0000"/>
            </a:solidFill>
            <a:round/>
            <a:headEnd/>
            <a:tailEnd/>
          </a:ln>
        </xdr:spPr>
      </xdr:sp>
      <xdr:sp macro="" textlink="">
        <xdr:nvSpPr>
          <xdr:cNvPr id="3287" name="Line 7695"/>
          <xdr:cNvSpPr>
            <a:spLocks noChangeShapeType="1"/>
          </xdr:cNvSpPr>
        </xdr:nvSpPr>
        <xdr:spPr bwMode="auto">
          <a:xfrm>
            <a:off x="3771" y="10264"/>
            <a:ext cx="861" cy="4"/>
          </a:xfrm>
          <a:prstGeom prst="line">
            <a:avLst/>
          </a:prstGeom>
          <a:noFill/>
          <a:ln w="9525">
            <a:solidFill>
              <a:srgbClr val="FF0000"/>
            </a:solidFill>
            <a:round/>
            <a:headEnd/>
            <a:tailEnd/>
          </a:ln>
        </xdr:spPr>
      </xdr:sp>
      <xdr:sp macro="" textlink="">
        <xdr:nvSpPr>
          <xdr:cNvPr id="3288" name="Line 7696"/>
          <xdr:cNvSpPr>
            <a:spLocks noChangeShapeType="1"/>
          </xdr:cNvSpPr>
        </xdr:nvSpPr>
        <xdr:spPr bwMode="auto">
          <a:xfrm flipV="1">
            <a:off x="4632" y="6384"/>
            <a:ext cx="4" cy="3880"/>
          </a:xfrm>
          <a:prstGeom prst="line">
            <a:avLst/>
          </a:prstGeom>
          <a:noFill/>
          <a:ln w="9525">
            <a:solidFill>
              <a:srgbClr val="FF0000"/>
            </a:solidFill>
            <a:round/>
            <a:headEnd/>
            <a:tailEnd/>
          </a:ln>
        </xdr:spPr>
      </xdr:sp>
      <xdr:sp macro="" textlink="">
        <xdr:nvSpPr>
          <xdr:cNvPr id="3289" name="Line 7697"/>
          <xdr:cNvSpPr>
            <a:spLocks noChangeShapeType="1"/>
          </xdr:cNvSpPr>
        </xdr:nvSpPr>
        <xdr:spPr bwMode="auto">
          <a:xfrm>
            <a:off x="4636" y="6384"/>
            <a:ext cx="211" cy="0"/>
          </a:xfrm>
          <a:prstGeom prst="line">
            <a:avLst/>
          </a:prstGeom>
          <a:noFill/>
          <a:ln w="9525">
            <a:solidFill>
              <a:srgbClr val="FF0000"/>
            </a:solidFill>
            <a:round/>
            <a:headEnd/>
            <a:tailEnd/>
          </a:ln>
        </xdr:spPr>
      </xdr:sp>
      <xdr:sp macro="" textlink="">
        <xdr:nvSpPr>
          <xdr:cNvPr id="3290" name="Line 7698"/>
          <xdr:cNvSpPr>
            <a:spLocks noChangeShapeType="1"/>
          </xdr:cNvSpPr>
        </xdr:nvSpPr>
        <xdr:spPr bwMode="auto">
          <a:xfrm>
            <a:off x="4847" y="6384"/>
            <a:ext cx="0" cy="9701"/>
          </a:xfrm>
          <a:prstGeom prst="line">
            <a:avLst/>
          </a:prstGeom>
          <a:noFill/>
          <a:ln w="9525">
            <a:solidFill>
              <a:srgbClr val="FF0000"/>
            </a:solidFill>
            <a:round/>
            <a:headEnd/>
            <a:tailEnd/>
          </a:ln>
        </xdr:spPr>
      </xdr:sp>
      <xdr:sp macro="" textlink="">
        <xdr:nvSpPr>
          <xdr:cNvPr id="3291" name="Line 7699"/>
          <xdr:cNvSpPr>
            <a:spLocks noChangeShapeType="1"/>
          </xdr:cNvSpPr>
        </xdr:nvSpPr>
        <xdr:spPr bwMode="auto">
          <a:xfrm>
            <a:off x="4847" y="16085"/>
            <a:ext cx="1077" cy="0"/>
          </a:xfrm>
          <a:prstGeom prst="line">
            <a:avLst/>
          </a:prstGeom>
          <a:noFill/>
          <a:ln w="9525">
            <a:solidFill>
              <a:srgbClr val="FF0000"/>
            </a:solidFill>
            <a:round/>
            <a:headEnd/>
            <a:tailEnd/>
          </a:ln>
        </xdr:spPr>
      </xdr:sp>
      <xdr:sp macro="" textlink="">
        <xdr:nvSpPr>
          <xdr:cNvPr id="3292" name="Line 7700"/>
          <xdr:cNvSpPr>
            <a:spLocks noChangeShapeType="1"/>
          </xdr:cNvSpPr>
        </xdr:nvSpPr>
        <xdr:spPr bwMode="auto">
          <a:xfrm flipV="1">
            <a:off x="5924" y="10696"/>
            <a:ext cx="0" cy="5389"/>
          </a:xfrm>
          <a:prstGeom prst="line">
            <a:avLst/>
          </a:prstGeom>
          <a:noFill/>
          <a:ln w="9525">
            <a:solidFill>
              <a:srgbClr val="FF0000"/>
            </a:solidFill>
            <a:round/>
            <a:headEnd/>
            <a:tailEnd/>
          </a:ln>
        </xdr:spPr>
      </xdr:sp>
      <xdr:sp macro="" textlink="">
        <xdr:nvSpPr>
          <xdr:cNvPr id="3293" name="Line 7701"/>
          <xdr:cNvSpPr>
            <a:spLocks noChangeShapeType="1"/>
          </xdr:cNvSpPr>
        </xdr:nvSpPr>
        <xdr:spPr bwMode="auto">
          <a:xfrm>
            <a:off x="5924" y="10696"/>
            <a:ext cx="430" cy="3"/>
          </a:xfrm>
          <a:prstGeom prst="line">
            <a:avLst/>
          </a:prstGeom>
          <a:noFill/>
          <a:ln w="9525">
            <a:solidFill>
              <a:srgbClr val="FF0000"/>
            </a:solidFill>
            <a:round/>
            <a:headEnd/>
            <a:tailEnd/>
          </a:ln>
        </xdr:spPr>
      </xdr:sp>
      <xdr:sp macro="" textlink="">
        <xdr:nvSpPr>
          <xdr:cNvPr id="3294" name="Line 7702"/>
          <xdr:cNvSpPr>
            <a:spLocks noChangeShapeType="1"/>
          </xdr:cNvSpPr>
        </xdr:nvSpPr>
        <xdr:spPr bwMode="auto">
          <a:xfrm flipV="1">
            <a:off x="6354" y="10696"/>
            <a:ext cx="4" cy="5389"/>
          </a:xfrm>
          <a:prstGeom prst="line">
            <a:avLst/>
          </a:prstGeom>
          <a:noFill/>
          <a:ln w="9525">
            <a:solidFill>
              <a:srgbClr val="FF0000"/>
            </a:solidFill>
            <a:round/>
            <a:headEnd/>
            <a:tailEnd/>
          </a:ln>
        </xdr:spPr>
      </xdr:sp>
      <xdr:sp macro="" textlink="">
        <xdr:nvSpPr>
          <xdr:cNvPr id="3295" name="Line 7703"/>
          <xdr:cNvSpPr>
            <a:spLocks noChangeShapeType="1"/>
          </xdr:cNvSpPr>
        </xdr:nvSpPr>
        <xdr:spPr bwMode="auto">
          <a:xfrm>
            <a:off x="6354" y="16085"/>
            <a:ext cx="1077" cy="4"/>
          </a:xfrm>
          <a:prstGeom prst="line">
            <a:avLst/>
          </a:prstGeom>
          <a:noFill/>
          <a:ln w="9525">
            <a:solidFill>
              <a:srgbClr val="FF0000"/>
            </a:solidFill>
            <a:round/>
            <a:headEnd/>
            <a:tailEnd/>
          </a:ln>
        </xdr:spPr>
      </xdr:sp>
      <xdr:sp macro="" textlink="">
        <xdr:nvSpPr>
          <xdr:cNvPr id="3296" name="Line 7704"/>
          <xdr:cNvSpPr>
            <a:spLocks noChangeShapeType="1"/>
          </xdr:cNvSpPr>
        </xdr:nvSpPr>
        <xdr:spPr bwMode="auto">
          <a:xfrm flipV="1">
            <a:off x="7431" y="6384"/>
            <a:ext cx="0" cy="9701"/>
          </a:xfrm>
          <a:prstGeom prst="line">
            <a:avLst/>
          </a:prstGeom>
          <a:noFill/>
          <a:ln w="9525">
            <a:solidFill>
              <a:srgbClr val="FF0000"/>
            </a:solidFill>
            <a:round/>
            <a:headEnd/>
            <a:tailEnd/>
          </a:ln>
        </xdr:spPr>
      </xdr:sp>
      <xdr:sp macro="" textlink="">
        <xdr:nvSpPr>
          <xdr:cNvPr id="3297" name="Line 7705"/>
          <xdr:cNvSpPr>
            <a:spLocks noChangeShapeType="1"/>
          </xdr:cNvSpPr>
        </xdr:nvSpPr>
        <xdr:spPr bwMode="auto">
          <a:xfrm>
            <a:off x="7431" y="6384"/>
            <a:ext cx="211" cy="4"/>
          </a:xfrm>
          <a:prstGeom prst="line">
            <a:avLst/>
          </a:prstGeom>
          <a:noFill/>
          <a:ln w="9525">
            <a:solidFill>
              <a:srgbClr val="FF0000"/>
            </a:solidFill>
            <a:round/>
            <a:headEnd/>
            <a:tailEnd/>
          </a:ln>
        </xdr:spPr>
      </xdr:sp>
      <xdr:sp macro="" textlink="">
        <xdr:nvSpPr>
          <xdr:cNvPr id="3298" name="Line 7706"/>
          <xdr:cNvSpPr>
            <a:spLocks noChangeShapeType="1"/>
          </xdr:cNvSpPr>
        </xdr:nvSpPr>
        <xdr:spPr bwMode="auto">
          <a:xfrm>
            <a:off x="7665" y="6380"/>
            <a:ext cx="4" cy="3881"/>
          </a:xfrm>
          <a:prstGeom prst="line">
            <a:avLst/>
          </a:prstGeom>
          <a:noFill/>
          <a:ln w="9525">
            <a:solidFill>
              <a:srgbClr val="FF0000"/>
            </a:solidFill>
            <a:round/>
            <a:headEnd/>
            <a:tailEnd/>
          </a:ln>
        </xdr:spPr>
      </xdr:sp>
      <xdr:sp macro="" textlink="">
        <xdr:nvSpPr>
          <xdr:cNvPr id="3299" name="Line 7707"/>
          <xdr:cNvSpPr>
            <a:spLocks noChangeShapeType="1"/>
          </xdr:cNvSpPr>
        </xdr:nvSpPr>
        <xdr:spPr bwMode="auto">
          <a:xfrm>
            <a:off x="7665" y="10261"/>
            <a:ext cx="861" cy="3"/>
          </a:xfrm>
          <a:prstGeom prst="line">
            <a:avLst/>
          </a:prstGeom>
          <a:noFill/>
          <a:ln w="9525">
            <a:solidFill>
              <a:srgbClr val="FF0000"/>
            </a:solidFill>
            <a:round/>
            <a:headEnd/>
            <a:tailEnd/>
          </a:ln>
        </xdr:spPr>
      </xdr:sp>
      <xdr:sp macro="" textlink="">
        <xdr:nvSpPr>
          <xdr:cNvPr id="3300" name="Line 7708"/>
          <xdr:cNvSpPr>
            <a:spLocks noChangeShapeType="1"/>
          </xdr:cNvSpPr>
        </xdr:nvSpPr>
        <xdr:spPr bwMode="auto">
          <a:xfrm flipV="1">
            <a:off x="8526" y="6475"/>
            <a:ext cx="4" cy="3786"/>
          </a:xfrm>
          <a:prstGeom prst="line">
            <a:avLst/>
          </a:prstGeom>
          <a:noFill/>
          <a:ln w="9525">
            <a:solidFill>
              <a:srgbClr val="FF0000"/>
            </a:solidFill>
            <a:round/>
            <a:headEnd/>
            <a:tailEnd/>
          </a:ln>
        </xdr:spPr>
      </xdr:sp>
      <xdr:sp macro="" textlink="">
        <xdr:nvSpPr>
          <xdr:cNvPr id="3301" name="Line 7709"/>
          <xdr:cNvSpPr>
            <a:spLocks noChangeShapeType="1"/>
          </xdr:cNvSpPr>
        </xdr:nvSpPr>
        <xdr:spPr bwMode="auto">
          <a:xfrm flipH="1">
            <a:off x="5807" y="4432"/>
            <a:ext cx="683" cy="0"/>
          </a:xfrm>
          <a:prstGeom prst="line">
            <a:avLst/>
          </a:prstGeom>
          <a:noFill/>
          <a:ln w="9525">
            <a:solidFill>
              <a:srgbClr val="FF0000"/>
            </a:solidFill>
            <a:round/>
            <a:headEnd/>
            <a:tailEnd/>
          </a:ln>
        </xdr:spPr>
      </xdr:sp>
    </xdr:grpSp>
    <xdr:clientData/>
  </xdr:twoCellAnchor>
  <xdr:twoCellAnchor>
    <xdr:from>
      <xdr:col>4</xdr:col>
      <xdr:colOff>838200</xdr:colOff>
      <xdr:row>54</xdr:row>
      <xdr:rowOff>60960</xdr:rowOff>
    </xdr:from>
    <xdr:to>
      <xdr:col>4</xdr:col>
      <xdr:colOff>975360</xdr:colOff>
      <xdr:row>56</xdr:row>
      <xdr:rowOff>83820</xdr:rowOff>
    </xdr:to>
    <xdr:grpSp>
      <xdr:nvGrpSpPr>
        <xdr:cNvPr id="3302" name="Group 7710"/>
        <xdr:cNvGrpSpPr>
          <a:grpSpLocks/>
        </xdr:cNvGrpSpPr>
      </xdr:nvGrpSpPr>
      <xdr:grpSpPr bwMode="auto">
        <a:xfrm>
          <a:off x="5617029" y="8214360"/>
          <a:ext cx="137160" cy="327660"/>
          <a:chOff x="1857" y="2993"/>
          <a:chExt cx="4178" cy="10157"/>
        </a:xfrm>
      </xdr:grpSpPr>
      <xdr:grpSp>
        <xdr:nvGrpSpPr>
          <xdr:cNvPr id="3303" name="Group 7711"/>
          <xdr:cNvGrpSpPr>
            <a:grpSpLocks/>
          </xdr:cNvGrpSpPr>
        </xdr:nvGrpSpPr>
        <xdr:grpSpPr bwMode="auto">
          <a:xfrm rot="1441604">
            <a:off x="4764" y="2993"/>
            <a:ext cx="570" cy="2736"/>
            <a:chOff x="4251" y="2947"/>
            <a:chExt cx="570" cy="2736"/>
          </a:xfrm>
        </xdr:grpSpPr>
        <xdr:sp macro="" textlink="">
          <xdr:nvSpPr>
            <xdr:cNvPr id="3315" name="Line 7712"/>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3316" name="Line 7713"/>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3317" name="Line 7714"/>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3318" name="Line 7715"/>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3304" name="Group 7716"/>
          <xdr:cNvGrpSpPr>
            <a:grpSpLocks/>
          </xdr:cNvGrpSpPr>
        </xdr:nvGrpSpPr>
        <xdr:grpSpPr bwMode="auto">
          <a:xfrm rot="8464448">
            <a:off x="5468" y="5524"/>
            <a:ext cx="569" cy="2733"/>
            <a:chOff x="4677" y="4047"/>
            <a:chExt cx="495" cy="2386"/>
          </a:xfrm>
        </xdr:grpSpPr>
        <xdr:sp macro="" textlink="">
          <xdr:nvSpPr>
            <xdr:cNvPr id="3311" name="Line 7717"/>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3312" name="Line 7718"/>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3313" name="Line 7719"/>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3314" name="Line 7720"/>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3305" name="Group 7721"/>
          <xdr:cNvGrpSpPr>
            <a:grpSpLocks/>
          </xdr:cNvGrpSpPr>
        </xdr:nvGrpSpPr>
        <xdr:grpSpPr bwMode="auto">
          <a:xfrm rot="-5905833">
            <a:off x="2936" y="4830"/>
            <a:ext cx="571" cy="2733"/>
            <a:chOff x="4677" y="4047"/>
            <a:chExt cx="495" cy="2386"/>
          </a:xfrm>
        </xdr:grpSpPr>
        <xdr:sp macro="" textlink="">
          <xdr:nvSpPr>
            <xdr:cNvPr id="3307" name="Line 7722"/>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3308" name="Line 7723"/>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3309" name="Line 7724"/>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3310" name="Line 7725"/>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3306" name="AutoShape 772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54</xdr:row>
      <xdr:rowOff>76200</xdr:rowOff>
    </xdr:from>
    <xdr:to>
      <xdr:col>4</xdr:col>
      <xdr:colOff>342900</xdr:colOff>
      <xdr:row>56</xdr:row>
      <xdr:rowOff>83820</xdr:rowOff>
    </xdr:to>
    <xdr:grpSp>
      <xdr:nvGrpSpPr>
        <xdr:cNvPr id="3319" name="Group 7727"/>
        <xdr:cNvGrpSpPr>
          <a:grpSpLocks/>
        </xdr:cNvGrpSpPr>
      </xdr:nvGrpSpPr>
      <xdr:grpSpPr bwMode="auto">
        <a:xfrm>
          <a:off x="4885509" y="8229600"/>
          <a:ext cx="236220" cy="312420"/>
          <a:chOff x="5163" y="2548"/>
          <a:chExt cx="2109" cy="2909"/>
        </a:xfrm>
      </xdr:grpSpPr>
      <xdr:sp macro="" textlink="">
        <xdr:nvSpPr>
          <xdr:cNvPr id="3320" name="Rectangle 7728"/>
          <xdr:cNvSpPr>
            <a:spLocks noChangeArrowheads="1"/>
          </xdr:cNvSpPr>
        </xdr:nvSpPr>
        <xdr:spPr bwMode="auto">
          <a:xfrm>
            <a:off x="5163" y="2548"/>
            <a:ext cx="1938" cy="2736"/>
          </a:xfrm>
          <a:prstGeom prst="rect">
            <a:avLst/>
          </a:prstGeom>
          <a:solidFill>
            <a:srgbClr val="FFFFFF"/>
          </a:solidFill>
          <a:ln w="9525">
            <a:solidFill>
              <a:srgbClr val="FF0000"/>
            </a:solidFill>
            <a:miter lim="800000"/>
            <a:headEnd/>
            <a:tailEnd/>
          </a:ln>
        </xdr:spPr>
      </xdr:sp>
      <xdr:sp macro="" textlink="">
        <xdr:nvSpPr>
          <xdr:cNvPr id="3321" name="Line 7729"/>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3322" name="Line 7730"/>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3323" name="Line 7731"/>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3324" name="Line 7732"/>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3325" name="Line 7733"/>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3326" name="Line 7734"/>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3327" name="Line 7735"/>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3328" name="Line 7736"/>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3329" name="Line 7737"/>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3330" name="Line 7738"/>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3331" name="Line 7739"/>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3332" name="Line 7740"/>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3333" name="Line 7741"/>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54</xdr:row>
      <xdr:rowOff>114300</xdr:rowOff>
    </xdr:from>
    <xdr:to>
      <xdr:col>4</xdr:col>
      <xdr:colOff>1478280</xdr:colOff>
      <xdr:row>56</xdr:row>
      <xdr:rowOff>121920</xdr:rowOff>
    </xdr:to>
    <xdr:grpSp>
      <xdr:nvGrpSpPr>
        <xdr:cNvPr id="3334" name="Group 7742"/>
        <xdr:cNvGrpSpPr>
          <a:grpSpLocks/>
        </xdr:cNvGrpSpPr>
      </xdr:nvGrpSpPr>
      <xdr:grpSpPr bwMode="auto">
        <a:xfrm>
          <a:off x="5952309" y="8267700"/>
          <a:ext cx="304800" cy="312420"/>
          <a:chOff x="5238" y="4632"/>
          <a:chExt cx="1597" cy="1311"/>
        </a:xfrm>
      </xdr:grpSpPr>
      <xdr:sp macro="" textlink="">
        <xdr:nvSpPr>
          <xdr:cNvPr id="3335" name="Line 774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3336" name="Line 774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3337" name="Line 774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3338" name="Line 774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3339" name="Line 774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3340" name="Line 774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3341" name="Line 774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126</xdr:row>
      <xdr:rowOff>76200</xdr:rowOff>
    </xdr:from>
    <xdr:to>
      <xdr:col>4</xdr:col>
      <xdr:colOff>647700</xdr:colOff>
      <xdr:row>128</xdr:row>
      <xdr:rowOff>83820</xdr:rowOff>
    </xdr:to>
    <xdr:grpSp>
      <xdr:nvGrpSpPr>
        <xdr:cNvPr id="3402" name="Group 7810"/>
        <xdr:cNvGrpSpPr>
          <a:grpSpLocks/>
        </xdr:cNvGrpSpPr>
      </xdr:nvGrpSpPr>
      <xdr:grpSpPr bwMode="auto">
        <a:xfrm>
          <a:off x="5319849" y="20878800"/>
          <a:ext cx="106680" cy="355963"/>
          <a:chOff x="3771" y="1155"/>
          <a:chExt cx="4759" cy="14934"/>
        </a:xfrm>
      </xdr:grpSpPr>
      <xdr:sp macro="" textlink="">
        <xdr:nvSpPr>
          <xdr:cNvPr id="3403" name="Oval 781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3404" name="Arc 781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3405" name="Arc 781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3406" name="Line 781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3407" name="Line 781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3408" name="Line 781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3409" name="Line 781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3410" name="Line 781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3411" name="Line 781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3412" name="Line 782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3413" name="Line 782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3414" name="Line 782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3415" name="Line 782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3416" name="Line 782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3417" name="Line 782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3418" name="Line 782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3419" name="Line 782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3420" name="Line 782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3421" name="Line 782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126</xdr:row>
      <xdr:rowOff>60960</xdr:rowOff>
    </xdr:from>
    <xdr:to>
      <xdr:col>4</xdr:col>
      <xdr:colOff>975360</xdr:colOff>
      <xdr:row>128</xdr:row>
      <xdr:rowOff>83820</xdr:rowOff>
    </xdr:to>
    <xdr:grpSp>
      <xdr:nvGrpSpPr>
        <xdr:cNvPr id="3422" name="Group 7830"/>
        <xdr:cNvGrpSpPr>
          <a:grpSpLocks/>
        </xdr:cNvGrpSpPr>
      </xdr:nvGrpSpPr>
      <xdr:grpSpPr bwMode="auto">
        <a:xfrm>
          <a:off x="5617029" y="20863560"/>
          <a:ext cx="137160" cy="371203"/>
          <a:chOff x="1857" y="2993"/>
          <a:chExt cx="4178" cy="10157"/>
        </a:xfrm>
      </xdr:grpSpPr>
      <xdr:grpSp>
        <xdr:nvGrpSpPr>
          <xdr:cNvPr id="3423" name="Group 7831"/>
          <xdr:cNvGrpSpPr>
            <a:grpSpLocks/>
          </xdr:cNvGrpSpPr>
        </xdr:nvGrpSpPr>
        <xdr:grpSpPr bwMode="auto">
          <a:xfrm rot="1441604">
            <a:off x="4764" y="2993"/>
            <a:ext cx="570" cy="2736"/>
            <a:chOff x="4251" y="2947"/>
            <a:chExt cx="570" cy="2736"/>
          </a:xfrm>
        </xdr:grpSpPr>
        <xdr:sp macro="" textlink="">
          <xdr:nvSpPr>
            <xdr:cNvPr id="3435" name="Line 7832"/>
            <xdr:cNvSpPr>
              <a:spLocks noChangeShapeType="1"/>
            </xdr:cNvSpPr>
          </xdr:nvSpPr>
          <xdr:spPr bwMode="auto">
            <a:xfrm flipV="1">
              <a:off x="4251" y="2947"/>
              <a:ext cx="400" cy="1938"/>
            </a:xfrm>
            <a:prstGeom prst="line">
              <a:avLst/>
            </a:prstGeom>
            <a:noFill/>
            <a:ln w="9525">
              <a:solidFill>
                <a:srgbClr val="FF0000"/>
              </a:solidFill>
              <a:round/>
              <a:headEnd/>
              <a:tailEnd/>
            </a:ln>
          </xdr:spPr>
        </xdr:sp>
        <xdr:sp macro="" textlink="">
          <xdr:nvSpPr>
            <xdr:cNvPr id="3436" name="Line 7833"/>
            <xdr:cNvSpPr>
              <a:spLocks noChangeShapeType="1"/>
            </xdr:cNvSpPr>
          </xdr:nvSpPr>
          <xdr:spPr bwMode="auto">
            <a:xfrm>
              <a:off x="4651" y="2947"/>
              <a:ext cx="170" cy="0"/>
            </a:xfrm>
            <a:prstGeom prst="line">
              <a:avLst/>
            </a:prstGeom>
            <a:noFill/>
            <a:ln w="9525">
              <a:solidFill>
                <a:srgbClr val="FF0000"/>
              </a:solidFill>
              <a:round/>
              <a:headEnd/>
              <a:tailEnd/>
            </a:ln>
          </xdr:spPr>
        </xdr:sp>
        <xdr:sp macro="" textlink="">
          <xdr:nvSpPr>
            <xdr:cNvPr id="3437" name="Line 7834"/>
            <xdr:cNvSpPr>
              <a:spLocks noChangeShapeType="1"/>
            </xdr:cNvSpPr>
          </xdr:nvSpPr>
          <xdr:spPr bwMode="auto">
            <a:xfrm>
              <a:off x="4821" y="2947"/>
              <a:ext cx="0" cy="2678"/>
            </a:xfrm>
            <a:prstGeom prst="line">
              <a:avLst/>
            </a:prstGeom>
            <a:noFill/>
            <a:ln w="9525">
              <a:solidFill>
                <a:srgbClr val="FF0000"/>
              </a:solidFill>
              <a:round/>
              <a:headEnd/>
              <a:tailEnd/>
            </a:ln>
          </xdr:spPr>
        </xdr:sp>
        <xdr:sp macro="" textlink="">
          <xdr:nvSpPr>
            <xdr:cNvPr id="3438" name="Line 7835"/>
            <xdr:cNvSpPr>
              <a:spLocks noChangeShapeType="1"/>
            </xdr:cNvSpPr>
          </xdr:nvSpPr>
          <xdr:spPr bwMode="auto">
            <a:xfrm>
              <a:off x="4251" y="4885"/>
              <a:ext cx="400" cy="798"/>
            </a:xfrm>
            <a:prstGeom prst="line">
              <a:avLst/>
            </a:prstGeom>
            <a:noFill/>
            <a:ln w="9525">
              <a:solidFill>
                <a:srgbClr val="FF0000"/>
              </a:solidFill>
              <a:round/>
              <a:headEnd/>
              <a:tailEnd/>
            </a:ln>
          </xdr:spPr>
        </xdr:sp>
      </xdr:grpSp>
      <xdr:grpSp>
        <xdr:nvGrpSpPr>
          <xdr:cNvPr id="3424" name="Group 7836"/>
          <xdr:cNvGrpSpPr>
            <a:grpSpLocks/>
          </xdr:cNvGrpSpPr>
        </xdr:nvGrpSpPr>
        <xdr:grpSpPr bwMode="auto">
          <a:xfrm rot="8464448">
            <a:off x="5468" y="5524"/>
            <a:ext cx="569" cy="2733"/>
            <a:chOff x="4677" y="4047"/>
            <a:chExt cx="495" cy="2386"/>
          </a:xfrm>
        </xdr:grpSpPr>
        <xdr:sp macro="" textlink="">
          <xdr:nvSpPr>
            <xdr:cNvPr id="3431" name="Line 7837"/>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3432" name="Line 7838"/>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3433" name="Line 7839"/>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3434" name="Line 7840"/>
            <xdr:cNvSpPr>
              <a:spLocks noChangeShapeType="1"/>
            </xdr:cNvSpPr>
          </xdr:nvSpPr>
          <xdr:spPr bwMode="auto">
            <a:xfrm>
              <a:off x="4677" y="5737"/>
              <a:ext cx="347" cy="696"/>
            </a:xfrm>
            <a:prstGeom prst="line">
              <a:avLst/>
            </a:prstGeom>
            <a:noFill/>
            <a:ln w="9525">
              <a:solidFill>
                <a:srgbClr val="FF0000"/>
              </a:solidFill>
              <a:round/>
              <a:headEnd/>
              <a:tailEnd/>
            </a:ln>
          </xdr:spPr>
        </xdr:sp>
      </xdr:grpSp>
      <xdr:grpSp>
        <xdr:nvGrpSpPr>
          <xdr:cNvPr id="3425" name="Group 7841"/>
          <xdr:cNvGrpSpPr>
            <a:grpSpLocks/>
          </xdr:cNvGrpSpPr>
        </xdr:nvGrpSpPr>
        <xdr:grpSpPr bwMode="auto">
          <a:xfrm rot="-5905833">
            <a:off x="2936" y="4830"/>
            <a:ext cx="571" cy="2733"/>
            <a:chOff x="4677" y="4047"/>
            <a:chExt cx="495" cy="2386"/>
          </a:xfrm>
        </xdr:grpSpPr>
        <xdr:sp macro="" textlink="">
          <xdr:nvSpPr>
            <xdr:cNvPr id="3427" name="Line 7842"/>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3428" name="Line 7843"/>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3429" name="Line 7844"/>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3430" name="Line 7845"/>
            <xdr:cNvSpPr>
              <a:spLocks noChangeShapeType="1"/>
            </xdr:cNvSpPr>
          </xdr:nvSpPr>
          <xdr:spPr bwMode="auto">
            <a:xfrm>
              <a:off x="4677" y="5737"/>
              <a:ext cx="347" cy="696"/>
            </a:xfrm>
            <a:prstGeom prst="line">
              <a:avLst/>
            </a:prstGeom>
            <a:noFill/>
            <a:ln w="9525">
              <a:solidFill>
                <a:srgbClr val="FF0000"/>
              </a:solidFill>
              <a:round/>
              <a:headEnd/>
              <a:tailEnd/>
            </a:ln>
          </xdr:spPr>
        </xdr:sp>
      </xdr:grpSp>
      <xdr:sp macro="" textlink="">
        <xdr:nvSpPr>
          <xdr:cNvPr id="3426" name="AutoShape 784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FF0000"/>
            </a:solidFill>
            <a:miter lim="800000"/>
            <a:headEnd/>
            <a:tailEnd/>
          </a:ln>
        </xdr:spPr>
      </xdr:sp>
    </xdr:grpSp>
    <xdr:clientData/>
  </xdr:twoCellAnchor>
  <xdr:twoCellAnchor>
    <xdr:from>
      <xdr:col>4</xdr:col>
      <xdr:colOff>106680</xdr:colOff>
      <xdr:row>126</xdr:row>
      <xdr:rowOff>76200</xdr:rowOff>
    </xdr:from>
    <xdr:to>
      <xdr:col>4</xdr:col>
      <xdr:colOff>342900</xdr:colOff>
      <xdr:row>128</xdr:row>
      <xdr:rowOff>83820</xdr:rowOff>
    </xdr:to>
    <xdr:grpSp>
      <xdr:nvGrpSpPr>
        <xdr:cNvPr id="3439" name="Group 7847"/>
        <xdr:cNvGrpSpPr>
          <a:grpSpLocks/>
        </xdr:cNvGrpSpPr>
      </xdr:nvGrpSpPr>
      <xdr:grpSpPr bwMode="auto">
        <a:xfrm>
          <a:off x="4885509" y="20878800"/>
          <a:ext cx="236220" cy="355963"/>
          <a:chOff x="5163" y="2548"/>
          <a:chExt cx="2109" cy="2909"/>
        </a:xfrm>
      </xdr:grpSpPr>
      <xdr:sp macro="" textlink="">
        <xdr:nvSpPr>
          <xdr:cNvPr id="3440" name="Rectangle 7848"/>
          <xdr:cNvSpPr>
            <a:spLocks noChangeArrowheads="1"/>
          </xdr:cNvSpPr>
        </xdr:nvSpPr>
        <xdr:spPr bwMode="auto">
          <a:xfrm>
            <a:off x="5163" y="2548"/>
            <a:ext cx="1938" cy="2736"/>
          </a:xfrm>
          <a:prstGeom prst="rect">
            <a:avLst/>
          </a:prstGeom>
          <a:solidFill>
            <a:srgbClr val="FFFFFF"/>
          </a:solidFill>
          <a:ln w="9525" algn="ctr">
            <a:solidFill>
              <a:srgbClr val="C0C0C0"/>
            </a:solidFill>
            <a:miter lim="800000"/>
            <a:headEnd/>
            <a:tailEnd/>
          </a:ln>
        </xdr:spPr>
      </xdr:sp>
      <xdr:sp macro="" textlink="">
        <xdr:nvSpPr>
          <xdr:cNvPr id="3441" name="Line 7849"/>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3442" name="Line 7850"/>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3443" name="Line 7851"/>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3444" name="Line 7852"/>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3445" name="Line 7853"/>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3446" name="Line 7854"/>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3447" name="Line 7855"/>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3448" name="Line 7856"/>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3449" name="Line 7857"/>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3450" name="Line 7858"/>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3451" name="Line 7859"/>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3452" name="Line 7860"/>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3453" name="Line 7861"/>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126</xdr:row>
      <xdr:rowOff>114300</xdr:rowOff>
    </xdr:from>
    <xdr:to>
      <xdr:col>4</xdr:col>
      <xdr:colOff>1478280</xdr:colOff>
      <xdr:row>128</xdr:row>
      <xdr:rowOff>121920</xdr:rowOff>
    </xdr:to>
    <xdr:grpSp>
      <xdr:nvGrpSpPr>
        <xdr:cNvPr id="3454" name="Group 7862"/>
        <xdr:cNvGrpSpPr>
          <a:grpSpLocks/>
        </xdr:cNvGrpSpPr>
      </xdr:nvGrpSpPr>
      <xdr:grpSpPr bwMode="auto">
        <a:xfrm>
          <a:off x="5952309" y="20916900"/>
          <a:ext cx="304800" cy="355963"/>
          <a:chOff x="5238" y="4632"/>
          <a:chExt cx="1597" cy="1311"/>
        </a:xfrm>
      </xdr:grpSpPr>
      <xdr:sp macro="" textlink="">
        <xdr:nvSpPr>
          <xdr:cNvPr id="3455" name="Line 786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3456" name="Line 786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3457" name="Line 786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3458" name="Line 786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3459" name="Line 786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3460" name="Line 786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3461" name="Line 786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129</xdr:row>
      <xdr:rowOff>76200</xdr:rowOff>
    </xdr:from>
    <xdr:to>
      <xdr:col>4</xdr:col>
      <xdr:colOff>647700</xdr:colOff>
      <xdr:row>131</xdr:row>
      <xdr:rowOff>83820</xdr:rowOff>
    </xdr:to>
    <xdr:grpSp>
      <xdr:nvGrpSpPr>
        <xdr:cNvPr id="3462" name="Group 7870"/>
        <xdr:cNvGrpSpPr>
          <a:grpSpLocks/>
        </xdr:cNvGrpSpPr>
      </xdr:nvGrpSpPr>
      <xdr:grpSpPr bwMode="auto">
        <a:xfrm>
          <a:off x="5319849" y="21412200"/>
          <a:ext cx="106680" cy="355963"/>
          <a:chOff x="3771" y="1155"/>
          <a:chExt cx="4759" cy="14934"/>
        </a:xfrm>
      </xdr:grpSpPr>
      <xdr:sp macro="" textlink="">
        <xdr:nvSpPr>
          <xdr:cNvPr id="3463" name="Oval 787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3464" name="Arc 787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3465" name="Arc 787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3466" name="Line 787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3467" name="Line 787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3468" name="Line 787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3469" name="Line 787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3470" name="Line 787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3471" name="Line 787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3472" name="Line 788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3473" name="Line 788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3474" name="Line 788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3475" name="Line 788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3476" name="Line 788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3477" name="Line 788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3478" name="Line 788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3479" name="Line 788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3480" name="Line 788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3481" name="Line 788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129</xdr:row>
      <xdr:rowOff>60960</xdr:rowOff>
    </xdr:from>
    <xdr:to>
      <xdr:col>4</xdr:col>
      <xdr:colOff>975360</xdr:colOff>
      <xdr:row>131</xdr:row>
      <xdr:rowOff>83820</xdr:rowOff>
    </xdr:to>
    <xdr:grpSp>
      <xdr:nvGrpSpPr>
        <xdr:cNvPr id="3482" name="Group 7890"/>
        <xdr:cNvGrpSpPr>
          <a:grpSpLocks/>
        </xdr:cNvGrpSpPr>
      </xdr:nvGrpSpPr>
      <xdr:grpSpPr bwMode="auto">
        <a:xfrm>
          <a:off x="5617029" y="21396960"/>
          <a:ext cx="137160" cy="371203"/>
          <a:chOff x="1857" y="2993"/>
          <a:chExt cx="4178" cy="10157"/>
        </a:xfrm>
      </xdr:grpSpPr>
      <xdr:grpSp>
        <xdr:nvGrpSpPr>
          <xdr:cNvPr id="3483" name="Group 7891"/>
          <xdr:cNvGrpSpPr>
            <a:grpSpLocks/>
          </xdr:cNvGrpSpPr>
        </xdr:nvGrpSpPr>
        <xdr:grpSpPr bwMode="auto">
          <a:xfrm rot="1441604">
            <a:off x="4764" y="2993"/>
            <a:ext cx="570" cy="2736"/>
            <a:chOff x="4251" y="2947"/>
            <a:chExt cx="570" cy="2736"/>
          </a:xfrm>
        </xdr:grpSpPr>
        <xdr:sp macro="" textlink="">
          <xdr:nvSpPr>
            <xdr:cNvPr id="3495" name="Line 7892"/>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3496" name="Line 7893"/>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3497" name="Line 7894"/>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3498" name="Line 7895"/>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3484" name="Group 7896"/>
          <xdr:cNvGrpSpPr>
            <a:grpSpLocks/>
          </xdr:cNvGrpSpPr>
        </xdr:nvGrpSpPr>
        <xdr:grpSpPr bwMode="auto">
          <a:xfrm rot="8464448">
            <a:off x="5468" y="5524"/>
            <a:ext cx="569" cy="2733"/>
            <a:chOff x="4677" y="4047"/>
            <a:chExt cx="495" cy="2386"/>
          </a:xfrm>
        </xdr:grpSpPr>
        <xdr:sp macro="" textlink="">
          <xdr:nvSpPr>
            <xdr:cNvPr id="3491" name="Line 7897"/>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3492" name="Line 7898"/>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3493" name="Line 7899"/>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3494" name="Line 7900"/>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3485" name="Group 7901"/>
          <xdr:cNvGrpSpPr>
            <a:grpSpLocks/>
          </xdr:cNvGrpSpPr>
        </xdr:nvGrpSpPr>
        <xdr:grpSpPr bwMode="auto">
          <a:xfrm rot="-5905833">
            <a:off x="2936" y="4830"/>
            <a:ext cx="571" cy="2733"/>
            <a:chOff x="4677" y="4047"/>
            <a:chExt cx="495" cy="2386"/>
          </a:xfrm>
        </xdr:grpSpPr>
        <xdr:sp macro="" textlink="">
          <xdr:nvSpPr>
            <xdr:cNvPr id="3487" name="Line 7902"/>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3488" name="Line 7903"/>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3489" name="Line 7904"/>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3490" name="Line 7905"/>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3486" name="AutoShape 790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129</xdr:row>
      <xdr:rowOff>76200</xdr:rowOff>
    </xdr:from>
    <xdr:to>
      <xdr:col>4</xdr:col>
      <xdr:colOff>342900</xdr:colOff>
      <xdr:row>131</xdr:row>
      <xdr:rowOff>83820</xdr:rowOff>
    </xdr:to>
    <xdr:grpSp>
      <xdr:nvGrpSpPr>
        <xdr:cNvPr id="3499" name="Group 7907"/>
        <xdr:cNvGrpSpPr>
          <a:grpSpLocks/>
        </xdr:cNvGrpSpPr>
      </xdr:nvGrpSpPr>
      <xdr:grpSpPr bwMode="auto">
        <a:xfrm>
          <a:off x="4885509" y="21412200"/>
          <a:ext cx="236220" cy="355963"/>
          <a:chOff x="5163" y="2548"/>
          <a:chExt cx="2109" cy="2909"/>
        </a:xfrm>
      </xdr:grpSpPr>
      <xdr:sp macro="" textlink="">
        <xdr:nvSpPr>
          <xdr:cNvPr id="3500" name="Rectangle 7908"/>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3501" name="Line 7909"/>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3502" name="Line 7910"/>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3503" name="Line 7911"/>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3504" name="Line 7912"/>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3505" name="Line 7913"/>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3506" name="Line 7914"/>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3507" name="Line 7915"/>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3508" name="Line 7916"/>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3509" name="Line 7917"/>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3510" name="Line 7918"/>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3511" name="Line 7919"/>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3512" name="Line 7920"/>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3513" name="Line 7921"/>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129</xdr:row>
      <xdr:rowOff>114300</xdr:rowOff>
    </xdr:from>
    <xdr:to>
      <xdr:col>4</xdr:col>
      <xdr:colOff>1478280</xdr:colOff>
      <xdr:row>131</xdr:row>
      <xdr:rowOff>121920</xdr:rowOff>
    </xdr:to>
    <xdr:grpSp>
      <xdr:nvGrpSpPr>
        <xdr:cNvPr id="3514" name="Group 7922"/>
        <xdr:cNvGrpSpPr>
          <a:grpSpLocks/>
        </xdr:cNvGrpSpPr>
      </xdr:nvGrpSpPr>
      <xdr:grpSpPr bwMode="auto">
        <a:xfrm>
          <a:off x="5952309" y="21450300"/>
          <a:ext cx="304800" cy="355963"/>
          <a:chOff x="5238" y="4632"/>
          <a:chExt cx="1597" cy="1311"/>
        </a:xfrm>
      </xdr:grpSpPr>
      <xdr:sp macro="" textlink="">
        <xdr:nvSpPr>
          <xdr:cNvPr id="3515" name="Line 792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3516" name="Line 792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3517" name="Line 792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3518" name="Line 792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3519" name="Line 792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3520" name="Line 792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3521" name="Line 792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120</xdr:row>
      <xdr:rowOff>76200</xdr:rowOff>
    </xdr:from>
    <xdr:to>
      <xdr:col>4</xdr:col>
      <xdr:colOff>647700</xdr:colOff>
      <xdr:row>122</xdr:row>
      <xdr:rowOff>83820</xdr:rowOff>
    </xdr:to>
    <xdr:grpSp>
      <xdr:nvGrpSpPr>
        <xdr:cNvPr id="3762" name="Group 8350"/>
        <xdr:cNvGrpSpPr>
          <a:grpSpLocks/>
        </xdr:cNvGrpSpPr>
      </xdr:nvGrpSpPr>
      <xdr:grpSpPr bwMode="auto">
        <a:xfrm>
          <a:off x="5319849" y="19812000"/>
          <a:ext cx="106680" cy="355963"/>
          <a:chOff x="3771" y="1155"/>
          <a:chExt cx="4759" cy="14934"/>
        </a:xfrm>
      </xdr:grpSpPr>
      <xdr:sp macro="" textlink="">
        <xdr:nvSpPr>
          <xdr:cNvPr id="3763" name="Oval 835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3764" name="Arc 835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3765" name="Arc 835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3766" name="Line 835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3767" name="Line 835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3768" name="Line 835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3769" name="Line 835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3770" name="Line 835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3771" name="Line 835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3772" name="Line 836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3773" name="Line 836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3774" name="Line 836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3775" name="Line 836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3776" name="Line 836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3777" name="Line 836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3778" name="Line 836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3779" name="Line 836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3780" name="Line 836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3781" name="Line 836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120</xdr:row>
      <xdr:rowOff>60960</xdr:rowOff>
    </xdr:from>
    <xdr:to>
      <xdr:col>4</xdr:col>
      <xdr:colOff>975360</xdr:colOff>
      <xdr:row>122</xdr:row>
      <xdr:rowOff>83820</xdr:rowOff>
    </xdr:to>
    <xdr:grpSp>
      <xdr:nvGrpSpPr>
        <xdr:cNvPr id="3782" name="Group 8370"/>
        <xdr:cNvGrpSpPr>
          <a:grpSpLocks/>
        </xdr:cNvGrpSpPr>
      </xdr:nvGrpSpPr>
      <xdr:grpSpPr bwMode="auto">
        <a:xfrm>
          <a:off x="5617029" y="19796760"/>
          <a:ext cx="137160" cy="371203"/>
          <a:chOff x="1857" y="2993"/>
          <a:chExt cx="4178" cy="10157"/>
        </a:xfrm>
      </xdr:grpSpPr>
      <xdr:grpSp>
        <xdr:nvGrpSpPr>
          <xdr:cNvPr id="3783" name="Group 8371"/>
          <xdr:cNvGrpSpPr>
            <a:grpSpLocks/>
          </xdr:cNvGrpSpPr>
        </xdr:nvGrpSpPr>
        <xdr:grpSpPr bwMode="auto">
          <a:xfrm rot="1441604">
            <a:off x="4764" y="2993"/>
            <a:ext cx="570" cy="2736"/>
            <a:chOff x="4251" y="2947"/>
            <a:chExt cx="570" cy="2736"/>
          </a:xfrm>
        </xdr:grpSpPr>
        <xdr:sp macro="" textlink="">
          <xdr:nvSpPr>
            <xdr:cNvPr id="3795" name="Line 8372"/>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3796" name="Line 8373"/>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3797" name="Line 8374"/>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3798" name="Line 8375"/>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3784" name="Group 8376"/>
          <xdr:cNvGrpSpPr>
            <a:grpSpLocks/>
          </xdr:cNvGrpSpPr>
        </xdr:nvGrpSpPr>
        <xdr:grpSpPr bwMode="auto">
          <a:xfrm rot="8464448">
            <a:off x="5468" y="5524"/>
            <a:ext cx="569" cy="2733"/>
            <a:chOff x="4677" y="4047"/>
            <a:chExt cx="495" cy="2386"/>
          </a:xfrm>
        </xdr:grpSpPr>
        <xdr:sp macro="" textlink="">
          <xdr:nvSpPr>
            <xdr:cNvPr id="3791" name="Line 8377"/>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3792" name="Line 8378"/>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3793" name="Line 8379"/>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3794" name="Line 8380"/>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3785" name="Group 8381"/>
          <xdr:cNvGrpSpPr>
            <a:grpSpLocks/>
          </xdr:cNvGrpSpPr>
        </xdr:nvGrpSpPr>
        <xdr:grpSpPr bwMode="auto">
          <a:xfrm rot="-5905833">
            <a:off x="2936" y="4830"/>
            <a:ext cx="571" cy="2733"/>
            <a:chOff x="4677" y="4047"/>
            <a:chExt cx="495" cy="2386"/>
          </a:xfrm>
        </xdr:grpSpPr>
        <xdr:sp macro="" textlink="">
          <xdr:nvSpPr>
            <xdr:cNvPr id="3787" name="Line 8382"/>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3788" name="Line 8383"/>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3789" name="Line 8384"/>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3790" name="Line 8385"/>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3786" name="AutoShape 838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120</xdr:row>
      <xdr:rowOff>76200</xdr:rowOff>
    </xdr:from>
    <xdr:to>
      <xdr:col>4</xdr:col>
      <xdr:colOff>342900</xdr:colOff>
      <xdr:row>122</xdr:row>
      <xdr:rowOff>83820</xdr:rowOff>
    </xdr:to>
    <xdr:grpSp>
      <xdr:nvGrpSpPr>
        <xdr:cNvPr id="3799" name="Group 8387"/>
        <xdr:cNvGrpSpPr>
          <a:grpSpLocks/>
        </xdr:cNvGrpSpPr>
      </xdr:nvGrpSpPr>
      <xdr:grpSpPr bwMode="auto">
        <a:xfrm>
          <a:off x="4885509" y="19812000"/>
          <a:ext cx="236220" cy="355963"/>
          <a:chOff x="5163" y="2548"/>
          <a:chExt cx="2109" cy="2909"/>
        </a:xfrm>
      </xdr:grpSpPr>
      <xdr:sp macro="" textlink="">
        <xdr:nvSpPr>
          <xdr:cNvPr id="3800" name="Rectangle 8388"/>
          <xdr:cNvSpPr>
            <a:spLocks noChangeArrowheads="1"/>
          </xdr:cNvSpPr>
        </xdr:nvSpPr>
        <xdr:spPr bwMode="auto">
          <a:xfrm>
            <a:off x="5163" y="2548"/>
            <a:ext cx="1938" cy="2736"/>
          </a:xfrm>
          <a:prstGeom prst="rect">
            <a:avLst/>
          </a:prstGeom>
          <a:solidFill>
            <a:srgbClr val="FFFFFF"/>
          </a:solidFill>
          <a:ln w="9525" algn="ctr">
            <a:solidFill>
              <a:srgbClr val="C0C0C0"/>
            </a:solidFill>
            <a:miter lim="800000"/>
            <a:headEnd/>
            <a:tailEnd/>
          </a:ln>
        </xdr:spPr>
      </xdr:sp>
      <xdr:sp macro="" textlink="">
        <xdr:nvSpPr>
          <xdr:cNvPr id="3801" name="Line 8389"/>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3802" name="Line 8390"/>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3803" name="Line 8391"/>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3804" name="Line 8392"/>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3805" name="Line 8393"/>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3806" name="Line 8394"/>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3807" name="Line 8395"/>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3808" name="Line 8396"/>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3809" name="Line 8397"/>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3810" name="Line 8398"/>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3811" name="Line 8399"/>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3812" name="Line 8400"/>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3813" name="Line 8401"/>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120</xdr:row>
      <xdr:rowOff>114300</xdr:rowOff>
    </xdr:from>
    <xdr:to>
      <xdr:col>4</xdr:col>
      <xdr:colOff>1478280</xdr:colOff>
      <xdr:row>122</xdr:row>
      <xdr:rowOff>121920</xdr:rowOff>
    </xdr:to>
    <xdr:grpSp>
      <xdr:nvGrpSpPr>
        <xdr:cNvPr id="3814" name="Group 8402"/>
        <xdr:cNvGrpSpPr>
          <a:grpSpLocks/>
        </xdr:cNvGrpSpPr>
      </xdr:nvGrpSpPr>
      <xdr:grpSpPr bwMode="auto">
        <a:xfrm>
          <a:off x="5952309" y="19850100"/>
          <a:ext cx="304800" cy="355963"/>
          <a:chOff x="5238" y="4632"/>
          <a:chExt cx="1597" cy="1311"/>
        </a:xfrm>
      </xdr:grpSpPr>
      <xdr:sp macro="" textlink="">
        <xdr:nvSpPr>
          <xdr:cNvPr id="3815" name="Line 840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3816" name="Line 840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3817" name="Line 840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3818" name="Line 840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3819" name="Line 840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3820" name="Line 840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3821" name="Line 840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207</xdr:row>
      <xdr:rowOff>76200</xdr:rowOff>
    </xdr:from>
    <xdr:to>
      <xdr:col>4</xdr:col>
      <xdr:colOff>647700</xdr:colOff>
      <xdr:row>209</xdr:row>
      <xdr:rowOff>83820</xdr:rowOff>
    </xdr:to>
    <xdr:grpSp>
      <xdr:nvGrpSpPr>
        <xdr:cNvPr id="3882" name="Group 8650"/>
        <xdr:cNvGrpSpPr>
          <a:grpSpLocks/>
        </xdr:cNvGrpSpPr>
      </xdr:nvGrpSpPr>
      <xdr:grpSpPr bwMode="auto">
        <a:xfrm>
          <a:off x="5319849" y="35280600"/>
          <a:ext cx="106680" cy="355963"/>
          <a:chOff x="3771" y="1155"/>
          <a:chExt cx="4759" cy="14934"/>
        </a:xfrm>
      </xdr:grpSpPr>
      <xdr:sp macro="" textlink="">
        <xdr:nvSpPr>
          <xdr:cNvPr id="3883" name="Oval 865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3884" name="Arc 865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3885" name="Arc 865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3886" name="Line 865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3887" name="Line 865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3888" name="Line 865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3889" name="Line 865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3890" name="Line 865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3891" name="Line 865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3892" name="Line 866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3893" name="Line 866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3894" name="Line 866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3895" name="Line 866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3896" name="Line 866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3897" name="Line 866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3898" name="Line 866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3899" name="Line 866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3900" name="Line 866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3901" name="Line 866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207</xdr:row>
      <xdr:rowOff>60960</xdr:rowOff>
    </xdr:from>
    <xdr:to>
      <xdr:col>4</xdr:col>
      <xdr:colOff>975360</xdr:colOff>
      <xdr:row>209</xdr:row>
      <xdr:rowOff>83820</xdr:rowOff>
    </xdr:to>
    <xdr:grpSp>
      <xdr:nvGrpSpPr>
        <xdr:cNvPr id="3902" name="Group 8670"/>
        <xdr:cNvGrpSpPr>
          <a:grpSpLocks/>
        </xdr:cNvGrpSpPr>
      </xdr:nvGrpSpPr>
      <xdr:grpSpPr bwMode="auto">
        <a:xfrm>
          <a:off x="5617029" y="35265360"/>
          <a:ext cx="137160" cy="371203"/>
          <a:chOff x="1857" y="2993"/>
          <a:chExt cx="4178" cy="10157"/>
        </a:xfrm>
      </xdr:grpSpPr>
      <xdr:grpSp>
        <xdr:nvGrpSpPr>
          <xdr:cNvPr id="3903" name="Group 8671"/>
          <xdr:cNvGrpSpPr>
            <a:grpSpLocks/>
          </xdr:cNvGrpSpPr>
        </xdr:nvGrpSpPr>
        <xdr:grpSpPr bwMode="auto">
          <a:xfrm rot="1441604">
            <a:off x="4764" y="2993"/>
            <a:ext cx="570" cy="2736"/>
            <a:chOff x="4251" y="2947"/>
            <a:chExt cx="570" cy="2736"/>
          </a:xfrm>
        </xdr:grpSpPr>
        <xdr:sp macro="" textlink="">
          <xdr:nvSpPr>
            <xdr:cNvPr id="3915" name="Line 8672"/>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3916" name="Line 8673"/>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3917" name="Line 8674"/>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3918" name="Line 8675"/>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3904" name="Group 8676"/>
          <xdr:cNvGrpSpPr>
            <a:grpSpLocks/>
          </xdr:cNvGrpSpPr>
        </xdr:nvGrpSpPr>
        <xdr:grpSpPr bwMode="auto">
          <a:xfrm rot="8464448">
            <a:off x="5468" y="5524"/>
            <a:ext cx="569" cy="2733"/>
            <a:chOff x="4677" y="4047"/>
            <a:chExt cx="495" cy="2386"/>
          </a:xfrm>
        </xdr:grpSpPr>
        <xdr:sp macro="" textlink="">
          <xdr:nvSpPr>
            <xdr:cNvPr id="3911" name="Line 8677"/>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3912" name="Line 8678"/>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3913" name="Line 8679"/>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3914" name="Line 8680"/>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3905" name="Group 8681"/>
          <xdr:cNvGrpSpPr>
            <a:grpSpLocks/>
          </xdr:cNvGrpSpPr>
        </xdr:nvGrpSpPr>
        <xdr:grpSpPr bwMode="auto">
          <a:xfrm rot="-5905833">
            <a:off x="2936" y="4830"/>
            <a:ext cx="571" cy="2733"/>
            <a:chOff x="4677" y="4047"/>
            <a:chExt cx="495" cy="2386"/>
          </a:xfrm>
        </xdr:grpSpPr>
        <xdr:sp macro="" textlink="">
          <xdr:nvSpPr>
            <xdr:cNvPr id="3907" name="Line 8682"/>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3908" name="Line 8683"/>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3909" name="Line 8684"/>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3910" name="Line 8685"/>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3906" name="AutoShape 868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207</xdr:row>
      <xdr:rowOff>76200</xdr:rowOff>
    </xdr:from>
    <xdr:to>
      <xdr:col>4</xdr:col>
      <xdr:colOff>342900</xdr:colOff>
      <xdr:row>209</xdr:row>
      <xdr:rowOff>83820</xdr:rowOff>
    </xdr:to>
    <xdr:grpSp>
      <xdr:nvGrpSpPr>
        <xdr:cNvPr id="3919" name="Group 8687"/>
        <xdr:cNvGrpSpPr>
          <a:grpSpLocks/>
        </xdr:cNvGrpSpPr>
      </xdr:nvGrpSpPr>
      <xdr:grpSpPr bwMode="auto">
        <a:xfrm>
          <a:off x="4885509" y="35280600"/>
          <a:ext cx="236220" cy="355963"/>
          <a:chOff x="5163" y="2548"/>
          <a:chExt cx="2109" cy="2909"/>
        </a:xfrm>
      </xdr:grpSpPr>
      <xdr:sp macro="" textlink="">
        <xdr:nvSpPr>
          <xdr:cNvPr id="3920" name="Rectangle 8688"/>
          <xdr:cNvSpPr>
            <a:spLocks noChangeArrowheads="1"/>
          </xdr:cNvSpPr>
        </xdr:nvSpPr>
        <xdr:spPr bwMode="auto">
          <a:xfrm>
            <a:off x="5163" y="2548"/>
            <a:ext cx="1938" cy="2736"/>
          </a:xfrm>
          <a:prstGeom prst="rect">
            <a:avLst/>
          </a:prstGeom>
          <a:solidFill>
            <a:srgbClr val="FFFFFF"/>
          </a:solidFill>
          <a:ln w="9525" algn="ctr">
            <a:solidFill>
              <a:srgbClr val="FF0000"/>
            </a:solidFill>
            <a:miter lim="800000"/>
            <a:headEnd/>
            <a:tailEnd/>
          </a:ln>
        </xdr:spPr>
      </xdr:sp>
      <xdr:sp macro="" textlink="">
        <xdr:nvSpPr>
          <xdr:cNvPr id="3921" name="Line 8689"/>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3922" name="Line 8690"/>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3923" name="Line 8691"/>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3924" name="Line 8692"/>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3925" name="Line 8693"/>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3926" name="Line 8694"/>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3927" name="Line 8695"/>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3928" name="Line 8696"/>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3929" name="Line 8697"/>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3930" name="Line 8698"/>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3931" name="Line 8699"/>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3932" name="Line 8700"/>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3933" name="Line 8701"/>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207</xdr:row>
      <xdr:rowOff>114300</xdr:rowOff>
    </xdr:from>
    <xdr:to>
      <xdr:col>4</xdr:col>
      <xdr:colOff>1478280</xdr:colOff>
      <xdr:row>209</xdr:row>
      <xdr:rowOff>121920</xdr:rowOff>
    </xdr:to>
    <xdr:grpSp>
      <xdr:nvGrpSpPr>
        <xdr:cNvPr id="3934" name="Group 8702"/>
        <xdr:cNvGrpSpPr>
          <a:grpSpLocks/>
        </xdr:cNvGrpSpPr>
      </xdr:nvGrpSpPr>
      <xdr:grpSpPr bwMode="auto">
        <a:xfrm>
          <a:off x="5952309" y="35318700"/>
          <a:ext cx="304800" cy="355963"/>
          <a:chOff x="5238" y="4632"/>
          <a:chExt cx="1597" cy="1311"/>
        </a:xfrm>
      </xdr:grpSpPr>
      <xdr:sp macro="" textlink="">
        <xdr:nvSpPr>
          <xdr:cNvPr id="3935" name="Line 870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3936" name="Line 870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3937" name="Line 870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3938" name="Line 870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3939" name="Line 870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3940" name="Line 870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3941" name="Line 870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210</xdr:row>
      <xdr:rowOff>76200</xdr:rowOff>
    </xdr:from>
    <xdr:to>
      <xdr:col>4</xdr:col>
      <xdr:colOff>647700</xdr:colOff>
      <xdr:row>212</xdr:row>
      <xdr:rowOff>83820</xdr:rowOff>
    </xdr:to>
    <xdr:grpSp>
      <xdr:nvGrpSpPr>
        <xdr:cNvPr id="3942" name="Group 8710"/>
        <xdr:cNvGrpSpPr>
          <a:grpSpLocks/>
        </xdr:cNvGrpSpPr>
      </xdr:nvGrpSpPr>
      <xdr:grpSpPr bwMode="auto">
        <a:xfrm>
          <a:off x="5319849" y="35814000"/>
          <a:ext cx="106680" cy="355963"/>
          <a:chOff x="3771" y="1155"/>
          <a:chExt cx="4759" cy="14934"/>
        </a:xfrm>
      </xdr:grpSpPr>
      <xdr:sp macro="" textlink="">
        <xdr:nvSpPr>
          <xdr:cNvPr id="3943" name="Oval 871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3944" name="Arc 871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3945" name="Arc 871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3946" name="Line 871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3947" name="Line 871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3948" name="Line 871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3949" name="Line 871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3950" name="Line 871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3951" name="Line 871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3952" name="Line 872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3953" name="Line 872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3954" name="Line 872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3955" name="Line 872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3956" name="Line 872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3957" name="Line 872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3958" name="Line 872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3959" name="Line 872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3960" name="Line 872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3961" name="Line 872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210</xdr:row>
      <xdr:rowOff>60960</xdr:rowOff>
    </xdr:from>
    <xdr:to>
      <xdr:col>4</xdr:col>
      <xdr:colOff>975360</xdr:colOff>
      <xdr:row>212</xdr:row>
      <xdr:rowOff>83820</xdr:rowOff>
    </xdr:to>
    <xdr:grpSp>
      <xdr:nvGrpSpPr>
        <xdr:cNvPr id="3962" name="Group 8730"/>
        <xdr:cNvGrpSpPr>
          <a:grpSpLocks/>
        </xdr:cNvGrpSpPr>
      </xdr:nvGrpSpPr>
      <xdr:grpSpPr bwMode="auto">
        <a:xfrm>
          <a:off x="5617029" y="35798760"/>
          <a:ext cx="137160" cy="371203"/>
          <a:chOff x="1857" y="2993"/>
          <a:chExt cx="4178" cy="10157"/>
        </a:xfrm>
      </xdr:grpSpPr>
      <xdr:grpSp>
        <xdr:nvGrpSpPr>
          <xdr:cNvPr id="3963" name="Group 8731"/>
          <xdr:cNvGrpSpPr>
            <a:grpSpLocks/>
          </xdr:cNvGrpSpPr>
        </xdr:nvGrpSpPr>
        <xdr:grpSpPr bwMode="auto">
          <a:xfrm rot="1441604">
            <a:off x="4764" y="2993"/>
            <a:ext cx="570" cy="2736"/>
            <a:chOff x="4251" y="2947"/>
            <a:chExt cx="570" cy="2736"/>
          </a:xfrm>
        </xdr:grpSpPr>
        <xdr:sp macro="" textlink="">
          <xdr:nvSpPr>
            <xdr:cNvPr id="3975" name="Line 8732"/>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3976" name="Line 8733"/>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3977" name="Line 8734"/>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3978" name="Line 8735"/>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3964" name="Group 8736"/>
          <xdr:cNvGrpSpPr>
            <a:grpSpLocks/>
          </xdr:cNvGrpSpPr>
        </xdr:nvGrpSpPr>
        <xdr:grpSpPr bwMode="auto">
          <a:xfrm rot="8464448">
            <a:off x="5468" y="5524"/>
            <a:ext cx="569" cy="2733"/>
            <a:chOff x="4677" y="4047"/>
            <a:chExt cx="495" cy="2386"/>
          </a:xfrm>
        </xdr:grpSpPr>
        <xdr:sp macro="" textlink="">
          <xdr:nvSpPr>
            <xdr:cNvPr id="3971" name="Line 8737"/>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3972" name="Line 8738"/>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3973" name="Line 8739"/>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3974" name="Line 8740"/>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3965" name="Group 8741"/>
          <xdr:cNvGrpSpPr>
            <a:grpSpLocks/>
          </xdr:cNvGrpSpPr>
        </xdr:nvGrpSpPr>
        <xdr:grpSpPr bwMode="auto">
          <a:xfrm rot="-5905833">
            <a:off x="2936" y="4830"/>
            <a:ext cx="571" cy="2733"/>
            <a:chOff x="4677" y="4047"/>
            <a:chExt cx="495" cy="2386"/>
          </a:xfrm>
        </xdr:grpSpPr>
        <xdr:sp macro="" textlink="">
          <xdr:nvSpPr>
            <xdr:cNvPr id="3967" name="Line 8742"/>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3968" name="Line 8743"/>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3969" name="Line 8744"/>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3970" name="Line 8745"/>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3966" name="AutoShape 874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210</xdr:row>
      <xdr:rowOff>76200</xdr:rowOff>
    </xdr:from>
    <xdr:to>
      <xdr:col>4</xdr:col>
      <xdr:colOff>342900</xdr:colOff>
      <xdr:row>212</xdr:row>
      <xdr:rowOff>83820</xdr:rowOff>
    </xdr:to>
    <xdr:grpSp>
      <xdr:nvGrpSpPr>
        <xdr:cNvPr id="3979" name="Group 8747"/>
        <xdr:cNvGrpSpPr>
          <a:grpSpLocks/>
        </xdr:cNvGrpSpPr>
      </xdr:nvGrpSpPr>
      <xdr:grpSpPr bwMode="auto">
        <a:xfrm>
          <a:off x="4885509" y="35814000"/>
          <a:ext cx="236220" cy="355963"/>
          <a:chOff x="5163" y="2548"/>
          <a:chExt cx="2109" cy="2909"/>
        </a:xfrm>
      </xdr:grpSpPr>
      <xdr:sp macro="" textlink="">
        <xdr:nvSpPr>
          <xdr:cNvPr id="3980" name="Rectangle 8748"/>
          <xdr:cNvSpPr>
            <a:spLocks noChangeArrowheads="1"/>
          </xdr:cNvSpPr>
        </xdr:nvSpPr>
        <xdr:spPr bwMode="auto">
          <a:xfrm>
            <a:off x="5163" y="2548"/>
            <a:ext cx="1938" cy="2736"/>
          </a:xfrm>
          <a:prstGeom prst="rect">
            <a:avLst/>
          </a:prstGeom>
          <a:solidFill>
            <a:srgbClr val="FFFFFF"/>
          </a:solidFill>
          <a:ln w="9525" algn="ctr">
            <a:solidFill>
              <a:srgbClr val="FF0000"/>
            </a:solidFill>
            <a:miter lim="800000"/>
            <a:headEnd/>
            <a:tailEnd/>
          </a:ln>
        </xdr:spPr>
      </xdr:sp>
      <xdr:sp macro="" textlink="">
        <xdr:nvSpPr>
          <xdr:cNvPr id="3981" name="Line 8749"/>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3982" name="Line 8750"/>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3983" name="Line 8751"/>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3984" name="Line 8752"/>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3985" name="Line 8753"/>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3986" name="Line 8754"/>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3987" name="Line 8755"/>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3988" name="Line 8756"/>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3989" name="Line 8757"/>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3990" name="Line 8758"/>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3991" name="Line 8759"/>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3992" name="Line 8760"/>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3993" name="Line 8761"/>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210</xdr:row>
      <xdr:rowOff>114300</xdr:rowOff>
    </xdr:from>
    <xdr:to>
      <xdr:col>4</xdr:col>
      <xdr:colOff>1478280</xdr:colOff>
      <xdr:row>212</xdr:row>
      <xdr:rowOff>121920</xdr:rowOff>
    </xdr:to>
    <xdr:grpSp>
      <xdr:nvGrpSpPr>
        <xdr:cNvPr id="3994" name="Group 8762"/>
        <xdr:cNvGrpSpPr>
          <a:grpSpLocks/>
        </xdr:cNvGrpSpPr>
      </xdr:nvGrpSpPr>
      <xdr:grpSpPr bwMode="auto">
        <a:xfrm>
          <a:off x="5952309" y="35852100"/>
          <a:ext cx="304800" cy="355963"/>
          <a:chOff x="5238" y="4632"/>
          <a:chExt cx="1597" cy="1311"/>
        </a:xfrm>
      </xdr:grpSpPr>
      <xdr:sp macro="" textlink="">
        <xdr:nvSpPr>
          <xdr:cNvPr id="3995" name="Line 876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3996" name="Line 876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3997" name="Line 876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3998" name="Line 876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3999" name="Line 876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4000" name="Line 876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4001" name="Line 876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96</xdr:row>
      <xdr:rowOff>76200</xdr:rowOff>
    </xdr:from>
    <xdr:to>
      <xdr:col>4</xdr:col>
      <xdr:colOff>647700</xdr:colOff>
      <xdr:row>98</xdr:row>
      <xdr:rowOff>83820</xdr:rowOff>
    </xdr:to>
    <xdr:grpSp>
      <xdr:nvGrpSpPr>
        <xdr:cNvPr id="4002" name="Group 8830"/>
        <xdr:cNvGrpSpPr>
          <a:grpSpLocks/>
        </xdr:cNvGrpSpPr>
      </xdr:nvGrpSpPr>
      <xdr:grpSpPr bwMode="auto">
        <a:xfrm>
          <a:off x="5319849" y="15544800"/>
          <a:ext cx="106680" cy="355963"/>
          <a:chOff x="3771" y="1155"/>
          <a:chExt cx="4759" cy="14934"/>
        </a:xfrm>
      </xdr:grpSpPr>
      <xdr:sp macro="" textlink="">
        <xdr:nvSpPr>
          <xdr:cNvPr id="4003" name="Oval 883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4004" name="Arc 883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005" name="Arc 883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006" name="Line 883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4007" name="Line 883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4008" name="Line 883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4009" name="Line 883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4010" name="Line 883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4011" name="Line 883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4012" name="Line 884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4013" name="Line 884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4014" name="Line 884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4015" name="Line 884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4016" name="Line 884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4017" name="Line 884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4018" name="Line 884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4019" name="Line 884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4020" name="Line 884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4021" name="Line 884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96</xdr:row>
      <xdr:rowOff>60960</xdr:rowOff>
    </xdr:from>
    <xdr:to>
      <xdr:col>4</xdr:col>
      <xdr:colOff>975360</xdr:colOff>
      <xdr:row>98</xdr:row>
      <xdr:rowOff>83820</xdr:rowOff>
    </xdr:to>
    <xdr:grpSp>
      <xdr:nvGrpSpPr>
        <xdr:cNvPr id="4022" name="Group 8850"/>
        <xdr:cNvGrpSpPr>
          <a:grpSpLocks/>
        </xdr:cNvGrpSpPr>
      </xdr:nvGrpSpPr>
      <xdr:grpSpPr bwMode="auto">
        <a:xfrm>
          <a:off x="5617029" y="15529560"/>
          <a:ext cx="137160" cy="371203"/>
          <a:chOff x="1857" y="2993"/>
          <a:chExt cx="4178" cy="10157"/>
        </a:xfrm>
      </xdr:grpSpPr>
      <xdr:grpSp>
        <xdr:nvGrpSpPr>
          <xdr:cNvPr id="4023" name="Group 8851"/>
          <xdr:cNvGrpSpPr>
            <a:grpSpLocks/>
          </xdr:cNvGrpSpPr>
        </xdr:nvGrpSpPr>
        <xdr:grpSpPr bwMode="auto">
          <a:xfrm rot="1441604">
            <a:off x="4764" y="2993"/>
            <a:ext cx="570" cy="2736"/>
            <a:chOff x="4251" y="2947"/>
            <a:chExt cx="570" cy="2736"/>
          </a:xfrm>
        </xdr:grpSpPr>
        <xdr:sp macro="" textlink="">
          <xdr:nvSpPr>
            <xdr:cNvPr id="4035" name="Line 8852"/>
            <xdr:cNvSpPr>
              <a:spLocks noChangeShapeType="1"/>
            </xdr:cNvSpPr>
          </xdr:nvSpPr>
          <xdr:spPr bwMode="auto">
            <a:xfrm flipV="1">
              <a:off x="4251" y="2947"/>
              <a:ext cx="400" cy="1938"/>
            </a:xfrm>
            <a:prstGeom prst="line">
              <a:avLst/>
            </a:prstGeom>
            <a:noFill/>
            <a:ln w="9525">
              <a:solidFill>
                <a:srgbClr val="FF0000"/>
              </a:solidFill>
              <a:round/>
              <a:headEnd/>
              <a:tailEnd/>
            </a:ln>
          </xdr:spPr>
        </xdr:sp>
        <xdr:sp macro="" textlink="">
          <xdr:nvSpPr>
            <xdr:cNvPr id="4036" name="Line 8853"/>
            <xdr:cNvSpPr>
              <a:spLocks noChangeShapeType="1"/>
            </xdr:cNvSpPr>
          </xdr:nvSpPr>
          <xdr:spPr bwMode="auto">
            <a:xfrm>
              <a:off x="4651" y="2947"/>
              <a:ext cx="170" cy="0"/>
            </a:xfrm>
            <a:prstGeom prst="line">
              <a:avLst/>
            </a:prstGeom>
            <a:noFill/>
            <a:ln w="9525">
              <a:solidFill>
                <a:srgbClr val="FF0000"/>
              </a:solidFill>
              <a:round/>
              <a:headEnd/>
              <a:tailEnd/>
            </a:ln>
          </xdr:spPr>
        </xdr:sp>
        <xdr:sp macro="" textlink="">
          <xdr:nvSpPr>
            <xdr:cNvPr id="4037" name="Line 8854"/>
            <xdr:cNvSpPr>
              <a:spLocks noChangeShapeType="1"/>
            </xdr:cNvSpPr>
          </xdr:nvSpPr>
          <xdr:spPr bwMode="auto">
            <a:xfrm>
              <a:off x="4821" y="2947"/>
              <a:ext cx="0" cy="2678"/>
            </a:xfrm>
            <a:prstGeom prst="line">
              <a:avLst/>
            </a:prstGeom>
            <a:noFill/>
            <a:ln w="9525">
              <a:solidFill>
                <a:srgbClr val="FF0000"/>
              </a:solidFill>
              <a:round/>
              <a:headEnd/>
              <a:tailEnd/>
            </a:ln>
          </xdr:spPr>
        </xdr:sp>
        <xdr:sp macro="" textlink="">
          <xdr:nvSpPr>
            <xdr:cNvPr id="4038" name="Line 8855"/>
            <xdr:cNvSpPr>
              <a:spLocks noChangeShapeType="1"/>
            </xdr:cNvSpPr>
          </xdr:nvSpPr>
          <xdr:spPr bwMode="auto">
            <a:xfrm>
              <a:off x="4251" y="4885"/>
              <a:ext cx="400" cy="798"/>
            </a:xfrm>
            <a:prstGeom prst="line">
              <a:avLst/>
            </a:prstGeom>
            <a:noFill/>
            <a:ln w="9525">
              <a:solidFill>
                <a:srgbClr val="FF0000"/>
              </a:solidFill>
              <a:round/>
              <a:headEnd/>
              <a:tailEnd/>
            </a:ln>
          </xdr:spPr>
        </xdr:sp>
      </xdr:grpSp>
      <xdr:grpSp>
        <xdr:nvGrpSpPr>
          <xdr:cNvPr id="4024" name="Group 8856"/>
          <xdr:cNvGrpSpPr>
            <a:grpSpLocks/>
          </xdr:cNvGrpSpPr>
        </xdr:nvGrpSpPr>
        <xdr:grpSpPr bwMode="auto">
          <a:xfrm rot="8464448">
            <a:off x="5468" y="5524"/>
            <a:ext cx="569" cy="2733"/>
            <a:chOff x="4677" y="4047"/>
            <a:chExt cx="495" cy="2386"/>
          </a:xfrm>
        </xdr:grpSpPr>
        <xdr:sp macro="" textlink="">
          <xdr:nvSpPr>
            <xdr:cNvPr id="4031" name="Line 8857"/>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4032" name="Line 8858"/>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4033" name="Line 8859"/>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4034" name="Line 8860"/>
            <xdr:cNvSpPr>
              <a:spLocks noChangeShapeType="1"/>
            </xdr:cNvSpPr>
          </xdr:nvSpPr>
          <xdr:spPr bwMode="auto">
            <a:xfrm>
              <a:off x="4677" y="5737"/>
              <a:ext cx="347" cy="696"/>
            </a:xfrm>
            <a:prstGeom prst="line">
              <a:avLst/>
            </a:prstGeom>
            <a:noFill/>
            <a:ln w="9525">
              <a:solidFill>
                <a:srgbClr val="FF0000"/>
              </a:solidFill>
              <a:round/>
              <a:headEnd/>
              <a:tailEnd/>
            </a:ln>
          </xdr:spPr>
        </xdr:sp>
      </xdr:grpSp>
      <xdr:grpSp>
        <xdr:nvGrpSpPr>
          <xdr:cNvPr id="4025" name="Group 8861"/>
          <xdr:cNvGrpSpPr>
            <a:grpSpLocks/>
          </xdr:cNvGrpSpPr>
        </xdr:nvGrpSpPr>
        <xdr:grpSpPr bwMode="auto">
          <a:xfrm rot="-5905833">
            <a:off x="2936" y="4830"/>
            <a:ext cx="571" cy="2733"/>
            <a:chOff x="4677" y="4047"/>
            <a:chExt cx="495" cy="2386"/>
          </a:xfrm>
        </xdr:grpSpPr>
        <xdr:sp macro="" textlink="">
          <xdr:nvSpPr>
            <xdr:cNvPr id="4027" name="Line 8862"/>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4028" name="Line 8863"/>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4029" name="Line 8864"/>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4030" name="Line 8865"/>
            <xdr:cNvSpPr>
              <a:spLocks noChangeShapeType="1"/>
            </xdr:cNvSpPr>
          </xdr:nvSpPr>
          <xdr:spPr bwMode="auto">
            <a:xfrm>
              <a:off x="4677" y="5737"/>
              <a:ext cx="347" cy="696"/>
            </a:xfrm>
            <a:prstGeom prst="line">
              <a:avLst/>
            </a:prstGeom>
            <a:noFill/>
            <a:ln w="9525">
              <a:solidFill>
                <a:srgbClr val="FF0000"/>
              </a:solidFill>
              <a:round/>
              <a:headEnd/>
              <a:tailEnd/>
            </a:ln>
          </xdr:spPr>
        </xdr:sp>
      </xdr:grpSp>
      <xdr:sp macro="" textlink="">
        <xdr:nvSpPr>
          <xdr:cNvPr id="4026" name="AutoShape 886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FF0000"/>
            </a:solidFill>
            <a:miter lim="800000"/>
            <a:headEnd/>
            <a:tailEnd/>
          </a:ln>
        </xdr:spPr>
      </xdr:sp>
    </xdr:grpSp>
    <xdr:clientData/>
  </xdr:twoCellAnchor>
  <xdr:twoCellAnchor>
    <xdr:from>
      <xdr:col>4</xdr:col>
      <xdr:colOff>106680</xdr:colOff>
      <xdr:row>96</xdr:row>
      <xdr:rowOff>76200</xdr:rowOff>
    </xdr:from>
    <xdr:to>
      <xdr:col>4</xdr:col>
      <xdr:colOff>342900</xdr:colOff>
      <xdr:row>98</xdr:row>
      <xdr:rowOff>83820</xdr:rowOff>
    </xdr:to>
    <xdr:grpSp>
      <xdr:nvGrpSpPr>
        <xdr:cNvPr id="4039" name="Group 8867"/>
        <xdr:cNvGrpSpPr>
          <a:grpSpLocks/>
        </xdr:cNvGrpSpPr>
      </xdr:nvGrpSpPr>
      <xdr:grpSpPr bwMode="auto">
        <a:xfrm>
          <a:off x="4885509" y="15544800"/>
          <a:ext cx="236220" cy="355963"/>
          <a:chOff x="5163" y="2548"/>
          <a:chExt cx="2109" cy="2909"/>
        </a:xfrm>
      </xdr:grpSpPr>
      <xdr:sp macro="" textlink="">
        <xdr:nvSpPr>
          <xdr:cNvPr id="4040" name="Rectangle 8868"/>
          <xdr:cNvSpPr>
            <a:spLocks noChangeArrowheads="1"/>
          </xdr:cNvSpPr>
        </xdr:nvSpPr>
        <xdr:spPr bwMode="auto">
          <a:xfrm>
            <a:off x="5163" y="2548"/>
            <a:ext cx="1938" cy="2736"/>
          </a:xfrm>
          <a:prstGeom prst="rect">
            <a:avLst/>
          </a:prstGeom>
          <a:solidFill>
            <a:srgbClr val="FFFFFF"/>
          </a:solidFill>
          <a:ln w="9525" algn="ctr">
            <a:solidFill>
              <a:srgbClr val="C0C0C0"/>
            </a:solidFill>
            <a:miter lim="800000"/>
            <a:headEnd/>
            <a:tailEnd/>
          </a:ln>
        </xdr:spPr>
      </xdr:sp>
      <xdr:sp macro="" textlink="">
        <xdr:nvSpPr>
          <xdr:cNvPr id="4041" name="Line 8869"/>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4042" name="Line 8870"/>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4043" name="Line 8871"/>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4044" name="Line 8872"/>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4045" name="Line 8873"/>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4046" name="Line 8874"/>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4047" name="Line 8875"/>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4048" name="Line 8876"/>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4049" name="Line 8877"/>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4050" name="Line 8878"/>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4051" name="Line 8879"/>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4052" name="Line 8880"/>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4053" name="Line 8881"/>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96</xdr:row>
      <xdr:rowOff>114300</xdr:rowOff>
    </xdr:from>
    <xdr:to>
      <xdr:col>4</xdr:col>
      <xdr:colOff>1478280</xdr:colOff>
      <xdr:row>98</xdr:row>
      <xdr:rowOff>121920</xdr:rowOff>
    </xdr:to>
    <xdr:grpSp>
      <xdr:nvGrpSpPr>
        <xdr:cNvPr id="4054" name="Group 8882"/>
        <xdr:cNvGrpSpPr>
          <a:grpSpLocks/>
        </xdr:cNvGrpSpPr>
      </xdr:nvGrpSpPr>
      <xdr:grpSpPr bwMode="auto">
        <a:xfrm>
          <a:off x="5952309" y="15582900"/>
          <a:ext cx="304800" cy="355963"/>
          <a:chOff x="5238" y="4632"/>
          <a:chExt cx="1597" cy="1311"/>
        </a:xfrm>
      </xdr:grpSpPr>
      <xdr:sp macro="" textlink="">
        <xdr:nvSpPr>
          <xdr:cNvPr id="4055" name="Line 888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4056" name="Line 888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4057" name="Line 888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4058" name="Line 888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4059" name="Line 888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4060" name="Line 888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4061" name="Line 888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99</xdr:row>
      <xdr:rowOff>76200</xdr:rowOff>
    </xdr:from>
    <xdr:to>
      <xdr:col>4</xdr:col>
      <xdr:colOff>647700</xdr:colOff>
      <xdr:row>101</xdr:row>
      <xdr:rowOff>83820</xdr:rowOff>
    </xdr:to>
    <xdr:grpSp>
      <xdr:nvGrpSpPr>
        <xdr:cNvPr id="4062" name="Group 8890"/>
        <xdr:cNvGrpSpPr>
          <a:grpSpLocks/>
        </xdr:cNvGrpSpPr>
      </xdr:nvGrpSpPr>
      <xdr:grpSpPr bwMode="auto">
        <a:xfrm>
          <a:off x="5319849" y="16078200"/>
          <a:ext cx="106680" cy="355963"/>
          <a:chOff x="3771" y="1155"/>
          <a:chExt cx="4759" cy="14934"/>
        </a:xfrm>
      </xdr:grpSpPr>
      <xdr:sp macro="" textlink="">
        <xdr:nvSpPr>
          <xdr:cNvPr id="4063" name="Oval 889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4064" name="Arc 889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065" name="Arc 889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066" name="Line 889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4067" name="Line 889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4068" name="Line 889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4069" name="Line 889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4070" name="Line 889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4071" name="Line 889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4072" name="Line 890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4073" name="Line 890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4074" name="Line 890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4075" name="Line 890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4076" name="Line 890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4077" name="Line 890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4078" name="Line 890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4079" name="Line 890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4080" name="Line 890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4081" name="Line 890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99</xdr:row>
      <xdr:rowOff>60960</xdr:rowOff>
    </xdr:from>
    <xdr:to>
      <xdr:col>4</xdr:col>
      <xdr:colOff>975360</xdr:colOff>
      <xdr:row>101</xdr:row>
      <xdr:rowOff>83820</xdr:rowOff>
    </xdr:to>
    <xdr:grpSp>
      <xdr:nvGrpSpPr>
        <xdr:cNvPr id="4082" name="Group 8910"/>
        <xdr:cNvGrpSpPr>
          <a:grpSpLocks/>
        </xdr:cNvGrpSpPr>
      </xdr:nvGrpSpPr>
      <xdr:grpSpPr bwMode="auto">
        <a:xfrm>
          <a:off x="5617029" y="16062960"/>
          <a:ext cx="137160" cy="371203"/>
          <a:chOff x="1857" y="2993"/>
          <a:chExt cx="4178" cy="10157"/>
        </a:xfrm>
      </xdr:grpSpPr>
      <xdr:grpSp>
        <xdr:nvGrpSpPr>
          <xdr:cNvPr id="4083" name="Group 8911"/>
          <xdr:cNvGrpSpPr>
            <a:grpSpLocks/>
          </xdr:cNvGrpSpPr>
        </xdr:nvGrpSpPr>
        <xdr:grpSpPr bwMode="auto">
          <a:xfrm rot="1441604">
            <a:off x="4764" y="2993"/>
            <a:ext cx="570" cy="2736"/>
            <a:chOff x="4251" y="2947"/>
            <a:chExt cx="570" cy="2736"/>
          </a:xfrm>
        </xdr:grpSpPr>
        <xdr:sp macro="" textlink="">
          <xdr:nvSpPr>
            <xdr:cNvPr id="4095" name="Line 8912"/>
            <xdr:cNvSpPr>
              <a:spLocks noChangeShapeType="1"/>
            </xdr:cNvSpPr>
          </xdr:nvSpPr>
          <xdr:spPr bwMode="auto">
            <a:xfrm flipV="1">
              <a:off x="4251" y="2947"/>
              <a:ext cx="400" cy="1938"/>
            </a:xfrm>
            <a:prstGeom prst="line">
              <a:avLst/>
            </a:prstGeom>
            <a:noFill/>
            <a:ln w="9525">
              <a:solidFill>
                <a:srgbClr val="FF0000"/>
              </a:solidFill>
              <a:round/>
              <a:headEnd/>
              <a:tailEnd/>
            </a:ln>
          </xdr:spPr>
        </xdr:sp>
        <xdr:sp macro="" textlink="">
          <xdr:nvSpPr>
            <xdr:cNvPr id="4096" name="Line 8913"/>
            <xdr:cNvSpPr>
              <a:spLocks noChangeShapeType="1"/>
            </xdr:cNvSpPr>
          </xdr:nvSpPr>
          <xdr:spPr bwMode="auto">
            <a:xfrm>
              <a:off x="4651" y="2947"/>
              <a:ext cx="170" cy="0"/>
            </a:xfrm>
            <a:prstGeom prst="line">
              <a:avLst/>
            </a:prstGeom>
            <a:noFill/>
            <a:ln w="9525">
              <a:solidFill>
                <a:srgbClr val="FF0000"/>
              </a:solidFill>
              <a:round/>
              <a:headEnd/>
              <a:tailEnd/>
            </a:ln>
          </xdr:spPr>
        </xdr:sp>
        <xdr:sp macro="" textlink="">
          <xdr:nvSpPr>
            <xdr:cNvPr id="4097" name="Line 8914"/>
            <xdr:cNvSpPr>
              <a:spLocks noChangeShapeType="1"/>
            </xdr:cNvSpPr>
          </xdr:nvSpPr>
          <xdr:spPr bwMode="auto">
            <a:xfrm>
              <a:off x="4821" y="2947"/>
              <a:ext cx="0" cy="2678"/>
            </a:xfrm>
            <a:prstGeom prst="line">
              <a:avLst/>
            </a:prstGeom>
            <a:noFill/>
            <a:ln w="9525">
              <a:solidFill>
                <a:srgbClr val="FF0000"/>
              </a:solidFill>
              <a:round/>
              <a:headEnd/>
              <a:tailEnd/>
            </a:ln>
          </xdr:spPr>
        </xdr:sp>
        <xdr:sp macro="" textlink="">
          <xdr:nvSpPr>
            <xdr:cNvPr id="4098" name="Line 8915"/>
            <xdr:cNvSpPr>
              <a:spLocks noChangeShapeType="1"/>
            </xdr:cNvSpPr>
          </xdr:nvSpPr>
          <xdr:spPr bwMode="auto">
            <a:xfrm>
              <a:off x="4251" y="4885"/>
              <a:ext cx="400" cy="798"/>
            </a:xfrm>
            <a:prstGeom prst="line">
              <a:avLst/>
            </a:prstGeom>
            <a:noFill/>
            <a:ln w="9525">
              <a:solidFill>
                <a:srgbClr val="FF0000"/>
              </a:solidFill>
              <a:round/>
              <a:headEnd/>
              <a:tailEnd/>
            </a:ln>
          </xdr:spPr>
        </xdr:sp>
      </xdr:grpSp>
      <xdr:grpSp>
        <xdr:nvGrpSpPr>
          <xdr:cNvPr id="4084" name="Group 8916"/>
          <xdr:cNvGrpSpPr>
            <a:grpSpLocks/>
          </xdr:cNvGrpSpPr>
        </xdr:nvGrpSpPr>
        <xdr:grpSpPr bwMode="auto">
          <a:xfrm rot="8464448">
            <a:off x="5468" y="5524"/>
            <a:ext cx="569" cy="2733"/>
            <a:chOff x="4677" y="4047"/>
            <a:chExt cx="495" cy="2386"/>
          </a:xfrm>
        </xdr:grpSpPr>
        <xdr:sp macro="" textlink="">
          <xdr:nvSpPr>
            <xdr:cNvPr id="4091" name="Line 8917"/>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4092" name="Line 8918"/>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4093" name="Line 8919"/>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4094" name="Line 8920"/>
            <xdr:cNvSpPr>
              <a:spLocks noChangeShapeType="1"/>
            </xdr:cNvSpPr>
          </xdr:nvSpPr>
          <xdr:spPr bwMode="auto">
            <a:xfrm>
              <a:off x="4677" y="5737"/>
              <a:ext cx="347" cy="696"/>
            </a:xfrm>
            <a:prstGeom prst="line">
              <a:avLst/>
            </a:prstGeom>
            <a:noFill/>
            <a:ln w="9525">
              <a:solidFill>
                <a:srgbClr val="FF0000"/>
              </a:solidFill>
              <a:round/>
              <a:headEnd/>
              <a:tailEnd/>
            </a:ln>
          </xdr:spPr>
        </xdr:sp>
      </xdr:grpSp>
      <xdr:grpSp>
        <xdr:nvGrpSpPr>
          <xdr:cNvPr id="4085" name="Group 8921"/>
          <xdr:cNvGrpSpPr>
            <a:grpSpLocks/>
          </xdr:cNvGrpSpPr>
        </xdr:nvGrpSpPr>
        <xdr:grpSpPr bwMode="auto">
          <a:xfrm rot="-5905833">
            <a:off x="2936" y="4830"/>
            <a:ext cx="571" cy="2733"/>
            <a:chOff x="4677" y="4047"/>
            <a:chExt cx="495" cy="2386"/>
          </a:xfrm>
        </xdr:grpSpPr>
        <xdr:sp macro="" textlink="">
          <xdr:nvSpPr>
            <xdr:cNvPr id="4087" name="Line 8922"/>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4088" name="Line 8923"/>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4089" name="Line 8924"/>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4090" name="Line 8925"/>
            <xdr:cNvSpPr>
              <a:spLocks noChangeShapeType="1"/>
            </xdr:cNvSpPr>
          </xdr:nvSpPr>
          <xdr:spPr bwMode="auto">
            <a:xfrm>
              <a:off x="4677" y="5737"/>
              <a:ext cx="347" cy="696"/>
            </a:xfrm>
            <a:prstGeom prst="line">
              <a:avLst/>
            </a:prstGeom>
            <a:noFill/>
            <a:ln w="9525">
              <a:solidFill>
                <a:srgbClr val="FF0000"/>
              </a:solidFill>
              <a:round/>
              <a:headEnd/>
              <a:tailEnd/>
            </a:ln>
          </xdr:spPr>
        </xdr:sp>
      </xdr:grpSp>
      <xdr:sp macro="" textlink="">
        <xdr:nvSpPr>
          <xdr:cNvPr id="4086" name="AutoShape 892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FF0000"/>
            </a:solidFill>
            <a:miter lim="800000"/>
            <a:headEnd/>
            <a:tailEnd/>
          </a:ln>
        </xdr:spPr>
      </xdr:sp>
    </xdr:grpSp>
    <xdr:clientData/>
  </xdr:twoCellAnchor>
  <xdr:twoCellAnchor>
    <xdr:from>
      <xdr:col>4</xdr:col>
      <xdr:colOff>106680</xdr:colOff>
      <xdr:row>99</xdr:row>
      <xdr:rowOff>76200</xdr:rowOff>
    </xdr:from>
    <xdr:to>
      <xdr:col>4</xdr:col>
      <xdr:colOff>342900</xdr:colOff>
      <xdr:row>101</xdr:row>
      <xdr:rowOff>83820</xdr:rowOff>
    </xdr:to>
    <xdr:grpSp>
      <xdr:nvGrpSpPr>
        <xdr:cNvPr id="4099" name="Group 8927"/>
        <xdr:cNvGrpSpPr>
          <a:grpSpLocks/>
        </xdr:cNvGrpSpPr>
      </xdr:nvGrpSpPr>
      <xdr:grpSpPr bwMode="auto">
        <a:xfrm>
          <a:off x="4885509" y="16078200"/>
          <a:ext cx="236220" cy="355963"/>
          <a:chOff x="5163" y="2548"/>
          <a:chExt cx="2109" cy="2909"/>
        </a:xfrm>
      </xdr:grpSpPr>
      <xdr:sp macro="" textlink="">
        <xdr:nvSpPr>
          <xdr:cNvPr id="4100" name="Rectangle 8928"/>
          <xdr:cNvSpPr>
            <a:spLocks noChangeArrowheads="1"/>
          </xdr:cNvSpPr>
        </xdr:nvSpPr>
        <xdr:spPr bwMode="auto">
          <a:xfrm>
            <a:off x="5163" y="2548"/>
            <a:ext cx="1938" cy="2736"/>
          </a:xfrm>
          <a:prstGeom prst="rect">
            <a:avLst/>
          </a:prstGeom>
          <a:solidFill>
            <a:srgbClr val="FFFFFF"/>
          </a:solidFill>
          <a:ln w="9525" algn="ctr">
            <a:solidFill>
              <a:srgbClr val="C0C0C0"/>
            </a:solidFill>
            <a:miter lim="800000"/>
            <a:headEnd/>
            <a:tailEnd/>
          </a:ln>
        </xdr:spPr>
      </xdr:sp>
      <xdr:sp macro="" textlink="">
        <xdr:nvSpPr>
          <xdr:cNvPr id="4101" name="Line 8929"/>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4102" name="Line 8930"/>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4103" name="Line 8931"/>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4104" name="Line 8932"/>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4105" name="Line 8933"/>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4106" name="Line 8934"/>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4107" name="Line 8935"/>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4108" name="Line 8936"/>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4109" name="Line 8937"/>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4110" name="Line 8938"/>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4111" name="Line 8939"/>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4112" name="Line 8940"/>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4113" name="Line 8941"/>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99</xdr:row>
      <xdr:rowOff>114300</xdr:rowOff>
    </xdr:from>
    <xdr:to>
      <xdr:col>4</xdr:col>
      <xdr:colOff>1478280</xdr:colOff>
      <xdr:row>101</xdr:row>
      <xdr:rowOff>121920</xdr:rowOff>
    </xdr:to>
    <xdr:grpSp>
      <xdr:nvGrpSpPr>
        <xdr:cNvPr id="4114" name="Group 8942"/>
        <xdr:cNvGrpSpPr>
          <a:grpSpLocks/>
        </xdr:cNvGrpSpPr>
      </xdr:nvGrpSpPr>
      <xdr:grpSpPr bwMode="auto">
        <a:xfrm>
          <a:off x="5952309" y="16116300"/>
          <a:ext cx="304800" cy="355963"/>
          <a:chOff x="5238" y="4632"/>
          <a:chExt cx="1597" cy="1311"/>
        </a:xfrm>
      </xdr:grpSpPr>
      <xdr:sp macro="" textlink="">
        <xdr:nvSpPr>
          <xdr:cNvPr id="4115" name="Line 894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4116" name="Line 894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4117" name="Line 894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4118" name="Line 894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4119" name="Line 894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4120" name="Line 894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4121" name="Line 894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102</xdr:row>
      <xdr:rowOff>76200</xdr:rowOff>
    </xdr:from>
    <xdr:to>
      <xdr:col>4</xdr:col>
      <xdr:colOff>647700</xdr:colOff>
      <xdr:row>104</xdr:row>
      <xdr:rowOff>83820</xdr:rowOff>
    </xdr:to>
    <xdr:grpSp>
      <xdr:nvGrpSpPr>
        <xdr:cNvPr id="4242" name="Group 9070"/>
        <xdr:cNvGrpSpPr>
          <a:grpSpLocks/>
        </xdr:cNvGrpSpPr>
      </xdr:nvGrpSpPr>
      <xdr:grpSpPr bwMode="auto">
        <a:xfrm>
          <a:off x="5319849" y="16611600"/>
          <a:ext cx="106680" cy="355963"/>
          <a:chOff x="3771" y="1155"/>
          <a:chExt cx="4759" cy="14934"/>
        </a:xfrm>
      </xdr:grpSpPr>
      <xdr:sp macro="" textlink="">
        <xdr:nvSpPr>
          <xdr:cNvPr id="4243" name="Oval 907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4244" name="Arc 907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245" name="Arc 907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246" name="Line 907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4247" name="Line 907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4248" name="Line 907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4249" name="Line 907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4250" name="Line 907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4251" name="Line 907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4252" name="Line 908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4253" name="Line 908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4254" name="Line 908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4255" name="Line 908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4256" name="Line 908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4257" name="Line 908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4258" name="Line 908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4259" name="Line 908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4260" name="Line 908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4261" name="Line 908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102</xdr:row>
      <xdr:rowOff>60960</xdr:rowOff>
    </xdr:from>
    <xdr:to>
      <xdr:col>4</xdr:col>
      <xdr:colOff>975360</xdr:colOff>
      <xdr:row>104</xdr:row>
      <xdr:rowOff>83820</xdr:rowOff>
    </xdr:to>
    <xdr:grpSp>
      <xdr:nvGrpSpPr>
        <xdr:cNvPr id="4262" name="Group 9090"/>
        <xdr:cNvGrpSpPr>
          <a:grpSpLocks/>
        </xdr:cNvGrpSpPr>
      </xdr:nvGrpSpPr>
      <xdr:grpSpPr bwMode="auto">
        <a:xfrm>
          <a:off x="5617029" y="16596360"/>
          <a:ext cx="137160" cy="371203"/>
          <a:chOff x="1857" y="2993"/>
          <a:chExt cx="4178" cy="10157"/>
        </a:xfrm>
      </xdr:grpSpPr>
      <xdr:grpSp>
        <xdr:nvGrpSpPr>
          <xdr:cNvPr id="4263" name="Group 9091"/>
          <xdr:cNvGrpSpPr>
            <a:grpSpLocks/>
          </xdr:cNvGrpSpPr>
        </xdr:nvGrpSpPr>
        <xdr:grpSpPr bwMode="auto">
          <a:xfrm rot="1441604">
            <a:off x="4764" y="2993"/>
            <a:ext cx="570" cy="2736"/>
            <a:chOff x="4251" y="2947"/>
            <a:chExt cx="570" cy="2736"/>
          </a:xfrm>
        </xdr:grpSpPr>
        <xdr:sp macro="" textlink="">
          <xdr:nvSpPr>
            <xdr:cNvPr id="4275" name="Line 9092"/>
            <xdr:cNvSpPr>
              <a:spLocks noChangeShapeType="1"/>
            </xdr:cNvSpPr>
          </xdr:nvSpPr>
          <xdr:spPr bwMode="auto">
            <a:xfrm flipV="1">
              <a:off x="4251" y="2947"/>
              <a:ext cx="400" cy="1938"/>
            </a:xfrm>
            <a:prstGeom prst="line">
              <a:avLst/>
            </a:prstGeom>
            <a:noFill/>
            <a:ln w="9525">
              <a:solidFill>
                <a:srgbClr val="FF0000"/>
              </a:solidFill>
              <a:round/>
              <a:headEnd/>
              <a:tailEnd/>
            </a:ln>
          </xdr:spPr>
        </xdr:sp>
        <xdr:sp macro="" textlink="">
          <xdr:nvSpPr>
            <xdr:cNvPr id="4276" name="Line 9093"/>
            <xdr:cNvSpPr>
              <a:spLocks noChangeShapeType="1"/>
            </xdr:cNvSpPr>
          </xdr:nvSpPr>
          <xdr:spPr bwMode="auto">
            <a:xfrm>
              <a:off x="4651" y="2947"/>
              <a:ext cx="170" cy="0"/>
            </a:xfrm>
            <a:prstGeom prst="line">
              <a:avLst/>
            </a:prstGeom>
            <a:noFill/>
            <a:ln w="9525">
              <a:solidFill>
                <a:srgbClr val="FF0000"/>
              </a:solidFill>
              <a:round/>
              <a:headEnd/>
              <a:tailEnd/>
            </a:ln>
          </xdr:spPr>
        </xdr:sp>
        <xdr:sp macro="" textlink="">
          <xdr:nvSpPr>
            <xdr:cNvPr id="4277" name="Line 9094"/>
            <xdr:cNvSpPr>
              <a:spLocks noChangeShapeType="1"/>
            </xdr:cNvSpPr>
          </xdr:nvSpPr>
          <xdr:spPr bwMode="auto">
            <a:xfrm>
              <a:off x="4821" y="2947"/>
              <a:ext cx="0" cy="2678"/>
            </a:xfrm>
            <a:prstGeom prst="line">
              <a:avLst/>
            </a:prstGeom>
            <a:noFill/>
            <a:ln w="9525">
              <a:solidFill>
                <a:srgbClr val="FF0000"/>
              </a:solidFill>
              <a:round/>
              <a:headEnd/>
              <a:tailEnd/>
            </a:ln>
          </xdr:spPr>
        </xdr:sp>
        <xdr:sp macro="" textlink="">
          <xdr:nvSpPr>
            <xdr:cNvPr id="4278" name="Line 9095"/>
            <xdr:cNvSpPr>
              <a:spLocks noChangeShapeType="1"/>
            </xdr:cNvSpPr>
          </xdr:nvSpPr>
          <xdr:spPr bwMode="auto">
            <a:xfrm>
              <a:off x="4251" y="4885"/>
              <a:ext cx="400" cy="798"/>
            </a:xfrm>
            <a:prstGeom prst="line">
              <a:avLst/>
            </a:prstGeom>
            <a:noFill/>
            <a:ln w="9525">
              <a:solidFill>
                <a:srgbClr val="FF0000"/>
              </a:solidFill>
              <a:round/>
              <a:headEnd/>
              <a:tailEnd/>
            </a:ln>
          </xdr:spPr>
        </xdr:sp>
      </xdr:grpSp>
      <xdr:grpSp>
        <xdr:nvGrpSpPr>
          <xdr:cNvPr id="4264" name="Group 9096"/>
          <xdr:cNvGrpSpPr>
            <a:grpSpLocks/>
          </xdr:cNvGrpSpPr>
        </xdr:nvGrpSpPr>
        <xdr:grpSpPr bwMode="auto">
          <a:xfrm rot="8464448">
            <a:off x="5468" y="5524"/>
            <a:ext cx="569" cy="2733"/>
            <a:chOff x="4677" y="4047"/>
            <a:chExt cx="495" cy="2386"/>
          </a:xfrm>
        </xdr:grpSpPr>
        <xdr:sp macro="" textlink="">
          <xdr:nvSpPr>
            <xdr:cNvPr id="4271" name="Line 9097"/>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4272" name="Line 9098"/>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4273" name="Line 9099"/>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4274" name="Line 9100"/>
            <xdr:cNvSpPr>
              <a:spLocks noChangeShapeType="1"/>
            </xdr:cNvSpPr>
          </xdr:nvSpPr>
          <xdr:spPr bwMode="auto">
            <a:xfrm>
              <a:off x="4677" y="5737"/>
              <a:ext cx="347" cy="696"/>
            </a:xfrm>
            <a:prstGeom prst="line">
              <a:avLst/>
            </a:prstGeom>
            <a:noFill/>
            <a:ln w="9525">
              <a:solidFill>
                <a:srgbClr val="FF0000"/>
              </a:solidFill>
              <a:round/>
              <a:headEnd/>
              <a:tailEnd/>
            </a:ln>
          </xdr:spPr>
        </xdr:sp>
      </xdr:grpSp>
      <xdr:grpSp>
        <xdr:nvGrpSpPr>
          <xdr:cNvPr id="4265" name="Group 9101"/>
          <xdr:cNvGrpSpPr>
            <a:grpSpLocks/>
          </xdr:cNvGrpSpPr>
        </xdr:nvGrpSpPr>
        <xdr:grpSpPr bwMode="auto">
          <a:xfrm rot="-5905833">
            <a:off x="2936" y="4830"/>
            <a:ext cx="571" cy="2733"/>
            <a:chOff x="4677" y="4047"/>
            <a:chExt cx="495" cy="2386"/>
          </a:xfrm>
        </xdr:grpSpPr>
        <xdr:sp macro="" textlink="">
          <xdr:nvSpPr>
            <xdr:cNvPr id="4267" name="Line 9102"/>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4268" name="Line 9103"/>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4269" name="Line 9104"/>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4270" name="Line 9105"/>
            <xdr:cNvSpPr>
              <a:spLocks noChangeShapeType="1"/>
            </xdr:cNvSpPr>
          </xdr:nvSpPr>
          <xdr:spPr bwMode="auto">
            <a:xfrm>
              <a:off x="4677" y="5737"/>
              <a:ext cx="347" cy="696"/>
            </a:xfrm>
            <a:prstGeom prst="line">
              <a:avLst/>
            </a:prstGeom>
            <a:noFill/>
            <a:ln w="9525">
              <a:solidFill>
                <a:srgbClr val="FF0000"/>
              </a:solidFill>
              <a:round/>
              <a:headEnd/>
              <a:tailEnd/>
            </a:ln>
          </xdr:spPr>
        </xdr:sp>
      </xdr:grpSp>
      <xdr:sp macro="" textlink="">
        <xdr:nvSpPr>
          <xdr:cNvPr id="4266" name="AutoShape 910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FF0000"/>
            </a:solidFill>
            <a:miter lim="800000"/>
            <a:headEnd/>
            <a:tailEnd/>
          </a:ln>
        </xdr:spPr>
      </xdr:sp>
    </xdr:grpSp>
    <xdr:clientData/>
  </xdr:twoCellAnchor>
  <xdr:twoCellAnchor>
    <xdr:from>
      <xdr:col>4</xdr:col>
      <xdr:colOff>106680</xdr:colOff>
      <xdr:row>102</xdr:row>
      <xdr:rowOff>76200</xdr:rowOff>
    </xdr:from>
    <xdr:to>
      <xdr:col>4</xdr:col>
      <xdr:colOff>342900</xdr:colOff>
      <xdr:row>104</xdr:row>
      <xdr:rowOff>83820</xdr:rowOff>
    </xdr:to>
    <xdr:grpSp>
      <xdr:nvGrpSpPr>
        <xdr:cNvPr id="4279" name="Group 9107"/>
        <xdr:cNvGrpSpPr>
          <a:grpSpLocks/>
        </xdr:cNvGrpSpPr>
      </xdr:nvGrpSpPr>
      <xdr:grpSpPr bwMode="auto">
        <a:xfrm>
          <a:off x="4885509" y="16611600"/>
          <a:ext cx="236220" cy="355963"/>
          <a:chOff x="5163" y="2548"/>
          <a:chExt cx="2109" cy="2909"/>
        </a:xfrm>
      </xdr:grpSpPr>
      <xdr:sp macro="" textlink="">
        <xdr:nvSpPr>
          <xdr:cNvPr id="4280" name="Rectangle 9108"/>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4281" name="Line 9109"/>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4282" name="Line 9110"/>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4283" name="Line 9111"/>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4284" name="Line 9112"/>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4285" name="Line 9113"/>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4286" name="Line 9114"/>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4287" name="Line 9115"/>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4288" name="Line 9116"/>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4289" name="Line 9117"/>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4290" name="Line 9118"/>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4291" name="Line 9119"/>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4292" name="Line 9120"/>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4293" name="Line 9121"/>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102</xdr:row>
      <xdr:rowOff>114300</xdr:rowOff>
    </xdr:from>
    <xdr:to>
      <xdr:col>4</xdr:col>
      <xdr:colOff>1478280</xdr:colOff>
      <xdr:row>104</xdr:row>
      <xdr:rowOff>121920</xdr:rowOff>
    </xdr:to>
    <xdr:grpSp>
      <xdr:nvGrpSpPr>
        <xdr:cNvPr id="4294" name="Group 9122"/>
        <xdr:cNvGrpSpPr>
          <a:grpSpLocks/>
        </xdr:cNvGrpSpPr>
      </xdr:nvGrpSpPr>
      <xdr:grpSpPr bwMode="auto">
        <a:xfrm>
          <a:off x="5952309" y="16649700"/>
          <a:ext cx="304800" cy="355963"/>
          <a:chOff x="5238" y="4632"/>
          <a:chExt cx="1597" cy="1311"/>
        </a:xfrm>
      </xdr:grpSpPr>
      <xdr:sp macro="" textlink="">
        <xdr:nvSpPr>
          <xdr:cNvPr id="4295" name="Line 912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4296" name="Line 912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4297" name="Line 912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4298" name="Line 912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4299" name="Line 912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4300" name="Line 912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4301" name="Line 912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147</xdr:row>
      <xdr:rowOff>76200</xdr:rowOff>
    </xdr:from>
    <xdr:to>
      <xdr:col>4</xdr:col>
      <xdr:colOff>647700</xdr:colOff>
      <xdr:row>149</xdr:row>
      <xdr:rowOff>83820</xdr:rowOff>
    </xdr:to>
    <xdr:grpSp>
      <xdr:nvGrpSpPr>
        <xdr:cNvPr id="4302" name="Group 9130"/>
        <xdr:cNvGrpSpPr>
          <a:grpSpLocks/>
        </xdr:cNvGrpSpPr>
      </xdr:nvGrpSpPr>
      <xdr:grpSpPr bwMode="auto">
        <a:xfrm>
          <a:off x="5319849" y="24612600"/>
          <a:ext cx="106680" cy="355963"/>
          <a:chOff x="3771" y="1155"/>
          <a:chExt cx="4759" cy="14934"/>
        </a:xfrm>
      </xdr:grpSpPr>
      <xdr:sp macro="" textlink="">
        <xdr:nvSpPr>
          <xdr:cNvPr id="4303" name="Oval 913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4304" name="Arc 913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305" name="Arc 913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306" name="Line 913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4307" name="Line 913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4308" name="Line 913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4309" name="Line 913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4310" name="Line 913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4311" name="Line 913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4312" name="Line 914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4313" name="Line 914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4314" name="Line 914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4315" name="Line 914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4316" name="Line 914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4317" name="Line 914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4318" name="Line 914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4319" name="Line 914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4320" name="Line 914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4321" name="Line 914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147</xdr:row>
      <xdr:rowOff>60960</xdr:rowOff>
    </xdr:from>
    <xdr:to>
      <xdr:col>4</xdr:col>
      <xdr:colOff>975360</xdr:colOff>
      <xdr:row>149</xdr:row>
      <xdr:rowOff>83820</xdr:rowOff>
    </xdr:to>
    <xdr:grpSp>
      <xdr:nvGrpSpPr>
        <xdr:cNvPr id="4322" name="Group 9150"/>
        <xdr:cNvGrpSpPr>
          <a:grpSpLocks/>
        </xdr:cNvGrpSpPr>
      </xdr:nvGrpSpPr>
      <xdr:grpSpPr bwMode="auto">
        <a:xfrm>
          <a:off x="5617029" y="24597360"/>
          <a:ext cx="137160" cy="371203"/>
          <a:chOff x="1857" y="2993"/>
          <a:chExt cx="4178" cy="10157"/>
        </a:xfrm>
      </xdr:grpSpPr>
      <xdr:grpSp>
        <xdr:nvGrpSpPr>
          <xdr:cNvPr id="4323" name="Group 9151"/>
          <xdr:cNvGrpSpPr>
            <a:grpSpLocks/>
          </xdr:cNvGrpSpPr>
        </xdr:nvGrpSpPr>
        <xdr:grpSpPr bwMode="auto">
          <a:xfrm rot="1441604">
            <a:off x="4764" y="2993"/>
            <a:ext cx="570" cy="2736"/>
            <a:chOff x="4251" y="2947"/>
            <a:chExt cx="570" cy="2736"/>
          </a:xfrm>
        </xdr:grpSpPr>
        <xdr:sp macro="" textlink="">
          <xdr:nvSpPr>
            <xdr:cNvPr id="4335" name="Line 9152"/>
            <xdr:cNvSpPr>
              <a:spLocks noChangeShapeType="1"/>
            </xdr:cNvSpPr>
          </xdr:nvSpPr>
          <xdr:spPr bwMode="auto">
            <a:xfrm flipV="1">
              <a:off x="4251" y="2947"/>
              <a:ext cx="400" cy="1938"/>
            </a:xfrm>
            <a:prstGeom prst="line">
              <a:avLst/>
            </a:prstGeom>
            <a:noFill/>
            <a:ln w="9525">
              <a:solidFill>
                <a:srgbClr val="FF0000"/>
              </a:solidFill>
              <a:round/>
              <a:headEnd/>
              <a:tailEnd/>
            </a:ln>
          </xdr:spPr>
        </xdr:sp>
        <xdr:sp macro="" textlink="">
          <xdr:nvSpPr>
            <xdr:cNvPr id="4336" name="Line 9153"/>
            <xdr:cNvSpPr>
              <a:spLocks noChangeShapeType="1"/>
            </xdr:cNvSpPr>
          </xdr:nvSpPr>
          <xdr:spPr bwMode="auto">
            <a:xfrm>
              <a:off x="4651" y="2947"/>
              <a:ext cx="170" cy="0"/>
            </a:xfrm>
            <a:prstGeom prst="line">
              <a:avLst/>
            </a:prstGeom>
            <a:noFill/>
            <a:ln w="9525">
              <a:solidFill>
                <a:srgbClr val="FF0000"/>
              </a:solidFill>
              <a:round/>
              <a:headEnd/>
              <a:tailEnd/>
            </a:ln>
          </xdr:spPr>
        </xdr:sp>
        <xdr:sp macro="" textlink="">
          <xdr:nvSpPr>
            <xdr:cNvPr id="4337" name="Line 9154"/>
            <xdr:cNvSpPr>
              <a:spLocks noChangeShapeType="1"/>
            </xdr:cNvSpPr>
          </xdr:nvSpPr>
          <xdr:spPr bwMode="auto">
            <a:xfrm>
              <a:off x="4821" y="2947"/>
              <a:ext cx="0" cy="2678"/>
            </a:xfrm>
            <a:prstGeom prst="line">
              <a:avLst/>
            </a:prstGeom>
            <a:noFill/>
            <a:ln w="9525">
              <a:solidFill>
                <a:srgbClr val="FF0000"/>
              </a:solidFill>
              <a:round/>
              <a:headEnd/>
              <a:tailEnd/>
            </a:ln>
          </xdr:spPr>
        </xdr:sp>
        <xdr:sp macro="" textlink="">
          <xdr:nvSpPr>
            <xdr:cNvPr id="4338" name="Line 9155"/>
            <xdr:cNvSpPr>
              <a:spLocks noChangeShapeType="1"/>
            </xdr:cNvSpPr>
          </xdr:nvSpPr>
          <xdr:spPr bwMode="auto">
            <a:xfrm>
              <a:off x="4251" y="4885"/>
              <a:ext cx="400" cy="798"/>
            </a:xfrm>
            <a:prstGeom prst="line">
              <a:avLst/>
            </a:prstGeom>
            <a:noFill/>
            <a:ln w="9525">
              <a:solidFill>
                <a:srgbClr val="FF0000"/>
              </a:solidFill>
              <a:round/>
              <a:headEnd/>
              <a:tailEnd/>
            </a:ln>
          </xdr:spPr>
        </xdr:sp>
      </xdr:grpSp>
      <xdr:grpSp>
        <xdr:nvGrpSpPr>
          <xdr:cNvPr id="4324" name="Group 9156"/>
          <xdr:cNvGrpSpPr>
            <a:grpSpLocks/>
          </xdr:cNvGrpSpPr>
        </xdr:nvGrpSpPr>
        <xdr:grpSpPr bwMode="auto">
          <a:xfrm rot="8464448">
            <a:off x="5468" y="5524"/>
            <a:ext cx="569" cy="2733"/>
            <a:chOff x="4677" y="4047"/>
            <a:chExt cx="495" cy="2386"/>
          </a:xfrm>
        </xdr:grpSpPr>
        <xdr:sp macro="" textlink="">
          <xdr:nvSpPr>
            <xdr:cNvPr id="4331" name="Line 9157"/>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4332" name="Line 9158"/>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4333" name="Line 9159"/>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4334" name="Line 9160"/>
            <xdr:cNvSpPr>
              <a:spLocks noChangeShapeType="1"/>
            </xdr:cNvSpPr>
          </xdr:nvSpPr>
          <xdr:spPr bwMode="auto">
            <a:xfrm>
              <a:off x="4677" y="5737"/>
              <a:ext cx="347" cy="696"/>
            </a:xfrm>
            <a:prstGeom prst="line">
              <a:avLst/>
            </a:prstGeom>
            <a:noFill/>
            <a:ln w="9525">
              <a:solidFill>
                <a:srgbClr val="FF0000"/>
              </a:solidFill>
              <a:round/>
              <a:headEnd/>
              <a:tailEnd/>
            </a:ln>
          </xdr:spPr>
        </xdr:sp>
      </xdr:grpSp>
      <xdr:grpSp>
        <xdr:nvGrpSpPr>
          <xdr:cNvPr id="4325" name="Group 9161"/>
          <xdr:cNvGrpSpPr>
            <a:grpSpLocks/>
          </xdr:cNvGrpSpPr>
        </xdr:nvGrpSpPr>
        <xdr:grpSpPr bwMode="auto">
          <a:xfrm rot="-5905833">
            <a:off x="2936" y="4830"/>
            <a:ext cx="571" cy="2733"/>
            <a:chOff x="4677" y="4047"/>
            <a:chExt cx="495" cy="2386"/>
          </a:xfrm>
        </xdr:grpSpPr>
        <xdr:sp macro="" textlink="">
          <xdr:nvSpPr>
            <xdr:cNvPr id="4327" name="Line 9162"/>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4328" name="Line 9163"/>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4329" name="Line 9164"/>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4330" name="Line 9165"/>
            <xdr:cNvSpPr>
              <a:spLocks noChangeShapeType="1"/>
            </xdr:cNvSpPr>
          </xdr:nvSpPr>
          <xdr:spPr bwMode="auto">
            <a:xfrm>
              <a:off x="4677" y="5737"/>
              <a:ext cx="347" cy="696"/>
            </a:xfrm>
            <a:prstGeom prst="line">
              <a:avLst/>
            </a:prstGeom>
            <a:noFill/>
            <a:ln w="9525">
              <a:solidFill>
                <a:srgbClr val="FF0000"/>
              </a:solidFill>
              <a:round/>
              <a:headEnd/>
              <a:tailEnd/>
            </a:ln>
          </xdr:spPr>
        </xdr:sp>
      </xdr:grpSp>
      <xdr:sp macro="" textlink="">
        <xdr:nvSpPr>
          <xdr:cNvPr id="4326" name="AutoShape 916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FF0000"/>
            </a:solidFill>
            <a:miter lim="800000"/>
            <a:headEnd/>
            <a:tailEnd/>
          </a:ln>
        </xdr:spPr>
      </xdr:sp>
    </xdr:grpSp>
    <xdr:clientData/>
  </xdr:twoCellAnchor>
  <xdr:twoCellAnchor>
    <xdr:from>
      <xdr:col>4</xdr:col>
      <xdr:colOff>106680</xdr:colOff>
      <xdr:row>147</xdr:row>
      <xdr:rowOff>76200</xdr:rowOff>
    </xdr:from>
    <xdr:to>
      <xdr:col>4</xdr:col>
      <xdr:colOff>342900</xdr:colOff>
      <xdr:row>149</xdr:row>
      <xdr:rowOff>83820</xdr:rowOff>
    </xdr:to>
    <xdr:grpSp>
      <xdr:nvGrpSpPr>
        <xdr:cNvPr id="4339" name="Group 9167"/>
        <xdr:cNvGrpSpPr>
          <a:grpSpLocks/>
        </xdr:cNvGrpSpPr>
      </xdr:nvGrpSpPr>
      <xdr:grpSpPr bwMode="auto">
        <a:xfrm>
          <a:off x="4885509" y="24612600"/>
          <a:ext cx="236220" cy="355963"/>
          <a:chOff x="5163" y="2548"/>
          <a:chExt cx="2109" cy="2909"/>
        </a:xfrm>
      </xdr:grpSpPr>
      <xdr:sp macro="" textlink="">
        <xdr:nvSpPr>
          <xdr:cNvPr id="4340" name="Rectangle 9168"/>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4341" name="Line 9169"/>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4342" name="Line 9170"/>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4343" name="Line 9171"/>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4344" name="Line 9172"/>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4345" name="Line 9173"/>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4346" name="Line 9174"/>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4347" name="Line 9175"/>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4348" name="Line 9176"/>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4349" name="Line 9177"/>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4350" name="Line 9178"/>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4351" name="Line 9179"/>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4352" name="Line 9180"/>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4353" name="Line 9181"/>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147</xdr:row>
      <xdr:rowOff>114300</xdr:rowOff>
    </xdr:from>
    <xdr:to>
      <xdr:col>4</xdr:col>
      <xdr:colOff>1478280</xdr:colOff>
      <xdr:row>149</xdr:row>
      <xdr:rowOff>121920</xdr:rowOff>
    </xdr:to>
    <xdr:grpSp>
      <xdr:nvGrpSpPr>
        <xdr:cNvPr id="4354" name="Group 9182"/>
        <xdr:cNvGrpSpPr>
          <a:grpSpLocks/>
        </xdr:cNvGrpSpPr>
      </xdr:nvGrpSpPr>
      <xdr:grpSpPr bwMode="auto">
        <a:xfrm>
          <a:off x="5952309" y="24650700"/>
          <a:ext cx="304800" cy="355963"/>
          <a:chOff x="5238" y="4632"/>
          <a:chExt cx="1597" cy="1311"/>
        </a:xfrm>
      </xdr:grpSpPr>
      <xdr:sp macro="" textlink="">
        <xdr:nvSpPr>
          <xdr:cNvPr id="4355" name="Line 918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4356" name="Line 918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4357" name="Line 918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4358" name="Line 918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4359" name="Line 918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4360" name="Line 918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4361" name="Line 918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186</xdr:row>
      <xdr:rowOff>0</xdr:rowOff>
    </xdr:from>
    <xdr:to>
      <xdr:col>4</xdr:col>
      <xdr:colOff>647700</xdr:colOff>
      <xdr:row>186</xdr:row>
      <xdr:rowOff>0</xdr:rowOff>
    </xdr:to>
    <xdr:grpSp>
      <xdr:nvGrpSpPr>
        <xdr:cNvPr id="4362" name="Group 9190"/>
        <xdr:cNvGrpSpPr>
          <a:grpSpLocks/>
        </xdr:cNvGrpSpPr>
      </xdr:nvGrpSpPr>
      <xdr:grpSpPr bwMode="auto">
        <a:xfrm>
          <a:off x="5319849" y="31470600"/>
          <a:ext cx="106680" cy="0"/>
          <a:chOff x="3771" y="1155"/>
          <a:chExt cx="4759" cy="14934"/>
        </a:xfrm>
      </xdr:grpSpPr>
      <xdr:sp macro="" textlink="">
        <xdr:nvSpPr>
          <xdr:cNvPr id="4363" name="Oval 919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4364" name="Arc 919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365" name="Arc 919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366" name="Line 919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4367" name="Line 919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4368" name="Line 919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4369" name="Line 919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4370" name="Line 919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4371" name="Line 919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4372" name="Line 920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4373" name="Line 920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4374" name="Line 920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4375" name="Line 920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4376" name="Line 920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4377" name="Line 920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4378" name="Line 920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4379" name="Line 920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4380" name="Line 920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4381" name="Line 920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106680</xdr:colOff>
      <xdr:row>186</xdr:row>
      <xdr:rowOff>0</xdr:rowOff>
    </xdr:from>
    <xdr:to>
      <xdr:col>4</xdr:col>
      <xdr:colOff>342900</xdr:colOff>
      <xdr:row>186</xdr:row>
      <xdr:rowOff>0</xdr:rowOff>
    </xdr:to>
    <xdr:grpSp>
      <xdr:nvGrpSpPr>
        <xdr:cNvPr id="4382" name="Group 9227"/>
        <xdr:cNvGrpSpPr>
          <a:grpSpLocks/>
        </xdr:cNvGrpSpPr>
      </xdr:nvGrpSpPr>
      <xdr:grpSpPr bwMode="auto">
        <a:xfrm>
          <a:off x="4885509" y="31470600"/>
          <a:ext cx="236220" cy="0"/>
          <a:chOff x="5163" y="2548"/>
          <a:chExt cx="2109" cy="2909"/>
        </a:xfrm>
      </xdr:grpSpPr>
      <xdr:sp macro="" textlink="">
        <xdr:nvSpPr>
          <xdr:cNvPr id="4383" name="Rectangle 9228"/>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4384" name="Line 9229"/>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4385" name="Line 9230"/>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4386" name="Line 9231"/>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4387" name="Line 9232"/>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4388" name="Line 9233"/>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4389" name="Line 9234"/>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4390" name="Line 9235"/>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4391" name="Line 9236"/>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4392" name="Line 9237"/>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4393" name="Line 9238"/>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4394" name="Line 9239"/>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4395" name="Line 9240"/>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4396" name="Line 9241"/>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186</xdr:row>
      <xdr:rowOff>0</xdr:rowOff>
    </xdr:from>
    <xdr:to>
      <xdr:col>4</xdr:col>
      <xdr:colOff>1478280</xdr:colOff>
      <xdr:row>186</xdr:row>
      <xdr:rowOff>0</xdr:rowOff>
    </xdr:to>
    <xdr:grpSp>
      <xdr:nvGrpSpPr>
        <xdr:cNvPr id="4397" name="Group 9242"/>
        <xdr:cNvGrpSpPr>
          <a:grpSpLocks/>
        </xdr:cNvGrpSpPr>
      </xdr:nvGrpSpPr>
      <xdr:grpSpPr bwMode="auto">
        <a:xfrm>
          <a:off x="5952309" y="31470600"/>
          <a:ext cx="304800" cy="0"/>
          <a:chOff x="5238" y="4632"/>
          <a:chExt cx="1597" cy="1311"/>
        </a:xfrm>
      </xdr:grpSpPr>
      <xdr:sp macro="" textlink="">
        <xdr:nvSpPr>
          <xdr:cNvPr id="4398" name="Line 924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4399" name="Line 924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4400" name="Line 924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4401" name="Line 924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4402" name="Line 924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4403" name="Line 924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4404" name="Line 924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186</xdr:row>
      <xdr:rowOff>0</xdr:rowOff>
    </xdr:from>
    <xdr:to>
      <xdr:col>4</xdr:col>
      <xdr:colOff>647700</xdr:colOff>
      <xdr:row>186</xdr:row>
      <xdr:rowOff>0</xdr:rowOff>
    </xdr:to>
    <xdr:grpSp>
      <xdr:nvGrpSpPr>
        <xdr:cNvPr id="4405" name="Group 9250"/>
        <xdr:cNvGrpSpPr>
          <a:grpSpLocks/>
        </xdr:cNvGrpSpPr>
      </xdr:nvGrpSpPr>
      <xdr:grpSpPr bwMode="auto">
        <a:xfrm>
          <a:off x="5319849" y="31470600"/>
          <a:ext cx="106680" cy="0"/>
          <a:chOff x="3771" y="1155"/>
          <a:chExt cx="4759" cy="14934"/>
        </a:xfrm>
      </xdr:grpSpPr>
      <xdr:sp macro="" textlink="">
        <xdr:nvSpPr>
          <xdr:cNvPr id="4406" name="Oval 925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4407" name="Arc 925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408" name="Arc 925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409" name="Line 925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4410" name="Line 925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4411" name="Line 925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4412" name="Line 925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4413" name="Line 925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4414" name="Line 925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4415" name="Line 926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4416" name="Line 926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4417" name="Line 926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4418" name="Line 926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4419" name="Line 926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4420" name="Line 926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4421" name="Line 926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4422" name="Line 926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4423" name="Line 926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4424" name="Line 926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106680</xdr:colOff>
      <xdr:row>186</xdr:row>
      <xdr:rowOff>0</xdr:rowOff>
    </xdr:from>
    <xdr:to>
      <xdr:col>4</xdr:col>
      <xdr:colOff>342900</xdr:colOff>
      <xdr:row>186</xdr:row>
      <xdr:rowOff>0</xdr:rowOff>
    </xdr:to>
    <xdr:grpSp>
      <xdr:nvGrpSpPr>
        <xdr:cNvPr id="4425" name="Group 9287"/>
        <xdr:cNvGrpSpPr>
          <a:grpSpLocks/>
        </xdr:cNvGrpSpPr>
      </xdr:nvGrpSpPr>
      <xdr:grpSpPr bwMode="auto">
        <a:xfrm>
          <a:off x="4885509" y="31470600"/>
          <a:ext cx="236220" cy="0"/>
          <a:chOff x="5163" y="2548"/>
          <a:chExt cx="2109" cy="2909"/>
        </a:xfrm>
      </xdr:grpSpPr>
      <xdr:sp macro="" textlink="">
        <xdr:nvSpPr>
          <xdr:cNvPr id="4426" name="Rectangle 9288"/>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4427" name="Line 9289"/>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4428" name="Line 9290"/>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4429" name="Line 9291"/>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4430" name="Line 9292"/>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4431" name="Line 9293"/>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4432" name="Line 9294"/>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4433" name="Line 9295"/>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4434" name="Line 9296"/>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4435" name="Line 9297"/>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4436" name="Line 9298"/>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4437" name="Line 9299"/>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4438" name="Line 9300"/>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4439" name="Line 9301"/>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186</xdr:row>
      <xdr:rowOff>0</xdr:rowOff>
    </xdr:from>
    <xdr:to>
      <xdr:col>4</xdr:col>
      <xdr:colOff>1478280</xdr:colOff>
      <xdr:row>186</xdr:row>
      <xdr:rowOff>0</xdr:rowOff>
    </xdr:to>
    <xdr:grpSp>
      <xdr:nvGrpSpPr>
        <xdr:cNvPr id="4440" name="Group 9302"/>
        <xdr:cNvGrpSpPr>
          <a:grpSpLocks/>
        </xdr:cNvGrpSpPr>
      </xdr:nvGrpSpPr>
      <xdr:grpSpPr bwMode="auto">
        <a:xfrm>
          <a:off x="5952309" y="31470600"/>
          <a:ext cx="304800" cy="0"/>
          <a:chOff x="5238" y="4632"/>
          <a:chExt cx="1597" cy="1311"/>
        </a:xfrm>
      </xdr:grpSpPr>
      <xdr:sp macro="" textlink="">
        <xdr:nvSpPr>
          <xdr:cNvPr id="4441" name="Line 930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4442" name="Line 930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4443" name="Line 930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4444" name="Line 930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4445" name="Line 930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4446" name="Line 930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4447" name="Line 930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111</xdr:row>
      <xdr:rowOff>76200</xdr:rowOff>
    </xdr:from>
    <xdr:to>
      <xdr:col>4</xdr:col>
      <xdr:colOff>647700</xdr:colOff>
      <xdr:row>113</xdr:row>
      <xdr:rowOff>83820</xdr:rowOff>
    </xdr:to>
    <xdr:grpSp>
      <xdr:nvGrpSpPr>
        <xdr:cNvPr id="4448" name="Group 9310"/>
        <xdr:cNvGrpSpPr>
          <a:grpSpLocks/>
        </xdr:cNvGrpSpPr>
      </xdr:nvGrpSpPr>
      <xdr:grpSpPr bwMode="auto">
        <a:xfrm>
          <a:off x="5319849" y="18211800"/>
          <a:ext cx="106680" cy="355963"/>
          <a:chOff x="3771" y="1155"/>
          <a:chExt cx="4759" cy="14934"/>
        </a:xfrm>
      </xdr:grpSpPr>
      <xdr:sp macro="" textlink="">
        <xdr:nvSpPr>
          <xdr:cNvPr id="4449" name="Oval 931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4450" name="Arc 931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451" name="Arc 931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452" name="Line 931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4453" name="Line 931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4454" name="Line 931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4455" name="Line 931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4456" name="Line 931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4457" name="Line 931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4458" name="Line 932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4459" name="Line 932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4460" name="Line 932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4461" name="Line 932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4462" name="Line 932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4463" name="Line 932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4464" name="Line 932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4465" name="Line 932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4466" name="Line 932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4467" name="Line 932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111</xdr:row>
      <xdr:rowOff>60960</xdr:rowOff>
    </xdr:from>
    <xdr:to>
      <xdr:col>4</xdr:col>
      <xdr:colOff>975360</xdr:colOff>
      <xdr:row>113</xdr:row>
      <xdr:rowOff>83820</xdr:rowOff>
    </xdr:to>
    <xdr:grpSp>
      <xdr:nvGrpSpPr>
        <xdr:cNvPr id="4468" name="Group 9330"/>
        <xdr:cNvGrpSpPr>
          <a:grpSpLocks/>
        </xdr:cNvGrpSpPr>
      </xdr:nvGrpSpPr>
      <xdr:grpSpPr bwMode="auto">
        <a:xfrm>
          <a:off x="5617029" y="18196560"/>
          <a:ext cx="137160" cy="371203"/>
          <a:chOff x="1857" y="2993"/>
          <a:chExt cx="4178" cy="10157"/>
        </a:xfrm>
      </xdr:grpSpPr>
      <xdr:grpSp>
        <xdr:nvGrpSpPr>
          <xdr:cNvPr id="4469" name="Group 9331"/>
          <xdr:cNvGrpSpPr>
            <a:grpSpLocks/>
          </xdr:cNvGrpSpPr>
        </xdr:nvGrpSpPr>
        <xdr:grpSpPr bwMode="auto">
          <a:xfrm rot="1441604">
            <a:off x="4764" y="2993"/>
            <a:ext cx="570" cy="2736"/>
            <a:chOff x="4251" y="2947"/>
            <a:chExt cx="570" cy="2736"/>
          </a:xfrm>
        </xdr:grpSpPr>
        <xdr:sp macro="" textlink="">
          <xdr:nvSpPr>
            <xdr:cNvPr id="4481" name="Line 9332"/>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4482" name="Line 9333"/>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4483" name="Line 9334"/>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4484" name="Line 9335"/>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4470" name="Group 9336"/>
          <xdr:cNvGrpSpPr>
            <a:grpSpLocks/>
          </xdr:cNvGrpSpPr>
        </xdr:nvGrpSpPr>
        <xdr:grpSpPr bwMode="auto">
          <a:xfrm rot="8464448">
            <a:off x="5468" y="5524"/>
            <a:ext cx="569" cy="2733"/>
            <a:chOff x="4677" y="4047"/>
            <a:chExt cx="495" cy="2386"/>
          </a:xfrm>
        </xdr:grpSpPr>
        <xdr:sp macro="" textlink="">
          <xdr:nvSpPr>
            <xdr:cNvPr id="4477" name="Line 9337"/>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4478" name="Line 9338"/>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4479" name="Line 9339"/>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4480" name="Line 9340"/>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4471" name="Group 9341"/>
          <xdr:cNvGrpSpPr>
            <a:grpSpLocks/>
          </xdr:cNvGrpSpPr>
        </xdr:nvGrpSpPr>
        <xdr:grpSpPr bwMode="auto">
          <a:xfrm rot="-5905833">
            <a:off x="2936" y="4830"/>
            <a:ext cx="571" cy="2733"/>
            <a:chOff x="4677" y="4047"/>
            <a:chExt cx="495" cy="2386"/>
          </a:xfrm>
        </xdr:grpSpPr>
        <xdr:sp macro="" textlink="">
          <xdr:nvSpPr>
            <xdr:cNvPr id="4473" name="Line 9342"/>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4474" name="Line 9343"/>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4475" name="Line 9344"/>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4476" name="Line 9345"/>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4472" name="AutoShape 934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111</xdr:row>
      <xdr:rowOff>76200</xdr:rowOff>
    </xdr:from>
    <xdr:to>
      <xdr:col>4</xdr:col>
      <xdr:colOff>342900</xdr:colOff>
      <xdr:row>113</xdr:row>
      <xdr:rowOff>83820</xdr:rowOff>
    </xdr:to>
    <xdr:grpSp>
      <xdr:nvGrpSpPr>
        <xdr:cNvPr id="4485" name="Group 9347"/>
        <xdr:cNvGrpSpPr>
          <a:grpSpLocks/>
        </xdr:cNvGrpSpPr>
      </xdr:nvGrpSpPr>
      <xdr:grpSpPr bwMode="auto">
        <a:xfrm>
          <a:off x="4885509" y="18211800"/>
          <a:ext cx="236220" cy="355963"/>
          <a:chOff x="5163" y="2548"/>
          <a:chExt cx="2109" cy="2909"/>
        </a:xfrm>
      </xdr:grpSpPr>
      <xdr:sp macro="" textlink="">
        <xdr:nvSpPr>
          <xdr:cNvPr id="4486" name="Rectangle 9348"/>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4487" name="Line 9349"/>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4488" name="Line 9350"/>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4489" name="Line 9351"/>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4490" name="Line 9352"/>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4491" name="Line 9353"/>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4492" name="Line 9354"/>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4493" name="Line 9355"/>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4494" name="Line 9356"/>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4495" name="Line 9357"/>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4496" name="Line 9358"/>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4497" name="Line 9359"/>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4498" name="Line 9360"/>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4499" name="Line 9361"/>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111</xdr:row>
      <xdr:rowOff>114300</xdr:rowOff>
    </xdr:from>
    <xdr:to>
      <xdr:col>4</xdr:col>
      <xdr:colOff>1478280</xdr:colOff>
      <xdr:row>113</xdr:row>
      <xdr:rowOff>121920</xdr:rowOff>
    </xdr:to>
    <xdr:grpSp>
      <xdr:nvGrpSpPr>
        <xdr:cNvPr id="4500" name="Group 9362"/>
        <xdr:cNvGrpSpPr>
          <a:grpSpLocks/>
        </xdr:cNvGrpSpPr>
      </xdr:nvGrpSpPr>
      <xdr:grpSpPr bwMode="auto">
        <a:xfrm>
          <a:off x="5952309" y="18249900"/>
          <a:ext cx="304800" cy="355963"/>
          <a:chOff x="5238" y="4632"/>
          <a:chExt cx="1597" cy="1311"/>
        </a:xfrm>
      </xdr:grpSpPr>
      <xdr:sp macro="" textlink="">
        <xdr:nvSpPr>
          <xdr:cNvPr id="4501" name="Line 936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4502" name="Line 936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4503" name="Line 936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4504" name="Line 936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4505" name="Line 936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4506" name="Line 936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4507" name="Line 936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117</xdr:row>
      <xdr:rowOff>76200</xdr:rowOff>
    </xdr:from>
    <xdr:to>
      <xdr:col>4</xdr:col>
      <xdr:colOff>647700</xdr:colOff>
      <xdr:row>119</xdr:row>
      <xdr:rowOff>83820</xdr:rowOff>
    </xdr:to>
    <xdr:grpSp>
      <xdr:nvGrpSpPr>
        <xdr:cNvPr id="4628" name="Group 9490"/>
        <xdr:cNvGrpSpPr>
          <a:grpSpLocks/>
        </xdr:cNvGrpSpPr>
      </xdr:nvGrpSpPr>
      <xdr:grpSpPr bwMode="auto">
        <a:xfrm>
          <a:off x="5319849" y="19278600"/>
          <a:ext cx="106680" cy="355963"/>
          <a:chOff x="3771" y="1155"/>
          <a:chExt cx="4759" cy="14934"/>
        </a:xfrm>
      </xdr:grpSpPr>
      <xdr:sp macro="" textlink="">
        <xdr:nvSpPr>
          <xdr:cNvPr id="4629" name="Oval 949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4630" name="Arc 949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631" name="Arc 949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632" name="Line 949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4633" name="Line 949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4634" name="Line 949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4635" name="Line 949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4636" name="Line 949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4637" name="Line 949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4638" name="Line 950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4639" name="Line 950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4640" name="Line 950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4641" name="Line 950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4642" name="Line 950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4643" name="Line 950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4644" name="Line 950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4645" name="Line 950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4646" name="Line 950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4647" name="Line 950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117</xdr:row>
      <xdr:rowOff>60960</xdr:rowOff>
    </xdr:from>
    <xdr:to>
      <xdr:col>4</xdr:col>
      <xdr:colOff>975360</xdr:colOff>
      <xdr:row>119</xdr:row>
      <xdr:rowOff>83820</xdr:rowOff>
    </xdr:to>
    <xdr:grpSp>
      <xdr:nvGrpSpPr>
        <xdr:cNvPr id="4648" name="Group 9510"/>
        <xdr:cNvGrpSpPr>
          <a:grpSpLocks/>
        </xdr:cNvGrpSpPr>
      </xdr:nvGrpSpPr>
      <xdr:grpSpPr bwMode="auto">
        <a:xfrm>
          <a:off x="5617029" y="19263360"/>
          <a:ext cx="137160" cy="371203"/>
          <a:chOff x="1857" y="2993"/>
          <a:chExt cx="4178" cy="10157"/>
        </a:xfrm>
      </xdr:grpSpPr>
      <xdr:grpSp>
        <xdr:nvGrpSpPr>
          <xdr:cNvPr id="4649" name="Group 9511"/>
          <xdr:cNvGrpSpPr>
            <a:grpSpLocks/>
          </xdr:cNvGrpSpPr>
        </xdr:nvGrpSpPr>
        <xdr:grpSpPr bwMode="auto">
          <a:xfrm rot="1441604">
            <a:off x="4764" y="2993"/>
            <a:ext cx="570" cy="2736"/>
            <a:chOff x="4251" y="2947"/>
            <a:chExt cx="570" cy="2736"/>
          </a:xfrm>
        </xdr:grpSpPr>
        <xdr:sp macro="" textlink="">
          <xdr:nvSpPr>
            <xdr:cNvPr id="4661" name="Line 9512"/>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4662" name="Line 9513"/>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4663" name="Line 9514"/>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4664" name="Line 9515"/>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4650" name="Group 9516"/>
          <xdr:cNvGrpSpPr>
            <a:grpSpLocks/>
          </xdr:cNvGrpSpPr>
        </xdr:nvGrpSpPr>
        <xdr:grpSpPr bwMode="auto">
          <a:xfrm rot="8464448">
            <a:off x="5468" y="5524"/>
            <a:ext cx="569" cy="2733"/>
            <a:chOff x="4677" y="4047"/>
            <a:chExt cx="495" cy="2386"/>
          </a:xfrm>
        </xdr:grpSpPr>
        <xdr:sp macro="" textlink="">
          <xdr:nvSpPr>
            <xdr:cNvPr id="4657" name="Line 9517"/>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4658" name="Line 9518"/>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4659" name="Line 9519"/>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4660" name="Line 9520"/>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4651" name="Group 9521"/>
          <xdr:cNvGrpSpPr>
            <a:grpSpLocks/>
          </xdr:cNvGrpSpPr>
        </xdr:nvGrpSpPr>
        <xdr:grpSpPr bwMode="auto">
          <a:xfrm rot="-5905833">
            <a:off x="2936" y="4830"/>
            <a:ext cx="571" cy="2733"/>
            <a:chOff x="4677" y="4047"/>
            <a:chExt cx="495" cy="2386"/>
          </a:xfrm>
        </xdr:grpSpPr>
        <xdr:sp macro="" textlink="">
          <xdr:nvSpPr>
            <xdr:cNvPr id="4653" name="Line 9522"/>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4654" name="Line 9523"/>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4655" name="Line 9524"/>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4656" name="Line 9525"/>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4652" name="AutoShape 952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117</xdr:row>
      <xdr:rowOff>76200</xdr:rowOff>
    </xdr:from>
    <xdr:to>
      <xdr:col>4</xdr:col>
      <xdr:colOff>342900</xdr:colOff>
      <xdr:row>119</xdr:row>
      <xdr:rowOff>83820</xdr:rowOff>
    </xdr:to>
    <xdr:grpSp>
      <xdr:nvGrpSpPr>
        <xdr:cNvPr id="4665" name="Group 9527"/>
        <xdr:cNvGrpSpPr>
          <a:grpSpLocks/>
        </xdr:cNvGrpSpPr>
      </xdr:nvGrpSpPr>
      <xdr:grpSpPr bwMode="auto">
        <a:xfrm>
          <a:off x="4885509" y="19278600"/>
          <a:ext cx="236220" cy="355963"/>
          <a:chOff x="5163" y="2548"/>
          <a:chExt cx="2109" cy="2909"/>
        </a:xfrm>
      </xdr:grpSpPr>
      <xdr:sp macro="" textlink="">
        <xdr:nvSpPr>
          <xdr:cNvPr id="4666" name="Rectangle 9528"/>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4667" name="Line 9529"/>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4668" name="Line 9530"/>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4669" name="Line 9531"/>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4670" name="Line 9532"/>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4671" name="Line 9533"/>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4672" name="Line 9534"/>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4673" name="Line 9535"/>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4674" name="Line 9536"/>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4675" name="Line 9537"/>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4676" name="Line 9538"/>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4677" name="Line 9539"/>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4678" name="Line 9540"/>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4679" name="Line 9541"/>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117</xdr:row>
      <xdr:rowOff>114300</xdr:rowOff>
    </xdr:from>
    <xdr:to>
      <xdr:col>4</xdr:col>
      <xdr:colOff>1478280</xdr:colOff>
      <xdr:row>119</xdr:row>
      <xdr:rowOff>121920</xdr:rowOff>
    </xdr:to>
    <xdr:grpSp>
      <xdr:nvGrpSpPr>
        <xdr:cNvPr id="4680" name="Group 9542"/>
        <xdr:cNvGrpSpPr>
          <a:grpSpLocks/>
        </xdr:cNvGrpSpPr>
      </xdr:nvGrpSpPr>
      <xdr:grpSpPr bwMode="auto">
        <a:xfrm>
          <a:off x="5952309" y="19316700"/>
          <a:ext cx="304800" cy="355963"/>
          <a:chOff x="5238" y="4632"/>
          <a:chExt cx="1597" cy="1311"/>
        </a:xfrm>
      </xdr:grpSpPr>
      <xdr:sp macro="" textlink="">
        <xdr:nvSpPr>
          <xdr:cNvPr id="4681" name="Line 954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4682" name="Line 954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4683" name="Line 954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4684" name="Line 954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4685" name="Line 954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4686" name="Line 954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4687" name="Line 954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150</xdr:row>
      <xdr:rowOff>76200</xdr:rowOff>
    </xdr:from>
    <xdr:to>
      <xdr:col>4</xdr:col>
      <xdr:colOff>647700</xdr:colOff>
      <xdr:row>152</xdr:row>
      <xdr:rowOff>83820</xdr:rowOff>
    </xdr:to>
    <xdr:grpSp>
      <xdr:nvGrpSpPr>
        <xdr:cNvPr id="4688" name="Group 9550"/>
        <xdr:cNvGrpSpPr>
          <a:grpSpLocks/>
        </xdr:cNvGrpSpPr>
      </xdr:nvGrpSpPr>
      <xdr:grpSpPr bwMode="auto">
        <a:xfrm>
          <a:off x="5319849" y="25146000"/>
          <a:ext cx="106680" cy="355963"/>
          <a:chOff x="3771" y="1155"/>
          <a:chExt cx="4759" cy="14934"/>
        </a:xfrm>
      </xdr:grpSpPr>
      <xdr:sp macro="" textlink="">
        <xdr:nvSpPr>
          <xdr:cNvPr id="4689" name="Oval 955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4690" name="Arc 955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691" name="Arc 955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692" name="Line 955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4693" name="Line 955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4694" name="Line 955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4695" name="Line 955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4696" name="Line 955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4697" name="Line 955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4698" name="Line 956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4699" name="Line 956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4700" name="Line 956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4701" name="Line 956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4702" name="Line 956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4703" name="Line 956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4704" name="Line 956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4705" name="Line 956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4706" name="Line 956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4707" name="Line 956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150</xdr:row>
      <xdr:rowOff>60960</xdr:rowOff>
    </xdr:from>
    <xdr:to>
      <xdr:col>4</xdr:col>
      <xdr:colOff>975360</xdr:colOff>
      <xdr:row>152</xdr:row>
      <xdr:rowOff>83820</xdr:rowOff>
    </xdr:to>
    <xdr:grpSp>
      <xdr:nvGrpSpPr>
        <xdr:cNvPr id="4708" name="Group 9570"/>
        <xdr:cNvGrpSpPr>
          <a:grpSpLocks/>
        </xdr:cNvGrpSpPr>
      </xdr:nvGrpSpPr>
      <xdr:grpSpPr bwMode="auto">
        <a:xfrm>
          <a:off x="5617029" y="25130760"/>
          <a:ext cx="137160" cy="371203"/>
          <a:chOff x="1857" y="2993"/>
          <a:chExt cx="4178" cy="10157"/>
        </a:xfrm>
      </xdr:grpSpPr>
      <xdr:grpSp>
        <xdr:nvGrpSpPr>
          <xdr:cNvPr id="4709" name="Group 9571"/>
          <xdr:cNvGrpSpPr>
            <a:grpSpLocks/>
          </xdr:cNvGrpSpPr>
        </xdr:nvGrpSpPr>
        <xdr:grpSpPr bwMode="auto">
          <a:xfrm rot="1441604">
            <a:off x="4764" y="2993"/>
            <a:ext cx="570" cy="2736"/>
            <a:chOff x="4251" y="2947"/>
            <a:chExt cx="570" cy="2736"/>
          </a:xfrm>
        </xdr:grpSpPr>
        <xdr:sp macro="" textlink="">
          <xdr:nvSpPr>
            <xdr:cNvPr id="4721" name="Line 9572"/>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4722" name="Line 9573"/>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4723" name="Line 9574"/>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4724" name="Line 9575"/>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4710" name="Group 9576"/>
          <xdr:cNvGrpSpPr>
            <a:grpSpLocks/>
          </xdr:cNvGrpSpPr>
        </xdr:nvGrpSpPr>
        <xdr:grpSpPr bwMode="auto">
          <a:xfrm rot="8464448">
            <a:off x="5468" y="5524"/>
            <a:ext cx="569" cy="2733"/>
            <a:chOff x="4677" y="4047"/>
            <a:chExt cx="495" cy="2386"/>
          </a:xfrm>
        </xdr:grpSpPr>
        <xdr:sp macro="" textlink="">
          <xdr:nvSpPr>
            <xdr:cNvPr id="4717" name="Line 9577"/>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4718" name="Line 9578"/>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4719" name="Line 9579"/>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4720" name="Line 9580"/>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4711" name="Group 9581"/>
          <xdr:cNvGrpSpPr>
            <a:grpSpLocks/>
          </xdr:cNvGrpSpPr>
        </xdr:nvGrpSpPr>
        <xdr:grpSpPr bwMode="auto">
          <a:xfrm rot="-5905833">
            <a:off x="2936" y="4830"/>
            <a:ext cx="571" cy="2733"/>
            <a:chOff x="4677" y="4047"/>
            <a:chExt cx="495" cy="2386"/>
          </a:xfrm>
        </xdr:grpSpPr>
        <xdr:sp macro="" textlink="">
          <xdr:nvSpPr>
            <xdr:cNvPr id="4713" name="Line 9582"/>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4714" name="Line 9583"/>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4715" name="Line 9584"/>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4716" name="Line 9585"/>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4712" name="AutoShape 958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150</xdr:row>
      <xdr:rowOff>76200</xdr:rowOff>
    </xdr:from>
    <xdr:to>
      <xdr:col>4</xdr:col>
      <xdr:colOff>342900</xdr:colOff>
      <xdr:row>152</xdr:row>
      <xdr:rowOff>83820</xdr:rowOff>
    </xdr:to>
    <xdr:grpSp>
      <xdr:nvGrpSpPr>
        <xdr:cNvPr id="4725" name="Group 9587"/>
        <xdr:cNvGrpSpPr>
          <a:grpSpLocks/>
        </xdr:cNvGrpSpPr>
      </xdr:nvGrpSpPr>
      <xdr:grpSpPr bwMode="auto">
        <a:xfrm>
          <a:off x="4885509" y="25146000"/>
          <a:ext cx="236220" cy="355963"/>
          <a:chOff x="5163" y="2548"/>
          <a:chExt cx="2109" cy="2909"/>
        </a:xfrm>
      </xdr:grpSpPr>
      <xdr:sp macro="" textlink="">
        <xdr:nvSpPr>
          <xdr:cNvPr id="4726" name="Rectangle 9588"/>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4727" name="Line 9589"/>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4728" name="Line 9590"/>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4729" name="Line 9591"/>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4730" name="Line 9592"/>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4731" name="Line 9593"/>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4732" name="Line 9594"/>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4733" name="Line 9595"/>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4734" name="Line 9596"/>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4735" name="Line 9597"/>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4736" name="Line 9598"/>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4737" name="Line 9599"/>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4738" name="Line 9600"/>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4739" name="Line 9601"/>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150</xdr:row>
      <xdr:rowOff>114300</xdr:rowOff>
    </xdr:from>
    <xdr:to>
      <xdr:col>4</xdr:col>
      <xdr:colOff>1478280</xdr:colOff>
      <xdr:row>152</xdr:row>
      <xdr:rowOff>121920</xdr:rowOff>
    </xdr:to>
    <xdr:grpSp>
      <xdr:nvGrpSpPr>
        <xdr:cNvPr id="4740" name="Group 9602"/>
        <xdr:cNvGrpSpPr>
          <a:grpSpLocks/>
        </xdr:cNvGrpSpPr>
      </xdr:nvGrpSpPr>
      <xdr:grpSpPr bwMode="auto">
        <a:xfrm>
          <a:off x="5952309" y="25184100"/>
          <a:ext cx="304800" cy="355963"/>
          <a:chOff x="5238" y="4632"/>
          <a:chExt cx="1597" cy="1311"/>
        </a:xfrm>
      </xdr:grpSpPr>
      <xdr:sp macro="" textlink="">
        <xdr:nvSpPr>
          <xdr:cNvPr id="4741" name="Line 960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4742" name="Line 960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4743" name="Line 960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4744" name="Line 960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4745" name="Line 960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4746" name="Line 960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4747" name="Line 960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153</xdr:row>
      <xdr:rowOff>76200</xdr:rowOff>
    </xdr:from>
    <xdr:to>
      <xdr:col>4</xdr:col>
      <xdr:colOff>647700</xdr:colOff>
      <xdr:row>155</xdr:row>
      <xdr:rowOff>83820</xdr:rowOff>
    </xdr:to>
    <xdr:grpSp>
      <xdr:nvGrpSpPr>
        <xdr:cNvPr id="4748" name="Group 9610"/>
        <xdr:cNvGrpSpPr>
          <a:grpSpLocks/>
        </xdr:cNvGrpSpPr>
      </xdr:nvGrpSpPr>
      <xdr:grpSpPr bwMode="auto">
        <a:xfrm>
          <a:off x="5319849" y="25679400"/>
          <a:ext cx="106680" cy="355963"/>
          <a:chOff x="3771" y="1155"/>
          <a:chExt cx="4759" cy="14934"/>
        </a:xfrm>
      </xdr:grpSpPr>
      <xdr:sp macro="" textlink="">
        <xdr:nvSpPr>
          <xdr:cNvPr id="4749" name="Oval 961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4750" name="Arc 961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751" name="Arc 961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752" name="Line 961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4753" name="Line 961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4754" name="Line 961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4755" name="Line 961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4756" name="Line 961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4757" name="Line 961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4758" name="Line 962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4759" name="Line 962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4760" name="Line 962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4761" name="Line 962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4762" name="Line 962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4763" name="Line 962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4764" name="Line 962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4765" name="Line 962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4766" name="Line 962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4767" name="Line 962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153</xdr:row>
      <xdr:rowOff>60960</xdr:rowOff>
    </xdr:from>
    <xdr:to>
      <xdr:col>4</xdr:col>
      <xdr:colOff>975360</xdr:colOff>
      <xdr:row>155</xdr:row>
      <xdr:rowOff>83820</xdr:rowOff>
    </xdr:to>
    <xdr:grpSp>
      <xdr:nvGrpSpPr>
        <xdr:cNvPr id="4768" name="Group 9630"/>
        <xdr:cNvGrpSpPr>
          <a:grpSpLocks/>
        </xdr:cNvGrpSpPr>
      </xdr:nvGrpSpPr>
      <xdr:grpSpPr bwMode="auto">
        <a:xfrm>
          <a:off x="5617029" y="25664160"/>
          <a:ext cx="137160" cy="371203"/>
          <a:chOff x="1857" y="2993"/>
          <a:chExt cx="4178" cy="10157"/>
        </a:xfrm>
      </xdr:grpSpPr>
      <xdr:grpSp>
        <xdr:nvGrpSpPr>
          <xdr:cNvPr id="4769" name="Group 9631"/>
          <xdr:cNvGrpSpPr>
            <a:grpSpLocks/>
          </xdr:cNvGrpSpPr>
        </xdr:nvGrpSpPr>
        <xdr:grpSpPr bwMode="auto">
          <a:xfrm rot="1441604">
            <a:off x="4764" y="2993"/>
            <a:ext cx="570" cy="2736"/>
            <a:chOff x="4251" y="2947"/>
            <a:chExt cx="570" cy="2736"/>
          </a:xfrm>
        </xdr:grpSpPr>
        <xdr:sp macro="" textlink="">
          <xdr:nvSpPr>
            <xdr:cNvPr id="4781" name="Line 9632"/>
            <xdr:cNvSpPr>
              <a:spLocks noChangeShapeType="1"/>
            </xdr:cNvSpPr>
          </xdr:nvSpPr>
          <xdr:spPr bwMode="auto">
            <a:xfrm flipV="1">
              <a:off x="4251" y="2947"/>
              <a:ext cx="400" cy="1938"/>
            </a:xfrm>
            <a:prstGeom prst="line">
              <a:avLst/>
            </a:prstGeom>
            <a:noFill/>
            <a:ln w="9525">
              <a:solidFill>
                <a:srgbClr val="FF0000"/>
              </a:solidFill>
              <a:round/>
              <a:headEnd/>
              <a:tailEnd/>
            </a:ln>
          </xdr:spPr>
        </xdr:sp>
        <xdr:sp macro="" textlink="">
          <xdr:nvSpPr>
            <xdr:cNvPr id="4782" name="Line 9633"/>
            <xdr:cNvSpPr>
              <a:spLocks noChangeShapeType="1"/>
            </xdr:cNvSpPr>
          </xdr:nvSpPr>
          <xdr:spPr bwMode="auto">
            <a:xfrm>
              <a:off x="4651" y="2947"/>
              <a:ext cx="170" cy="0"/>
            </a:xfrm>
            <a:prstGeom prst="line">
              <a:avLst/>
            </a:prstGeom>
            <a:noFill/>
            <a:ln w="9525">
              <a:solidFill>
                <a:srgbClr val="FF0000"/>
              </a:solidFill>
              <a:round/>
              <a:headEnd/>
              <a:tailEnd/>
            </a:ln>
          </xdr:spPr>
        </xdr:sp>
        <xdr:sp macro="" textlink="">
          <xdr:nvSpPr>
            <xdr:cNvPr id="4783" name="Line 9634"/>
            <xdr:cNvSpPr>
              <a:spLocks noChangeShapeType="1"/>
            </xdr:cNvSpPr>
          </xdr:nvSpPr>
          <xdr:spPr bwMode="auto">
            <a:xfrm>
              <a:off x="4821" y="2947"/>
              <a:ext cx="0" cy="2678"/>
            </a:xfrm>
            <a:prstGeom prst="line">
              <a:avLst/>
            </a:prstGeom>
            <a:noFill/>
            <a:ln w="9525">
              <a:solidFill>
                <a:srgbClr val="FF0000"/>
              </a:solidFill>
              <a:round/>
              <a:headEnd/>
              <a:tailEnd/>
            </a:ln>
          </xdr:spPr>
        </xdr:sp>
        <xdr:sp macro="" textlink="">
          <xdr:nvSpPr>
            <xdr:cNvPr id="4784" name="Line 9635"/>
            <xdr:cNvSpPr>
              <a:spLocks noChangeShapeType="1"/>
            </xdr:cNvSpPr>
          </xdr:nvSpPr>
          <xdr:spPr bwMode="auto">
            <a:xfrm>
              <a:off x="4251" y="4885"/>
              <a:ext cx="400" cy="798"/>
            </a:xfrm>
            <a:prstGeom prst="line">
              <a:avLst/>
            </a:prstGeom>
            <a:noFill/>
            <a:ln w="9525">
              <a:solidFill>
                <a:srgbClr val="FF0000"/>
              </a:solidFill>
              <a:round/>
              <a:headEnd/>
              <a:tailEnd/>
            </a:ln>
          </xdr:spPr>
        </xdr:sp>
      </xdr:grpSp>
      <xdr:grpSp>
        <xdr:nvGrpSpPr>
          <xdr:cNvPr id="4770" name="Group 9636"/>
          <xdr:cNvGrpSpPr>
            <a:grpSpLocks/>
          </xdr:cNvGrpSpPr>
        </xdr:nvGrpSpPr>
        <xdr:grpSpPr bwMode="auto">
          <a:xfrm rot="8464448">
            <a:off x="5468" y="5524"/>
            <a:ext cx="569" cy="2733"/>
            <a:chOff x="4677" y="4047"/>
            <a:chExt cx="495" cy="2386"/>
          </a:xfrm>
        </xdr:grpSpPr>
        <xdr:sp macro="" textlink="">
          <xdr:nvSpPr>
            <xdr:cNvPr id="4777" name="Line 9637"/>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4778" name="Line 9638"/>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4779" name="Line 9639"/>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4780" name="Line 9640"/>
            <xdr:cNvSpPr>
              <a:spLocks noChangeShapeType="1"/>
            </xdr:cNvSpPr>
          </xdr:nvSpPr>
          <xdr:spPr bwMode="auto">
            <a:xfrm>
              <a:off x="4677" y="5737"/>
              <a:ext cx="347" cy="696"/>
            </a:xfrm>
            <a:prstGeom prst="line">
              <a:avLst/>
            </a:prstGeom>
            <a:noFill/>
            <a:ln w="9525">
              <a:solidFill>
                <a:srgbClr val="FF0000"/>
              </a:solidFill>
              <a:round/>
              <a:headEnd/>
              <a:tailEnd/>
            </a:ln>
          </xdr:spPr>
        </xdr:sp>
      </xdr:grpSp>
      <xdr:grpSp>
        <xdr:nvGrpSpPr>
          <xdr:cNvPr id="4771" name="Group 9641"/>
          <xdr:cNvGrpSpPr>
            <a:grpSpLocks/>
          </xdr:cNvGrpSpPr>
        </xdr:nvGrpSpPr>
        <xdr:grpSpPr bwMode="auto">
          <a:xfrm rot="-5905833">
            <a:off x="2936" y="4830"/>
            <a:ext cx="571" cy="2733"/>
            <a:chOff x="4677" y="4047"/>
            <a:chExt cx="495" cy="2386"/>
          </a:xfrm>
        </xdr:grpSpPr>
        <xdr:sp macro="" textlink="">
          <xdr:nvSpPr>
            <xdr:cNvPr id="4773" name="Line 9642"/>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4774" name="Line 9643"/>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4775" name="Line 9644"/>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4776" name="Line 9645"/>
            <xdr:cNvSpPr>
              <a:spLocks noChangeShapeType="1"/>
            </xdr:cNvSpPr>
          </xdr:nvSpPr>
          <xdr:spPr bwMode="auto">
            <a:xfrm>
              <a:off x="4677" y="5737"/>
              <a:ext cx="347" cy="696"/>
            </a:xfrm>
            <a:prstGeom prst="line">
              <a:avLst/>
            </a:prstGeom>
            <a:noFill/>
            <a:ln w="9525">
              <a:solidFill>
                <a:srgbClr val="FF0000"/>
              </a:solidFill>
              <a:round/>
              <a:headEnd/>
              <a:tailEnd/>
            </a:ln>
          </xdr:spPr>
        </xdr:sp>
      </xdr:grpSp>
      <xdr:sp macro="" textlink="">
        <xdr:nvSpPr>
          <xdr:cNvPr id="4772" name="AutoShape 964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FF0000"/>
            </a:solidFill>
            <a:miter lim="800000"/>
            <a:headEnd/>
            <a:tailEnd/>
          </a:ln>
        </xdr:spPr>
      </xdr:sp>
    </xdr:grpSp>
    <xdr:clientData/>
  </xdr:twoCellAnchor>
  <xdr:twoCellAnchor>
    <xdr:from>
      <xdr:col>4</xdr:col>
      <xdr:colOff>106680</xdr:colOff>
      <xdr:row>153</xdr:row>
      <xdr:rowOff>76200</xdr:rowOff>
    </xdr:from>
    <xdr:to>
      <xdr:col>4</xdr:col>
      <xdr:colOff>342900</xdr:colOff>
      <xdr:row>155</xdr:row>
      <xdr:rowOff>83820</xdr:rowOff>
    </xdr:to>
    <xdr:grpSp>
      <xdr:nvGrpSpPr>
        <xdr:cNvPr id="4785" name="Group 9647"/>
        <xdr:cNvGrpSpPr>
          <a:grpSpLocks/>
        </xdr:cNvGrpSpPr>
      </xdr:nvGrpSpPr>
      <xdr:grpSpPr bwMode="auto">
        <a:xfrm>
          <a:off x="4885509" y="25679400"/>
          <a:ext cx="236220" cy="355963"/>
          <a:chOff x="5163" y="2548"/>
          <a:chExt cx="2109" cy="2909"/>
        </a:xfrm>
      </xdr:grpSpPr>
      <xdr:sp macro="" textlink="">
        <xdr:nvSpPr>
          <xdr:cNvPr id="4786" name="Rectangle 9648"/>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4787" name="Line 9649"/>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4788" name="Line 9650"/>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4789" name="Line 9651"/>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4790" name="Line 9652"/>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4791" name="Line 9653"/>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4792" name="Line 9654"/>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4793" name="Line 9655"/>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4794" name="Line 9656"/>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4795" name="Line 9657"/>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4796" name="Line 9658"/>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4797" name="Line 9659"/>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4798" name="Line 9660"/>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4799" name="Line 9661"/>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153</xdr:row>
      <xdr:rowOff>114300</xdr:rowOff>
    </xdr:from>
    <xdr:to>
      <xdr:col>4</xdr:col>
      <xdr:colOff>1478280</xdr:colOff>
      <xdr:row>155</xdr:row>
      <xdr:rowOff>121920</xdr:rowOff>
    </xdr:to>
    <xdr:grpSp>
      <xdr:nvGrpSpPr>
        <xdr:cNvPr id="4800" name="Group 9662"/>
        <xdr:cNvGrpSpPr>
          <a:grpSpLocks/>
        </xdr:cNvGrpSpPr>
      </xdr:nvGrpSpPr>
      <xdr:grpSpPr bwMode="auto">
        <a:xfrm>
          <a:off x="5952309" y="25717500"/>
          <a:ext cx="304800" cy="355963"/>
          <a:chOff x="5238" y="4632"/>
          <a:chExt cx="1597" cy="1311"/>
        </a:xfrm>
      </xdr:grpSpPr>
      <xdr:sp macro="" textlink="">
        <xdr:nvSpPr>
          <xdr:cNvPr id="4801" name="Line 966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4802" name="Line 966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4803" name="Line 966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4804" name="Line 966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4805" name="Line 966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4806" name="Line 966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4807" name="Line 966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159</xdr:row>
      <xdr:rowOff>76200</xdr:rowOff>
    </xdr:from>
    <xdr:to>
      <xdr:col>4</xdr:col>
      <xdr:colOff>647700</xdr:colOff>
      <xdr:row>161</xdr:row>
      <xdr:rowOff>83820</xdr:rowOff>
    </xdr:to>
    <xdr:grpSp>
      <xdr:nvGrpSpPr>
        <xdr:cNvPr id="4868" name="Group 9730"/>
        <xdr:cNvGrpSpPr>
          <a:grpSpLocks/>
        </xdr:cNvGrpSpPr>
      </xdr:nvGrpSpPr>
      <xdr:grpSpPr bwMode="auto">
        <a:xfrm>
          <a:off x="5319849" y="26746200"/>
          <a:ext cx="106680" cy="355963"/>
          <a:chOff x="3771" y="1155"/>
          <a:chExt cx="4759" cy="14934"/>
        </a:xfrm>
      </xdr:grpSpPr>
      <xdr:sp macro="" textlink="">
        <xdr:nvSpPr>
          <xdr:cNvPr id="4869" name="Oval 973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4870" name="Arc 973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871" name="Arc 973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872" name="Line 973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4873" name="Line 973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4874" name="Line 973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4875" name="Line 973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4876" name="Line 973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4877" name="Line 973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4878" name="Line 974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4879" name="Line 974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4880" name="Line 974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4881" name="Line 974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4882" name="Line 974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4883" name="Line 974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4884" name="Line 974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4885" name="Line 974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4886" name="Line 974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4887" name="Line 974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159</xdr:row>
      <xdr:rowOff>60960</xdr:rowOff>
    </xdr:from>
    <xdr:to>
      <xdr:col>4</xdr:col>
      <xdr:colOff>975360</xdr:colOff>
      <xdr:row>161</xdr:row>
      <xdr:rowOff>83820</xdr:rowOff>
    </xdr:to>
    <xdr:grpSp>
      <xdr:nvGrpSpPr>
        <xdr:cNvPr id="4888" name="Group 9750"/>
        <xdr:cNvGrpSpPr>
          <a:grpSpLocks/>
        </xdr:cNvGrpSpPr>
      </xdr:nvGrpSpPr>
      <xdr:grpSpPr bwMode="auto">
        <a:xfrm>
          <a:off x="5617029" y="26730960"/>
          <a:ext cx="137160" cy="371203"/>
          <a:chOff x="1857" y="2993"/>
          <a:chExt cx="4178" cy="10157"/>
        </a:xfrm>
      </xdr:grpSpPr>
      <xdr:grpSp>
        <xdr:nvGrpSpPr>
          <xdr:cNvPr id="4889" name="Group 9751"/>
          <xdr:cNvGrpSpPr>
            <a:grpSpLocks/>
          </xdr:cNvGrpSpPr>
        </xdr:nvGrpSpPr>
        <xdr:grpSpPr bwMode="auto">
          <a:xfrm rot="1441604">
            <a:off x="4764" y="2993"/>
            <a:ext cx="570" cy="2736"/>
            <a:chOff x="4251" y="2947"/>
            <a:chExt cx="570" cy="2736"/>
          </a:xfrm>
        </xdr:grpSpPr>
        <xdr:sp macro="" textlink="">
          <xdr:nvSpPr>
            <xdr:cNvPr id="4901" name="Line 9752"/>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4902" name="Line 9753"/>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4903" name="Line 9754"/>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4904" name="Line 9755"/>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4890" name="Group 9756"/>
          <xdr:cNvGrpSpPr>
            <a:grpSpLocks/>
          </xdr:cNvGrpSpPr>
        </xdr:nvGrpSpPr>
        <xdr:grpSpPr bwMode="auto">
          <a:xfrm rot="8464448">
            <a:off x="5468" y="5524"/>
            <a:ext cx="569" cy="2733"/>
            <a:chOff x="4677" y="4047"/>
            <a:chExt cx="495" cy="2386"/>
          </a:xfrm>
        </xdr:grpSpPr>
        <xdr:sp macro="" textlink="">
          <xdr:nvSpPr>
            <xdr:cNvPr id="4897" name="Line 9757"/>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4898" name="Line 9758"/>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4899" name="Line 9759"/>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4900" name="Line 9760"/>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4891" name="Group 9761"/>
          <xdr:cNvGrpSpPr>
            <a:grpSpLocks/>
          </xdr:cNvGrpSpPr>
        </xdr:nvGrpSpPr>
        <xdr:grpSpPr bwMode="auto">
          <a:xfrm rot="-5905833">
            <a:off x="2936" y="4830"/>
            <a:ext cx="571" cy="2733"/>
            <a:chOff x="4677" y="4047"/>
            <a:chExt cx="495" cy="2386"/>
          </a:xfrm>
        </xdr:grpSpPr>
        <xdr:sp macro="" textlink="">
          <xdr:nvSpPr>
            <xdr:cNvPr id="4893" name="Line 9762"/>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4894" name="Line 9763"/>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4895" name="Line 9764"/>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4896" name="Line 9765"/>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4892" name="AutoShape 976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159</xdr:row>
      <xdr:rowOff>76200</xdr:rowOff>
    </xdr:from>
    <xdr:to>
      <xdr:col>4</xdr:col>
      <xdr:colOff>342900</xdr:colOff>
      <xdr:row>161</xdr:row>
      <xdr:rowOff>83820</xdr:rowOff>
    </xdr:to>
    <xdr:grpSp>
      <xdr:nvGrpSpPr>
        <xdr:cNvPr id="4905" name="Group 9767"/>
        <xdr:cNvGrpSpPr>
          <a:grpSpLocks/>
        </xdr:cNvGrpSpPr>
      </xdr:nvGrpSpPr>
      <xdr:grpSpPr bwMode="auto">
        <a:xfrm>
          <a:off x="4885509" y="26746200"/>
          <a:ext cx="236220" cy="355963"/>
          <a:chOff x="5163" y="2548"/>
          <a:chExt cx="2109" cy="2909"/>
        </a:xfrm>
      </xdr:grpSpPr>
      <xdr:sp macro="" textlink="">
        <xdr:nvSpPr>
          <xdr:cNvPr id="4906" name="Rectangle 9768"/>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4907" name="Line 9769"/>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4908" name="Line 9770"/>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4909" name="Line 9771"/>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4910" name="Line 9772"/>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4911" name="Line 9773"/>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4912" name="Line 9774"/>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4913" name="Line 9775"/>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4914" name="Line 9776"/>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4915" name="Line 9777"/>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4916" name="Line 9778"/>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4917" name="Line 9779"/>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4918" name="Line 9780"/>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4919" name="Line 9781"/>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159</xdr:row>
      <xdr:rowOff>114300</xdr:rowOff>
    </xdr:from>
    <xdr:to>
      <xdr:col>4</xdr:col>
      <xdr:colOff>1478280</xdr:colOff>
      <xdr:row>161</xdr:row>
      <xdr:rowOff>121920</xdr:rowOff>
    </xdr:to>
    <xdr:grpSp>
      <xdr:nvGrpSpPr>
        <xdr:cNvPr id="4920" name="Group 9782"/>
        <xdr:cNvGrpSpPr>
          <a:grpSpLocks/>
        </xdr:cNvGrpSpPr>
      </xdr:nvGrpSpPr>
      <xdr:grpSpPr bwMode="auto">
        <a:xfrm>
          <a:off x="5952309" y="26784300"/>
          <a:ext cx="304800" cy="355963"/>
          <a:chOff x="5238" y="4632"/>
          <a:chExt cx="1597" cy="1311"/>
        </a:xfrm>
      </xdr:grpSpPr>
      <xdr:sp macro="" textlink="">
        <xdr:nvSpPr>
          <xdr:cNvPr id="4921" name="Line 978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4922" name="Line 978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4923" name="Line 978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4924" name="Line 978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4925" name="Line 978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4926" name="Line 978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4927" name="Line 978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141</xdr:row>
      <xdr:rowOff>76200</xdr:rowOff>
    </xdr:from>
    <xdr:to>
      <xdr:col>4</xdr:col>
      <xdr:colOff>647700</xdr:colOff>
      <xdr:row>143</xdr:row>
      <xdr:rowOff>83820</xdr:rowOff>
    </xdr:to>
    <xdr:grpSp>
      <xdr:nvGrpSpPr>
        <xdr:cNvPr id="4928" name="Group 9790"/>
        <xdr:cNvGrpSpPr>
          <a:grpSpLocks/>
        </xdr:cNvGrpSpPr>
      </xdr:nvGrpSpPr>
      <xdr:grpSpPr bwMode="auto">
        <a:xfrm>
          <a:off x="5319849" y="23545800"/>
          <a:ext cx="106680" cy="355963"/>
          <a:chOff x="3771" y="1155"/>
          <a:chExt cx="4759" cy="14934"/>
        </a:xfrm>
      </xdr:grpSpPr>
      <xdr:sp macro="" textlink="">
        <xdr:nvSpPr>
          <xdr:cNvPr id="4929" name="Oval 979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4930" name="Arc 979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931" name="Arc 979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932" name="Line 979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4933" name="Line 979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4934" name="Line 979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4935" name="Line 979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4936" name="Line 979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4937" name="Line 979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4938" name="Line 980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4939" name="Line 980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4940" name="Line 980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4941" name="Line 980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4942" name="Line 980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4943" name="Line 980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4944" name="Line 980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4945" name="Line 980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4946" name="Line 980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4947" name="Line 980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141</xdr:row>
      <xdr:rowOff>60960</xdr:rowOff>
    </xdr:from>
    <xdr:to>
      <xdr:col>4</xdr:col>
      <xdr:colOff>975360</xdr:colOff>
      <xdr:row>143</xdr:row>
      <xdr:rowOff>83820</xdr:rowOff>
    </xdr:to>
    <xdr:grpSp>
      <xdr:nvGrpSpPr>
        <xdr:cNvPr id="4948" name="Group 9810"/>
        <xdr:cNvGrpSpPr>
          <a:grpSpLocks/>
        </xdr:cNvGrpSpPr>
      </xdr:nvGrpSpPr>
      <xdr:grpSpPr bwMode="auto">
        <a:xfrm>
          <a:off x="5617029" y="23530560"/>
          <a:ext cx="137160" cy="371203"/>
          <a:chOff x="1857" y="2993"/>
          <a:chExt cx="4178" cy="10157"/>
        </a:xfrm>
      </xdr:grpSpPr>
      <xdr:grpSp>
        <xdr:nvGrpSpPr>
          <xdr:cNvPr id="4949" name="Group 9811"/>
          <xdr:cNvGrpSpPr>
            <a:grpSpLocks/>
          </xdr:cNvGrpSpPr>
        </xdr:nvGrpSpPr>
        <xdr:grpSpPr bwMode="auto">
          <a:xfrm rot="1441604">
            <a:off x="4764" y="2993"/>
            <a:ext cx="570" cy="2736"/>
            <a:chOff x="4251" y="2947"/>
            <a:chExt cx="570" cy="2736"/>
          </a:xfrm>
        </xdr:grpSpPr>
        <xdr:sp macro="" textlink="">
          <xdr:nvSpPr>
            <xdr:cNvPr id="4961" name="Line 9812"/>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4962" name="Line 9813"/>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4963" name="Line 9814"/>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4964" name="Line 9815"/>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4950" name="Group 9816"/>
          <xdr:cNvGrpSpPr>
            <a:grpSpLocks/>
          </xdr:cNvGrpSpPr>
        </xdr:nvGrpSpPr>
        <xdr:grpSpPr bwMode="auto">
          <a:xfrm rot="8464448">
            <a:off x="5468" y="5524"/>
            <a:ext cx="569" cy="2733"/>
            <a:chOff x="4677" y="4047"/>
            <a:chExt cx="495" cy="2386"/>
          </a:xfrm>
        </xdr:grpSpPr>
        <xdr:sp macro="" textlink="">
          <xdr:nvSpPr>
            <xdr:cNvPr id="4957" name="Line 9817"/>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4958" name="Line 9818"/>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4959" name="Line 9819"/>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4960" name="Line 9820"/>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4951" name="Group 9821"/>
          <xdr:cNvGrpSpPr>
            <a:grpSpLocks/>
          </xdr:cNvGrpSpPr>
        </xdr:nvGrpSpPr>
        <xdr:grpSpPr bwMode="auto">
          <a:xfrm rot="-5905833">
            <a:off x="2936" y="4830"/>
            <a:ext cx="571" cy="2733"/>
            <a:chOff x="4677" y="4047"/>
            <a:chExt cx="495" cy="2386"/>
          </a:xfrm>
        </xdr:grpSpPr>
        <xdr:sp macro="" textlink="">
          <xdr:nvSpPr>
            <xdr:cNvPr id="4953" name="Line 9822"/>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4954" name="Line 9823"/>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4955" name="Line 9824"/>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4956" name="Line 9825"/>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4952" name="AutoShape 982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141</xdr:row>
      <xdr:rowOff>76200</xdr:rowOff>
    </xdr:from>
    <xdr:to>
      <xdr:col>4</xdr:col>
      <xdr:colOff>342900</xdr:colOff>
      <xdr:row>143</xdr:row>
      <xdr:rowOff>83820</xdr:rowOff>
    </xdr:to>
    <xdr:grpSp>
      <xdr:nvGrpSpPr>
        <xdr:cNvPr id="4965" name="Group 9827"/>
        <xdr:cNvGrpSpPr>
          <a:grpSpLocks/>
        </xdr:cNvGrpSpPr>
      </xdr:nvGrpSpPr>
      <xdr:grpSpPr bwMode="auto">
        <a:xfrm>
          <a:off x="4885509" y="23545800"/>
          <a:ext cx="236220" cy="355963"/>
          <a:chOff x="5163" y="2548"/>
          <a:chExt cx="2109" cy="2909"/>
        </a:xfrm>
      </xdr:grpSpPr>
      <xdr:sp macro="" textlink="">
        <xdr:nvSpPr>
          <xdr:cNvPr id="4966" name="Rectangle 9828"/>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4967" name="Line 9829"/>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4968" name="Line 9830"/>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4969" name="Line 9831"/>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4970" name="Line 9832"/>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4971" name="Line 9833"/>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4972" name="Line 9834"/>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4973" name="Line 9835"/>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4974" name="Line 9836"/>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4975" name="Line 9837"/>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4976" name="Line 9838"/>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4977" name="Line 9839"/>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4978" name="Line 9840"/>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4979" name="Line 9841"/>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141</xdr:row>
      <xdr:rowOff>114300</xdr:rowOff>
    </xdr:from>
    <xdr:to>
      <xdr:col>4</xdr:col>
      <xdr:colOff>1478280</xdr:colOff>
      <xdr:row>143</xdr:row>
      <xdr:rowOff>121920</xdr:rowOff>
    </xdr:to>
    <xdr:grpSp>
      <xdr:nvGrpSpPr>
        <xdr:cNvPr id="4980" name="Group 9842"/>
        <xdr:cNvGrpSpPr>
          <a:grpSpLocks/>
        </xdr:cNvGrpSpPr>
      </xdr:nvGrpSpPr>
      <xdr:grpSpPr bwMode="auto">
        <a:xfrm>
          <a:off x="5952309" y="23583900"/>
          <a:ext cx="304800" cy="355963"/>
          <a:chOff x="5238" y="4632"/>
          <a:chExt cx="1597" cy="1311"/>
        </a:xfrm>
      </xdr:grpSpPr>
      <xdr:sp macro="" textlink="">
        <xdr:nvSpPr>
          <xdr:cNvPr id="4981" name="Line 984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4982" name="Line 984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4983" name="Line 984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4984" name="Line 984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4985" name="Line 984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4986" name="Line 984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4987" name="Line 984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162</xdr:row>
      <xdr:rowOff>76200</xdr:rowOff>
    </xdr:from>
    <xdr:to>
      <xdr:col>4</xdr:col>
      <xdr:colOff>647700</xdr:colOff>
      <xdr:row>164</xdr:row>
      <xdr:rowOff>83820</xdr:rowOff>
    </xdr:to>
    <xdr:grpSp>
      <xdr:nvGrpSpPr>
        <xdr:cNvPr id="4988" name="Group 9850"/>
        <xdr:cNvGrpSpPr>
          <a:grpSpLocks/>
        </xdr:cNvGrpSpPr>
      </xdr:nvGrpSpPr>
      <xdr:grpSpPr bwMode="auto">
        <a:xfrm>
          <a:off x="5319849" y="27279600"/>
          <a:ext cx="106680" cy="355963"/>
          <a:chOff x="3771" y="1155"/>
          <a:chExt cx="4759" cy="14934"/>
        </a:xfrm>
      </xdr:grpSpPr>
      <xdr:sp macro="" textlink="">
        <xdr:nvSpPr>
          <xdr:cNvPr id="4989" name="Oval 9851"/>
          <xdr:cNvSpPr>
            <a:spLocks noChangeArrowheads="1"/>
          </xdr:cNvSpPr>
        </xdr:nvSpPr>
        <xdr:spPr bwMode="auto">
          <a:xfrm>
            <a:off x="4643" y="1155"/>
            <a:ext cx="2999" cy="3003"/>
          </a:xfrm>
          <a:prstGeom prst="ellipse">
            <a:avLst/>
          </a:prstGeom>
          <a:noFill/>
          <a:ln w="9525" algn="ctr">
            <a:solidFill>
              <a:srgbClr val="C0C0C0"/>
            </a:solidFill>
            <a:round/>
            <a:headEnd/>
            <a:tailEnd/>
          </a:ln>
        </xdr:spPr>
      </xdr:sp>
      <xdr:sp macro="" textlink="">
        <xdr:nvSpPr>
          <xdr:cNvPr id="4990" name="Arc 985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991" name="Arc 985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992" name="Line 985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4993" name="Line 985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4994" name="Line 985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4995" name="Line 985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4996" name="Line 985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4997" name="Line 985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4998" name="Line 986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4999" name="Line 986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5000" name="Line 986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5001" name="Line 986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5002" name="Line 986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5003" name="Line 986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5004" name="Line 986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5005" name="Line 986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5006" name="Line 986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5007" name="Line 986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162</xdr:row>
      <xdr:rowOff>60960</xdr:rowOff>
    </xdr:from>
    <xdr:to>
      <xdr:col>4</xdr:col>
      <xdr:colOff>975360</xdr:colOff>
      <xdr:row>164</xdr:row>
      <xdr:rowOff>83820</xdr:rowOff>
    </xdr:to>
    <xdr:grpSp>
      <xdr:nvGrpSpPr>
        <xdr:cNvPr id="5008" name="Group 9870"/>
        <xdr:cNvGrpSpPr>
          <a:grpSpLocks/>
        </xdr:cNvGrpSpPr>
      </xdr:nvGrpSpPr>
      <xdr:grpSpPr bwMode="auto">
        <a:xfrm>
          <a:off x="5617029" y="27264360"/>
          <a:ext cx="137160" cy="371203"/>
          <a:chOff x="1857" y="2993"/>
          <a:chExt cx="4178" cy="10157"/>
        </a:xfrm>
      </xdr:grpSpPr>
      <xdr:grpSp>
        <xdr:nvGrpSpPr>
          <xdr:cNvPr id="5009" name="Group 9871"/>
          <xdr:cNvGrpSpPr>
            <a:grpSpLocks/>
          </xdr:cNvGrpSpPr>
        </xdr:nvGrpSpPr>
        <xdr:grpSpPr bwMode="auto">
          <a:xfrm rot="1441604">
            <a:off x="4764" y="2993"/>
            <a:ext cx="570" cy="2736"/>
            <a:chOff x="4251" y="2947"/>
            <a:chExt cx="570" cy="2736"/>
          </a:xfrm>
        </xdr:grpSpPr>
        <xdr:sp macro="" textlink="">
          <xdr:nvSpPr>
            <xdr:cNvPr id="5021" name="Line 9872"/>
            <xdr:cNvSpPr>
              <a:spLocks noChangeShapeType="1"/>
            </xdr:cNvSpPr>
          </xdr:nvSpPr>
          <xdr:spPr bwMode="auto">
            <a:xfrm flipV="1">
              <a:off x="4251" y="2947"/>
              <a:ext cx="400" cy="1938"/>
            </a:xfrm>
            <a:prstGeom prst="line">
              <a:avLst/>
            </a:prstGeom>
            <a:noFill/>
            <a:ln w="9525">
              <a:solidFill>
                <a:srgbClr val="FF0000"/>
              </a:solidFill>
              <a:round/>
              <a:headEnd/>
              <a:tailEnd/>
            </a:ln>
          </xdr:spPr>
        </xdr:sp>
        <xdr:sp macro="" textlink="">
          <xdr:nvSpPr>
            <xdr:cNvPr id="5022" name="Line 9873"/>
            <xdr:cNvSpPr>
              <a:spLocks noChangeShapeType="1"/>
            </xdr:cNvSpPr>
          </xdr:nvSpPr>
          <xdr:spPr bwMode="auto">
            <a:xfrm>
              <a:off x="4651" y="2947"/>
              <a:ext cx="170" cy="0"/>
            </a:xfrm>
            <a:prstGeom prst="line">
              <a:avLst/>
            </a:prstGeom>
            <a:noFill/>
            <a:ln w="9525">
              <a:solidFill>
                <a:srgbClr val="FF0000"/>
              </a:solidFill>
              <a:round/>
              <a:headEnd/>
              <a:tailEnd/>
            </a:ln>
          </xdr:spPr>
        </xdr:sp>
        <xdr:sp macro="" textlink="">
          <xdr:nvSpPr>
            <xdr:cNvPr id="5023" name="Line 9874"/>
            <xdr:cNvSpPr>
              <a:spLocks noChangeShapeType="1"/>
            </xdr:cNvSpPr>
          </xdr:nvSpPr>
          <xdr:spPr bwMode="auto">
            <a:xfrm>
              <a:off x="4821" y="2947"/>
              <a:ext cx="0" cy="2678"/>
            </a:xfrm>
            <a:prstGeom prst="line">
              <a:avLst/>
            </a:prstGeom>
            <a:noFill/>
            <a:ln w="9525">
              <a:solidFill>
                <a:srgbClr val="FF0000"/>
              </a:solidFill>
              <a:round/>
              <a:headEnd/>
              <a:tailEnd/>
            </a:ln>
          </xdr:spPr>
        </xdr:sp>
        <xdr:sp macro="" textlink="">
          <xdr:nvSpPr>
            <xdr:cNvPr id="5024" name="Line 9875"/>
            <xdr:cNvSpPr>
              <a:spLocks noChangeShapeType="1"/>
            </xdr:cNvSpPr>
          </xdr:nvSpPr>
          <xdr:spPr bwMode="auto">
            <a:xfrm>
              <a:off x="4251" y="4885"/>
              <a:ext cx="400" cy="798"/>
            </a:xfrm>
            <a:prstGeom prst="line">
              <a:avLst/>
            </a:prstGeom>
            <a:noFill/>
            <a:ln w="9525">
              <a:solidFill>
                <a:srgbClr val="FF0000"/>
              </a:solidFill>
              <a:round/>
              <a:headEnd/>
              <a:tailEnd/>
            </a:ln>
          </xdr:spPr>
        </xdr:sp>
      </xdr:grpSp>
      <xdr:grpSp>
        <xdr:nvGrpSpPr>
          <xdr:cNvPr id="5010" name="Group 9876"/>
          <xdr:cNvGrpSpPr>
            <a:grpSpLocks/>
          </xdr:cNvGrpSpPr>
        </xdr:nvGrpSpPr>
        <xdr:grpSpPr bwMode="auto">
          <a:xfrm rot="8464448">
            <a:off x="5468" y="5524"/>
            <a:ext cx="569" cy="2733"/>
            <a:chOff x="4677" y="4047"/>
            <a:chExt cx="495" cy="2386"/>
          </a:xfrm>
        </xdr:grpSpPr>
        <xdr:sp macro="" textlink="">
          <xdr:nvSpPr>
            <xdr:cNvPr id="5017" name="Line 9877"/>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5018" name="Line 9878"/>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5019" name="Line 9879"/>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5020" name="Line 9880"/>
            <xdr:cNvSpPr>
              <a:spLocks noChangeShapeType="1"/>
            </xdr:cNvSpPr>
          </xdr:nvSpPr>
          <xdr:spPr bwMode="auto">
            <a:xfrm>
              <a:off x="4677" y="5737"/>
              <a:ext cx="347" cy="696"/>
            </a:xfrm>
            <a:prstGeom prst="line">
              <a:avLst/>
            </a:prstGeom>
            <a:noFill/>
            <a:ln w="9525">
              <a:solidFill>
                <a:srgbClr val="FF0000"/>
              </a:solidFill>
              <a:round/>
              <a:headEnd/>
              <a:tailEnd/>
            </a:ln>
          </xdr:spPr>
        </xdr:sp>
      </xdr:grpSp>
      <xdr:grpSp>
        <xdr:nvGrpSpPr>
          <xdr:cNvPr id="5011" name="Group 9881"/>
          <xdr:cNvGrpSpPr>
            <a:grpSpLocks/>
          </xdr:cNvGrpSpPr>
        </xdr:nvGrpSpPr>
        <xdr:grpSpPr bwMode="auto">
          <a:xfrm rot="-5905833">
            <a:off x="2936" y="4830"/>
            <a:ext cx="571" cy="2733"/>
            <a:chOff x="4677" y="4047"/>
            <a:chExt cx="495" cy="2386"/>
          </a:xfrm>
        </xdr:grpSpPr>
        <xdr:sp macro="" textlink="">
          <xdr:nvSpPr>
            <xdr:cNvPr id="5013" name="Line 9882"/>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5014" name="Line 9883"/>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5015" name="Line 9884"/>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5016" name="Line 9885"/>
            <xdr:cNvSpPr>
              <a:spLocks noChangeShapeType="1"/>
            </xdr:cNvSpPr>
          </xdr:nvSpPr>
          <xdr:spPr bwMode="auto">
            <a:xfrm>
              <a:off x="4677" y="5737"/>
              <a:ext cx="347" cy="696"/>
            </a:xfrm>
            <a:prstGeom prst="line">
              <a:avLst/>
            </a:prstGeom>
            <a:noFill/>
            <a:ln w="9525">
              <a:solidFill>
                <a:srgbClr val="FF0000"/>
              </a:solidFill>
              <a:round/>
              <a:headEnd/>
              <a:tailEnd/>
            </a:ln>
          </xdr:spPr>
        </xdr:sp>
      </xdr:grpSp>
      <xdr:sp macro="" textlink="">
        <xdr:nvSpPr>
          <xdr:cNvPr id="5012" name="AutoShape 988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noFill/>
          <a:ln w="9525" algn="ctr">
            <a:solidFill>
              <a:srgbClr val="FF0000"/>
            </a:solidFill>
            <a:miter lim="800000"/>
            <a:headEnd/>
            <a:tailEnd/>
          </a:ln>
        </xdr:spPr>
      </xdr:sp>
    </xdr:grpSp>
    <xdr:clientData/>
  </xdr:twoCellAnchor>
  <xdr:twoCellAnchor>
    <xdr:from>
      <xdr:col>4</xdr:col>
      <xdr:colOff>106680</xdr:colOff>
      <xdr:row>162</xdr:row>
      <xdr:rowOff>76200</xdr:rowOff>
    </xdr:from>
    <xdr:to>
      <xdr:col>4</xdr:col>
      <xdr:colOff>342900</xdr:colOff>
      <xdr:row>164</xdr:row>
      <xdr:rowOff>83820</xdr:rowOff>
    </xdr:to>
    <xdr:grpSp>
      <xdr:nvGrpSpPr>
        <xdr:cNvPr id="5025" name="Group 9887"/>
        <xdr:cNvGrpSpPr>
          <a:grpSpLocks/>
        </xdr:cNvGrpSpPr>
      </xdr:nvGrpSpPr>
      <xdr:grpSpPr bwMode="auto">
        <a:xfrm>
          <a:off x="4885509" y="27279600"/>
          <a:ext cx="236220" cy="355963"/>
          <a:chOff x="5163" y="2548"/>
          <a:chExt cx="2109" cy="2909"/>
        </a:xfrm>
      </xdr:grpSpPr>
      <xdr:sp macro="" textlink="">
        <xdr:nvSpPr>
          <xdr:cNvPr id="5026" name="Rectangle 9888"/>
          <xdr:cNvSpPr>
            <a:spLocks noChangeArrowheads="1"/>
          </xdr:cNvSpPr>
        </xdr:nvSpPr>
        <xdr:spPr bwMode="auto">
          <a:xfrm>
            <a:off x="5163" y="2548"/>
            <a:ext cx="1938" cy="2736"/>
          </a:xfrm>
          <a:prstGeom prst="rect">
            <a:avLst/>
          </a:prstGeom>
          <a:noFill/>
          <a:ln w="9525" algn="ctr">
            <a:solidFill>
              <a:srgbClr val="C0C0C0"/>
            </a:solidFill>
            <a:miter lim="800000"/>
            <a:headEnd/>
            <a:tailEnd/>
          </a:ln>
        </xdr:spPr>
      </xdr:sp>
      <xdr:sp macro="" textlink="">
        <xdr:nvSpPr>
          <xdr:cNvPr id="5027" name="Line 9889"/>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5028" name="Line 9890"/>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5029" name="Line 9891"/>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5030" name="Line 9892"/>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5031" name="Line 9893"/>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5032" name="Line 9894"/>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5033" name="Line 9895"/>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5034" name="Line 9896"/>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5035" name="Line 9897"/>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5036" name="Line 9898"/>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5037" name="Line 9899"/>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5038" name="Line 9900"/>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5039" name="Line 9901"/>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162</xdr:row>
      <xdr:rowOff>114300</xdr:rowOff>
    </xdr:from>
    <xdr:to>
      <xdr:col>4</xdr:col>
      <xdr:colOff>1478280</xdr:colOff>
      <xdr:row>164</xdr:row>
      <xdr:rowOff>121920</xdr:rowOff>
    </xdr:to>
    <xdr:grpSp>
      <xdr:nvGrpSpPr>
        <xdr:cNvPr id="5040" name="Group 9902"/>
        <xdr:cNvGrpSpPr>
          <a:grpSpLocks/>
        </xdr:cNvGrpSpPr>
      </xdr:nvGrpSpPr>
      <xdr:grpSpPr bwMode="auto">
        <a:xfrm>
          <a:off x="5952309" y="27317700"/>
          <a:ext cx="304800" cy="355963"/>
          <a:chOff x="5238" y="4632"/>
          <a:chExt cx="1597" cy="1311"/>
        </a:xfrm>
      </xdr:grpSpPr>
      <xdr:sp macro="" textlink="">
        <xdr:nvSpPr>
          <xdr:cNvPr id="5041" name="Line 990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5042" name="Line 990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5043" name="Line 990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5044" name="Line 990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5045" name="Line 990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5046" name="Line 990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5047" name="Line 990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216</xdr:row>
      <xdr:rowOff>76200</xdr:rowOff>
    </xdr:from>
    <xdr:to>
      <xdr:col>4</xdr:col>
      <xdr:colOff>647700</xdr:colOff>
      <xdr:row>218</xdr:row>
      <xdr:rowOff>83820</xdr:rowOff>
    </xdr:to>
    <xdr:grpSp>
      <xdr:nvGrpSpPr>
        <xdr:cNvPr id="5228" name="Group 10090"/>
        <xdr:cNvGrpSpPr>
          <a:grpSpLocks/>
        </xdr:cNvGrpSpPr>
      </xdr:nvGrpSpPr>
      <xdr:grpSpPr bwMode="auto">
        <a:xfrm>
          <a:off x="5319849" y="36880800"/>
          <a:ext cx="106680" cy="355963"/>
          <a:chOff x="3771" y="1155"/>
          <a:chExt cx="4759" cy="14934"/>
        </a:xfrm>
      </xdr:grpSpPr>
      <xdr:sp macro="" textlink="">
        <xdr:nvSpPr>
          <xdr:cNvPr id="5229" name="Oval 1009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5230" name="Arc 1009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5231" name="Arc 1009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5232" name="Line 1009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5233" name="Line 1009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5234" name="Line 1009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5235" name="Line 1009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5236" name="Line 1009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5237" name="Line 1009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5238" name="Line 1010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5239" name="Line 1010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5240" name="Line 1010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5241" name="Line 1010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5242" name="Line 1010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5243" name="Line 1010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5244" name="Line 1010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5245" name="Line 1010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5246" name="Line 1010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5247" name="Line 1010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216</xdr:row>
      <xdr:rowOff>60960</xdr:rowOff>
    </xdr:from>
    <xdr:to>
      <xdr:col>4</xdr:col>
      <xdr:colOff>975360</xdr:colOff>
      <xdr:row>218</xdr:row>
      <xdr:rowOff>83820</xdr:rowOff>
    </xdr:to>
    <xdr:grpSp>
      <xdr:nvGrpSpPr>
        <xdr:cNvPr id="5248" name="Group 10110"/>
        <xdr:cNvGrpSpPr>
          <a:grpSpLocks/>
        </xdr:cNvGrpSpPr>
      </xdr:nvGrpSpPr>
      <xdr:grpSpPr bwMode="auto">
        <a:xfrm>
          <a:off x="5617029" y="36865560"/>
          <a:ext cx="137160" cy="371203"/>
          <a:chOff x="1857" y="2993"/>
          <a:chExt cx="4178" cy="10157"/>
        </a:xfrm>
      </xdr:grpSpPr>
      <xdr:grpSp>
        <xdr:nvGrpSpPr>
          <xdr:cNvPr id="5249" name="Group 10111"/>
          <xdr:cNvGrpSpPr>
            <a:grpSpLocks/>
          </xdr:cNvGrpSpPr>
        </xdr:nvGrpSpPr>
        <xdr:grpSpPr bwMode="auto">
          <a:xfrm rot="1441604">
            <a:off x="4764" y="2993"/>
            <a:ext cx="570" cy="2736"/>
            <a:chOff x="4251" y="2947"/>
            <a:chExt cx="570" cy="2736"/>
          </a:xfrm>
        </xdr:grpSpPr>
        <xdr:sp macro="" textlink="">
          <xdr:nvSpPr>
            <xdr:cNvPr id="5261" name="Line 10112"/>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5262" name="Line 10113"/>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5263" name="Line 10114"/>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5264" name="Line 10115"/>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5250" name="Group 10116"/>
          <xdr:cNvGrpSpPr>
            <a:grpSpLocks/>
          </xdr:cNvGrpSpPr>
        </xdr:nvGrpSpPr>
        <xdr:grpSpPr bwMode="auto">
          <a:xfrm rot="8464448">
            <a:off x="5468" y="5524"/>
            <a:ext cx="569" cy="2733"/>
            <a:chOff x="4677" y="4047"/>
            <a:chExt cx="495" cy="2386"/>
          </a:xfrm>
        </xdr:grpSpPr>
        <xdr:sp macro="" textlink="">
          <xdr:nvSpPr>
            <xdr:cNvPr id="5257" name="Line 10117"/>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258" name="Line 10118"/>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259" name="Line 10119"/>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260" name="Line 10120"/>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5251" name="Group 10121"/>
          <xdr:cNvGrpSpPr>
            <a:grpSpLocks/>
          </xdr:cNvGrpSpPr>
        </xdr:nvGrpSpPr>
        <xdr:grpSpPr bwMode="auto">
          <a:xfrm rot="-5905833">
            <a:off x="2936" y="4830"/>
            <a:ext cx="571" cy="2733"/>
            <a:chOff x="4677" y="4047"/>
            <a:chExt cx="495" cy="2386"/>
          </a:xfrm>
        </xdr:grpSpPr>
        <xdr:sp macro="" textlink="">
          <xdr:nvSpPr>
            <xdr:cNvPr id="5253" name="Line 10122"/>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254" name="Line 10123"/>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255" name="Line 10124"/>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256" name="Line 10125"/>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5252" name="AutoShape 1012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216</xdr:row>
      <xdr:rowOff>76200</xdr:rowOff>
    </xdr:from>
    <xdr:to>
      <xdr:col>4</xdr:col>
      <xdr:colOff>342900</xdr:colOff>
      <xdr:row>218</xdr:row>
      <xdr:rowOff>83820</xdr:rowOff>
    </xdr:to>
    <xdr:grpSp>
      <xdr:nvGrpSpPr>
        <xdr:cNvPr id="5265" name="Group 10127"/>
        <xdr:cNvGrpSpPr>
          <a:grpSpLocks/>
        </xdr:cNvGrpSpPr>
      </xdr:nvGrpSpPr>
      <xdr:grpSpPr bwMode="auto">
        <a:xfrm>
          <a:off x="4885509" y="36880800"/>
          <a:ext cx="236220" cy="355963"/>
          <a:chOff x="5163" y="2548"/>
          <a:chExt cx="2109" cy="2909"/>
        </a:xfrm>
      </xdr:grpSpPr>
      <xdr:sp macro="" textlink="">
        <xdr:nvSpPr>
          <xdr:cNvPr id="5266" name="Rectangle 10128"/>
          <xdr:cNvSpPr>
            <a:spLocks noChangeArrowheads="1"/>
          </xdr:cNvSpPr>
        </xdr:nvSpPr>
        <xdr:spPr bwMode="auto">
          <a:xfrm>
            <a:off x="5163" y="2548"/>
            <a:ext cx="1938" cy="2736"/>
          </a:xfrm>
          <a:prstGeom prst="rect">
            <a:avLst/>
          </a:prstGeom>
          <a:solidFill>
            <a:srgbClr val="FFFFFF"/>
          </a:solidFill>
          <a:ln w="9525">
            <a:solidFill>
              <a:srgbClr val="FF0000"/>
            </a:solidFill>
            <a:miter lim="800000"/>
            <a:headEnd/>
            <a:tailEnd/>
          </a:ln>
        </xdr:spPr>
      </xdr:sp>
      <xdr:sp macro="" textlink="">
        <xdr:nvSpPr>
          <xdr:cNvPr id="5267" name="Line 10129"/>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5268" name="Line 10130"/>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5269" name="Line 10131"/>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5270" name="Line 10132"/>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5271" name="Line 10133"/>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5272" name="Line 10134"/>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5273" name="Line 10135"/>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5274" name="Line 10136"/>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5275" name="Line 10137"/>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5276" name="Line 10138"/>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5277" name="Line 10139"/>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5278" name="Line 10140"/>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5279" name="Line 10141"/>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216</xdr:row>
      <xdr:rowOff>114300</xdr:rowOff>
    </xdr:from>
    <xdr:to>
      <xdr:col>4</xdr:col>
      <xdr:colOff>1478280</xdr:colOff>
      <xdr:row>218</xdr:row>
      <xdr:rowOff>121920</xdr:rowOff>
    </xdr:to>
    <xdr:grpSp>
      <xdr:nvGrpSpPr>
        <xdr:cNvPr id="5280" name="Group 10142"/>
        <xdr:cNvGrpSpPr>
          <a:grpSpLocks/>
        </xdr:cNvGrpSpPr>
      </xdr:nvGrpSpPr>
      <xdr:grpSpPr bwMode="auto">
        <a:xfrm>
          <a:off x="5952309" y="36918900"/>
          <a:ext cx="304800" cy="355963"/>
          <a:chOff x="5238" y="4632"/>
          <a:chExt cx="1597" cy="1311"/>
        </a:xfrm>
      </xdr:grpSpPr>
      <xdr:sp macro="" textlink="">
        <xdr:nvSpPr>
          <xdr:cNvPr id="5281" name="Line 1014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5282" name="Line 1014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5283" name="Line 1014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5284" name="Line 1014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5285" name="Line 1014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5286" name="Line 1014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5287" name="Line 1014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219</xdr:row>
      <xdr:rowOff>76200</xdr:rowOff>
    </xdr:from>
    <xdr:to>
      <xdr:col>4</xdr:col>
      <xdr:colOff>647700</xdr:colOff>
      <xdr:row>221</xdr:row>
      <xdr:rowOff>83820</xdr:rowOff>
    </xdr:to>
    <xdr:grpSp>
      <xdr:nvGrpSpPr>
        <xdr:cNvPr id="5288" name="Group 10150"/>
        <xdr:cNvGrpSpPr>
          <a:grpSpLocks/>
        </xdr:cNvGrpSpPr>
      </xdr:nvGrpSpPr>
      <xdr:grpSpPr bwMode="auto">
        <a:xfrm>
          <a:off x="5319849" y="37414200"/>
          <a:ext cx="106680" cy="355963"/>
          <a:chOff x="3771" y="1155"/>
          <a:chExt cx="4759" cy="14934"/>
        </a:xfrm>
      </xdr:grpSpPr>
      <xdr:sp macro="" textlink="">
        <xdr:nvSpPr>
          <xdr:cNvPr id="5289" name="Oval 1015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5290" name="Arc 1015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5291" name="Arc 1015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5292" name="Line 1015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5293" name="Line 1015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5294" name="Line 1015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5295" name="Line 1015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5296" name="Line 1015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5297" name="Line 1015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5298" name="Line 1016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5299" name="Line 1016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5300" name="Line 1016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5301" name="Line 1016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5302" name="Line 1016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5303" name="Line 1016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5304" name="Line 1016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5305" name="Line 1016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5306" name="Line 1016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5307" name="Line 1016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219</xdr:row>
      <xdr:rowOff>60960</xdr:rowOff>
    </xdr:from>
    <xdr:to>
      <xdr:col>4</xdr:col>
      <xdr:colOff>975360</xdr:colOff>
      <xdr:row>221</xdr:row>
      <xdr:rowOff>83820</xdr:rowOff>
    </xdr:to>
    <xdr:grpSp>
      <xdr:nvGrpSpPr>
        <xdr:cNvPr id="5308" name="Group 10170"/>
        <xdr:cNvGrpSpPr>
          <a:grpSpLocks/>
        </xdr:cNvGrpSpPr>
      </xdr:nvGrpSpPr>
      <xdr:grpSpPr bwMode="auto">
        <a:xfrm>
          <a:off x="5617029" y="37398960"/>
          <a:ext cx="137160" cy="371203"/>
          <a:chOff x="1857" y="2993"/>
          <a:chExt cx="4178" cy="10157"/>
        </a:xfrm>
      </xdr:grpSpPr>
      <xdr:grpSp>
        <xdr:nvGrpSpPr>
          <xdr:cNvPr id="5309" name="Group 10171"/>
          <xdr:cNvGrpSpPr>
            <a:grpSpLocks/>
          </xdr:cNvGrpSpPr>
        </xdr:nvGrpSpPr>
        <xdr:grpSpPr bwMode="auto">
          <a:xfrm rot="1441604">
            <a:off x="4764" y="2993"/>
            <a:ext cx="570" cy="2736"/>
            <a:chOff x="4251" y="2947"/>
            <a:chExt cx="570" cy="2736"/>
          </a:xfrm>
        </xdr:grpSpPr>
        <xdr:sp macro="" textlink="">
          <xdr:nvSpPr>
            <xdr:cNvPr id="5321" name="Line 10172"/>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5322" name="Line 10173"/>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5323" name="Line 10174"/>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5324" name="Line 10175"/>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5310" name="Group 10176"/>
          <xdr:cNvGrpSpPr>
            <a:grpSpLocks/>
          </xdr:cNvGrpSpPr>
        </xdr:nvGrpSpPr>
        <xdr:grpSpPr bwMode="auto">
          <a:xfrm rot="8464448">
            <a:off x="5468" y="5524"/>
            <a:ext cx="569" cy="2733"/>
            <a:chOff x="4677" y="4047"/>
            <a:chExt cx="495" cy="2386"/>
          </a:xfrm>
        </xdr:grpSpPr>
        <xdr:sp macro="" textlink="">
          <xdr:nvSpPr>
            <xdr:cNvPr id="5317" name="Line 10177"/>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318" name="Line 10178"/>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319" name="Line 10179"/>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320" name="Line 10180"/>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5311" name="Group 10181"/>
          <xdr:cNvGrpSpPr>
            <a:grpSpLocks/>
          </xdr:cNvGrpSpPr>
        </xdr:nvGrpSpPr>
        <xdr:grpSpPr bwMode="auto">
          <a:xfrm rot="-5905833">
            <a:off x="2936" y="4830"/>
            <a:ext cx="571" cy="2733"/>
            <a:chOff x="4677" y="4047"/>
            <a:chExt cx="495" cy="2386"/>
          </a:xfrm>
        </xdr:grpSpPr>
        <xdr:sp macro="" textlink="">
          <xdr:nvSpPr>
            <xdr:cNvPr id="5313" name="Line 10182"/>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314" name="Line 10183"/>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315" name="Line 10184"/>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316" name="Line 10185"/>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5312" name="AutoShape 1018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219</xdr:row>
      <xdr:rowOff>76200</xdr:rowOff>
    </xdr:from>
    <xdr:to>
      <xdr:col>4</xdr:col>
      <xdr:colOff>342900</xdr:colOff>
      <xdr:row>221</xdr:row>
      <xdr:rowOff>83820</xdr:rowOff>
    </xdr:to>
    <xdr:grpSp>
      <xdr:nvGrpSpPr>
        <xdr:cNvPr id="5325" name="Group 10187"/>
        <xdr:cNvGrpSpPr>
          <a:grpSpLocks/>
        </xdr:cNvGrpSpPr>
      </xdr:nvGrpSpPr>
      <xdr:grpSpPr bwMode="auto">
        <a:xfrm>
          <a:off x="4885509" y="37414200"/>
          <a:ext cx="236220" cy="355963"/>
          <a:chOff x="5163" y="2548"/>
          <a:chExt cx="2109" cy="2909"/>
        </a:xfrm>
      </xdr:grpSpPr>
      <xdr:sp macro="" textlink="">
        <xdr:nvSpPr>
          <xdr:cNvPr id="5326" name="Rectangle 10188"/>
          <xdr:cNvSpPr>
            <a:spLocks noChangeArrowheads="1"/>
          </xdr:cNvSpPr>
        </xdr:nvSpPr>
        <xdr:spPr bwMode="auto">
          <a:xfrm>
            <a:off x="5163" y="2548"/>
            <a:ext cx="1938" cy="2736"/>
          </a:xfrm>
          <a:prstGeom prst="rect">
            <a:avLst/>
          </a:prstGeom>
          <a:solidFill>
            <a:srgbClr val="FFFFFF"/>
          </a:solidFill>
          <a:ln w="9525">
            <a:solidFill>
              <a:srgbClr val="FF0000"/>
            </a:solidFill>
            <a:miter lim="800000"/>
            <a:headEnd/>
            <a:tailEnd/>
          </a:ln>
        </xdr:spPr>
      </xdr:sp>
      <xdr:sp macro="" textlink="">
        <xdr:nvSpPr>
          <xdr:cNvPr id="5327" name="Line 10189"/>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5328" name="Line 10190"/>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5329" name="Line 10191"/>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5330" name="Line 10192"/>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5331" name="Line 10193"/>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5332" name="Line 10194"/>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5333" name="Line 10195"/>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5334" name="Line 10196"/>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5335" name="Line 10197"/>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5336" name="Line 10198"/>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5337" name="Line 10199"/>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5338" name="Line 10200"/>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5339" name="Line 10201"/>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219</xdr:row>
      <xdr:rowOff>114300</xdr:rowOff>
    </xdr:from>
    <xdr:to>
      <xdr:col>4</xdr:col>
      <xdr:colOff>1478280</xdr:colOff>
      <xdr:row>221</xdr:row>
      <xdr:rowOff>121920</xdr:rowOff>
    </xdr:to>
    <xdr:grpSp>
      <xdr:nvGrpSpPr>
        <xdr:cNvPr id="5340" name="Group 10202"/>
        <xdr:cNvGrpSpPr>
          <a:grpSpLocks/>
        </xdr:cNvGrpSpPr>
      </xdr:nvGrpSpPr>
      <xdr:grpSpPr bwMode="auto">
        <a:xfrm>
          <a:off x="5952309" y="37452300"/>
          <a:ext cx="304800" cy="355963"/>
          <a:chOff x="5238" y="4632"/>
          <a:chExt cx="1597" cy="1311"/>
        </a:xfrm>
      </xdr:grpSpPr>
      <xdr:sp macro="" textlink="">
        <xdr:nvSpPr>
          <xdr:cNvPr id="5341" name="Line 1020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5342" name="Line 1020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5343" name="Line 1020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5344" name="Line 1020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5345" name="Line 1020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5346" name="Line 1020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5347" name="Line 1020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222</xdr:row>
      <xdr:rowOff>76200</xdr:rowOff>
    </xdr:from>
    <xdr:to>
      <xdr:col>4</xdr:col>
      <xdr:colOff>647700</xdr:colOff>
      <xdr:row>224</xdr:row>
      <xdr:rowOff>83820</xdr:rowOff>
    </xdr:to>
    <xdr:grpSp>
      <xdr:nvGrpSpPr>
        <xdr:cNvPr id="5348" name="Group 10210"/>
        <xdr:cNvGrpSpPr>
          <a:grpSpLocks/>
        </xdr:cNvGrpSpPr>
      </xdr:nvGrpSpPr>
      <xdr:grpSpPr bwMode="auto">
        <a:xfrm>
          <a:off x="5319849" y="37947600"/>
          <a:ext cx="106680" cy="355963"/>
          <a:chOff x="3771" y="1155"/>
          <a:chExt cx="4759" cy="14934"/>
        </a:xfrm>
      </xdr:grpSpPr>
      <xdr:sp macro="" textlink="">
        <xdr:nvSpPr>
          <xdr:cNvPr id="5349" name="Oval 1021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5350" name="Arc 1021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5351" name="Arc 1021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5352" name="Line 1021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5353" name="Line 1021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5354" name="Line 1021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5355" name="Line 1021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5356" name="Line 1021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5357" name="Line 1021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5358" name="Line 1022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5359" name="Line 1022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5360" name="Line 1022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5361" name="Line 1022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5362" name="Line 1022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5363" name="Line 1022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5364" name="Line 1022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5365" name="Line 1022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5366" name="Line 1022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5367" name="Line 1022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222</xdr:row>
      <xdr:rowOff>60960</xdr:rowOff>
    </xdr:from>
    <xdr:to>
      <xdr:col>4</xdr:col>
      <xdr:colOff>975360</xdr:colOff>
      <xdr:row>224</xdr:row>
      <xdr:rowOff>83820</xdr:rowOff>
    </xdr:to>
    <xdr:grpSp>
      <xdr:nvGrpSpPr>
        <xdr:cNvPr id="5368" name="Group 10230"/>
        <xdr:cNvGrpSpPr>
          <a:grpSpLocks/>
        </xdr:cNvGrpSpPr>
      </xdr:nvGrpSpPr>
      <xdr:grpSpPr bwMode="auto">
        <a:xfrm>
          <a:off x="5617029" y="37932360"/>
          <a:ext cx="137160" cy="371203"/>
          <a:chOff x="1857" y="2993"/>
          <a:chExt cx="4178" cy="10157"/>
        </a:xfrm>
      </xdr:grpSpPr>
      <xdr:grpSp>
        <xdr:nvGrpSpPr>
          <xdr:cNvPr id="5369" name="Group 10231"/>
          <xdr:cNvGrpSpPr>
            <a:grpSpLocks/>
          </xdr:cNvGrpSpPr>
        </xdr:nvGrpSpPr>
        <xdr:grpSpPr bwMode="auto">
          <a:xfrm rot="1441604">
            <a:off x="4764" y="2993"/>
            <a:ext cx="570" cy="2736"/>
            <a:chOff x="4251" y="2947"/>
            <a:chExt cx="570" cy="2736"/>
          </a:xfrm>
        </xdr:grpSpPr>
        <xdr:sp macro="" textlink="">
          <xdr:nvSpPr>
            <xdr:cNvPr id="5381" name="Line 10232"/>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5382" name="Line 10233"/>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5383" name="Line 10234"/>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5384" name="Line 10235"/>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5370" name="Group 10236"/>
          <xdr:cNvGrpSpPr>
            <a:grpSpLocks/>
          </xdr:cNvGrpSpPr>
        </xdr:nvGrpSpPr>
        <xdr:grpSpPr bwMode="auto">
          <a:xfrm rot="8464448">
            <a:off x="5468" y="5524"/>
            <a:ext cx="569" cy="2733"/>
            <a:chOff x="4677" y="4047"/>
            <a:chExt cx="495" cy="2386"/>
          </a:xfrm>
        </xdr:grpSpPr>
        <xdr:sp macro="" textlink="">
          <xdr:nvSpPr>
            <xdr:cNvPr id="5377" name="Line 10237"/>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378" name="Line 10238"/>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379" name="Line 10239"/>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380" name="Line 10240"/>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5371" name="Group 10241"/>
          <xdr:cNvGrpSpPr>
            <a:grpSpLocks/>
          </xdr:cNvGrpSpPr>
        </xdr:nvGrpSpPr>
        <xdr:grpSpPr bwMode="auto">
          <a:xfrm rot="-5905833">
            <a:off x="2936" y="4830"/>
            <a:ext cx="571" cy="2733"/>
            <a:chOff x="4677" y="4047"/>
            <a:chExt cx="495" cy="2386"/>
          </a:xfrm>
        </xdr:grpSpPr>
        <xdr:sp macro="" textlink="">
          <xdr:nvSpPr>
            <xdr:cNvPr id="5373" name="Line 10242"/>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374" name="Line 10243"/>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375" name="Line 10244"/>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376" name="Line 10245"/>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5372" name="AutoShape 1024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222</xdr:row>
      <xdr:rowOff>76200</xdr:rowOff>
    </xdr:from>
    <xdr:to>
      <xdr:col>4</xdr:col>
      <xdr:colOff>342900</xdr:colOff>
      <xdr:row>224</xdr:row>
      <xdr:rowOff>83820</xdr:rowOff>
    </xdr:to>
    <xdr:grpSp>
      <xdr:nvGrpSpPr>
        <xdr:cNvPr id="5385" name="Group 10247"/>
        <xdr:cNvGrpSpPr>
          <a:grpSpLocks/>
        </xdr:cNvGrpSpPr>
      </xdr:nvGrpSpPr>
      <xdr:grpSpPr bwMode="auto">
        <a:xfrm>
          <a:off x="4885509" y="37947600"/>
          <a:ext cx="236220" cy="355963"/>
          <a:chOff x="5163" y="2548"/>
          <a:chExt cx="2109" cy="2909"/>
        </a:xfrm>
      </xdr:grpSpPr>
      <xdr:sp macro="" textlink="">
        <xdr:nvSpPr>
          <xdr:cNvPr id="5386" name="Rectangle 10248"/>
          <xdr:cNvSpPr>
            <a:spLocks noChangeArrowheads="1"/>
          </xdr:cNvSpPr>
        </xdr:nvSpPr>
        <xdr:spPr bwMode="auto">
          <a:xfrm>
            <a:off x="5163" y="2548"/>
            <a:ext cx="1938" cy="2736"/>
          </a:xfrm>
          <a:prstGeom prst="rect">
            <a:avLst/>
          </a:prstGeom>
          <a:solidFill>
            <a:srgbClr val="FFFFFF"/>
          </a:solidFill>
          <a:ln w="9525">
            <a:solidFill>
              <a:srgbClr val="FF0000"/>
            </a:solidFill>
            <a:miter lim="800000"/>
            <a:headEnd/>
            <a:tailEnd/>
          </a:ln>
        </xdr:spPr>
      </xdr:sp>
      <xdr:sp macro="" textlink="">
        <xdr:nvSpPr>
          <xdr:cNvPr id="5387" name="Line 10249"/>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5388" name="Line 10250"/>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5389" name="Line 10251"/>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5390" name="Line 10252"/>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5391" name="Line 10253"/>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5392" name="Line 10254"/>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5393" name="Line 10255"/>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5394" name="Line 10256"/>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5395" name="Line 10257"/>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5396" name="Line 10258"/>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5397" name="Line 10259"/>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5398" name="Line 10260"/>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5399" name="Line 10261"/>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222</xdr:row>
      <xdr:rowOff>114300</xdr:rowOff>
    </xdr:from>
    <xdr:to>
      <xdr:col>4</xdr:col>
      <xdr:colOff>1478280</xdr:colOff>
      <xdr:row>224</xdr:row>
      <xdr:rowOff>121920</xdr:rowOff>
    </xdr:to>
    <xdr:grpSp>
      <xdr:nvGrpSpPr>
        <xdr:cNvPr id="5400" name="Group 10262"/>
        <xdr:cNvGrpSpPr>
          <a:grpSpLocks/>
        </xdr:cNvGrpSpPr>
      </xdr:nvGrpSpPr>
      <xdr:grpSpPr bwMode="auto">
        <a:xfrm>
          <a:off x="5952309" y="37985700"/>
          <a:ext cx="304800" cy="355963"/>
          <a:chOff x="5238" y="4632"/>
          <a:chExt cx="1597" cy="1311"/>
        </a:xfrm>
      </xdr:grpSpPr>
      <xdr:sp macro="" textlink="">
        <xdr:nvSpPr>
          <xdr:cNvPr id="5401" name="Line 1026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5402" name="Line 1026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5403" name="Line 1026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5404" name="Line 1026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5405" name="Line 1026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5406" name="Line 1026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5407" name="Line 1026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13</xdr:col>
      <xdr:colOff>114300</xdr:colOff>
      <xdr:row>186</xdr:row>
      <xdr:rowOff>0</xdr:rowOff>
    </xdr:from>
    <xdr:to>
      <xdr:col>13</xdr:col>
      <xdr:colOff>510540</xdr:colOff>
      <xdr:row>186</xdr:row>
      <xdr:rowOff>0</xdr:rowOff>
    </xdr:to>
    <xdr:grpSp>
      <xdr:nvGrpSpPr>
        <xdr:cNvPr id="5408" name="Group 10270"/>
        <xdr:cNvGrpSpPr>
          <a:grpSpLocks/>
        </xdr:cNvGrpSpPr>
      </xdr:nvGrpSpPr>
      <xdr:grpSpPr bwMode="auto">
        <a:xfrm>
          <a:off x="11511643" y="31470600"/>
          <a:ext cx="396240" cy="0"/>
          <a:chOff x="971" y="1233"/>
          <a:chExt cx="41" cy="43"/>
        </a:xfrm>
      </xdr:grpSpPr>
      <xdr:sp macro="" textlink="">
        <xdr:nvSpPr>
          <xdr:cNvPr id="5409" name="Rectangle 10271"/>
          <xdr:cNvSpPr>
            <a:spLocks noChangeArrowheads="1"/>
          </xdr:cNvSpPr>
        </xdr:nvSpPr>
        <xdr:spPr bwMode="auto">
          <a:xfrm>
            <a:off x="10159150474120" y="38290500"/>
            <a:ext cx="41" cy="0"/>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pic>
        <xdr:nvPicPr>
          <xdr:cNvPr id="5410" name="Picture 10272"/>
          <xdr:cNvPicPr>
            <a:picLocks noChangeAspect="1" noChangeArrowheads="1"/>
          </xdr:cNvPicPr>
        </xdr:nvPicPr>
        <xdr:blipFill>
          <a:blip xmlns:r="http://schemas.openxmlformats.org/officeDocument/2006/relationships" r:embed="rId1"/>
          <a:srcRect/>
          <a:stretch>
            <a:fillRect/>
          </a:stretch>
        </xdr:blipFill>
        <xdr:spPr bwMode="auto">
          <a:xfrm>
            <a:off x="978" y="1237"/>
            <a:ext cx="27" cy="37"/>
          </a:xfrm>
          <a:prstGeom prst="rect">
            <a:avLst/>
          </a:prstGeom>
          <a:noFill/>
          <a:ln w="9525">
            <a:noFill/>
            <a:miter lim="800000"/>
            <a:headEnd/>
            <a:tailEnd/>
          </a:ln>
        </xdr:spPr>
      </xdr:pic>
    </xdr:grpSp>
    <xdr:clientData/>
  </xdr:twoCellAnchor>
  <xdr:twoCellAnchor>
    <xdr:from>
      <xdr:col>13</xdr:col>
      <xdr:colOff>114300</xdr:colOff>
      <xdr:row>75</xdr:row>
      <xdr:rowOff>30480</xdr:rowOff>
    </xdr:from>
    <xdr:to>
      <xdr:col>13</xdr:col>
      <xdr:colOff>518160</xdr:colOff>
      <xdr:row>77</xdr:row>
      <xdr:rowOff>137160</xdr:rowOff>
    </xdr:to>
    <xdr:grpSp>
      <xdr:nvGrpSpPr>
        <xdr:cNvPr id="5411" name="Group 10279"/>
        <xdr:cNvGrpSpPr>
          <a:grpSpLocks/>
        </xdr:cNvGrpSpPr>
      </xdr:nvGrpSpPr>
      <xdr:grpSpPr bwMode="auto">
        <a:xfrm>
          <a:off x="11511643" y="11765280"/>
          <a:ext cx="403860" cy="455023"/>
          <a:chOff x="971" y="1233"/>
          <a:chExt cx="41" cy="43"/>
        </a:xfrm>
      </xdr:grpSpPr>
      <xdr:sp macro="" textlink="">
        <xdr:nvSpPr>
          <xdr:cNvPr id="5412" name="Rectangle 10280"/>
          <xdr:cNvSpPr>
            <a:spLocks noChangeArrowheads="1"/>
          </xdr:cNvSpPr>
        </xdr:nvSpPr>
        <xdr:spPr bwMode="auto">
          <a:xfrm>
            <a:off x="971" y="1233"/>
            <a:ext cx="41" cy="43"/>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pic>
        <xdr:nvPicPr>
          <xdr:cNvPr id="5413" name="Picture 10281"/>
          <xdr:cNvPicPr>
            <a:picLocks noChangeAspect="1" noChangeArrowheads="1"/>
          </xdr:cNvPicPr>
        </xdr:nvPicPr>
        <xdr:blipFill>
          <a:blip xmlns:r="http://schemas.openxmlformats.org/officeDocument/2006/relationships" r:embed="rId1" cstate="print"/>
          <a:srcRect/>
          <a:stretch>
            <a:fillRect/>
          </a:stretch>
        </xdr:blipFill>
        <xdr:spPr bwMode="auto">
          <a:xfrm>
            <a:off x="978" y="1237"/>
            <a:ext cx="27" cy="37"/>
          </a:xfrm>
          <a:prstGeom prst="rect">
            <a:avLst/>
          </a:prstGeom>
          <a:noFill/>
          <a:ln w="9525">
            <a:noFill/>
            <a:miter lim="800000"/>
            <a:headEnd/>
            <a:tailEnd/>
          </a:ln>
        </xdr:spPr>
      </xdr:pic>
    </xdr:grpSp>
    <xdr:clientData/>
  </xdr:twoCellAnchor>
  <xdr:twoCellAnchor>
    <xdr:from>
      <xdr:col>13</xdr:col>
      <xdr:colOff>114300</xdr:colOff>
      <xdr:row>81</xdr:row>
      <xdr:rowOff>30480</xdr:rowOff>
    </xdr:from>
    <xdr:to>
      <xdr:col>13</xdr:col>
      <xdr:colOff>518160</xdr:colOff>
      <xdr:row>83</xdr:row>
      <xdr:rowOff>137160</xdr:rowOff>
    </xdr:to>
    <xdr:grpSp>
      <xdr:nvGrpSpPr>
        <xdr:cNvPr id="5414" name="Group 10285"/>
        <xdr:cNvGrpSpPr>
          <a:grpSpLocks/>
        </xdr:cNvGrpSpPr>
      </xdr:nvGrpSpPr>
      <xdr:grpSpPr bwMode="auto">
        <a:xfrm>
          <a:off x="11511643" y="12832080"/>
          <a:ext cx="403860" cy="455023"/>
          <a:chOff x="971" y="1233"/>
          <a:chExt cx="41" cy="43"/>
        </a:xfrm>
      </xdr:grpSpPr>
      <xdr:sp macro="" textlink="">
        <xdr:nvSpPr>
          <xdr:cNvPr id="5415" name="Rectangle 10286"/>
          <xdr:cNvSpPr>
            <a:spLocks noChangeArrowheads="1"/>
          </xdr:cNvSpPr>
        </xdr:nvSpPr>
        <xdr:spPr bwMode="auto">
          <a:xfrm>
            <a:off x="971" y="1233"/>
            <a:ext cx="41" cy="43"/>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pic>
        <xdr:nvPicPr>
          <xdr:cNvPr id="5416" name="Picture 10287"/>
          <xdr:cNvPicPr>
            <a:picLocks noChangeAspect="1" noChangeArrowheads="1"/>
          </xdr:cNvPicPr>
        </xdr:nvPicPr>
        <xdr:blipFill>
          <a:blip xmlns:r="http://schemas.openxmlformats.org/officeDocument/2006/relationships" r:embed="rId1" cstate="print"/>
          <a:srcRect/>
          <a:stretch>
            <a:fillRect/>
          </a:stretch>
        </xdr:blipFill>
        <xdr:spPr bwMode="auto">
          <a:xfrm>
            <a:off x="978" y="1237"/>
            <a:ext cx="27" cy="37"/>
          </a:xfrm>
          <a:prstGeom prst="rect">
            <a:avLst/>
          </a:prstGeom>
          <a:noFill/>
          <a:ln w="9525">
            <a:noFill/>
            <a:miter lim="800000"/>
            <a:headEnd/>
            <a:tailEnd/>
          </a:ln>
        </xdr:spPr>
      </xdr:pic>
    </xdr:grpSp>
    <xdr:clientData/>
  </xdr:twoCellAnchor>
  <xdr:twoCellAnchor>
    <xdr:from>
      <xdr:col>4</xdr:col>
      <xdr:colOff>541020</xdr:colOff>
      <xdr:row>51</xdr:row>
      <xdr:rowOff>76200</xdr:rowOff>
    </xdr:from>
    <xdr:to>
      <xdr:col>4</xdr:col>
      <xdr:colOff>647700</xdr:colOff>
      <xdr:row>53</xdr:row>
      <xdr:rowOff>83820</xdr:rowOff>
    </xdr:to>
    <xdr:grpSp>
      <xdr:nvGrpSpPr>
        <xdr:cNvPr id="5417" name="Group 10288"/>
        <xdr:cNvGrpSpPr>
          <a:grpSpLocks/>
        </xdr:cNvGrpSpPr>
      </xdr:nvGrpSpPr>
      <xdr:grpSpPr bwMode="auto">
        <a:xfrm>
          <a:off x="5319849" y="7696200"/>
          <a:ext cx="106680" cy="355963"/>
          <a:chOff x="3771" y="1155"/>
          <a:chExt cx="4759" cy="14934"/>
        </a:xfrm>
      </xdr:grpSpPr>
      <xdr:sp macro="" textlink="">
        <xdr:nvSpPr>
          <xdr:cNvPr id="5418" name="Oval 10289"/>
          <xdr:cNvSpPr>
            <a:spLocks noChangeArrowheads="1"/>
          </xdr:cNvSpPr>
        </xdr:nvSpPr>
        <xdr:spPr bwMode="auto">
          <a:xfrm>
            <a:off x="4643" y="1155"/>
            <a:ext cx="2999" cy="3003"/>
          </a:xfrm>
          <a:prstGeom prst="ellipse">
            <a:avLst/>
          </a:prstGeom>
          <a:solidFill>
            <a:srgbClr val="FFFFFF"/>
          </a:solidFill>
          <a:ln w="9525" algn="ctr">
            <a:solidFill>
              <a:srgbClr val="FF0000"/>
            </a:solidFill>
            <a:round/>
            <a:headEnd/>
            <a:tailEnd/>
          </a:ln>
        </xdr:spPr>
      </xdr:sp>
      <xdr:sp macro="" textlink="">
        <xdr:nvSpPr>
          <xdr:cNvPr id="5419" name="Arc 10290"/>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5420" name="Arc 10291"/>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5421" name="Line 10292"/>
          <xdr:cNvSpPr>
            <a:spLocks noChangeShapeType="1"/>
          </xdr:cNvSpPr>
        </xdr:nvSpPr>
        <xdr:spPr bwMode="auto">
          <a:xfrm>
            <a:off x="3771" y="6471"/>
            <a:ext cx="0" cy="3793"/>
          </a:xfrm>
          <a:prstGeom prst="line">
            <a:avLst/>
          </a:prstGeom>
          <a:noFill/>
          <a:ln w="9525">
            <a:solidFill>
              <a:srgbClr val="FF0000"/>
            </a:solidFill>
            <a:round/>
            <a:headEnd/>
            <a:tailEnd/>
          </a:ln>
        </xdr:spPr>
      </xdr:sp>
      <xdr:sp macro="" textlink="">
        <xdr:nvSpPr>
          <xdr:cNvPr id="5422" name="Line 10293"/>
          <xdr:cNvSpPr>
            <a:spLocks noChangeShapeType="1"/>
          </xdr:cNvSpPr>
        </xdr:nvSpPr>
        <xdr:spPr bwMode="auto">
          <a:xfrm>
            <a:off x="3771" y="10264"/>
            <a:ext cx="861" cy="4"/>
          </a:xfrm>
          <a:prstGeom prst="line">
            <a:avLst/>
          </a:prstGeom>
          <a:noFill/>
          <a:ln w="9525">
            <a:solidFill>
              <a:srgbClr val="FF0000"/>
            </a:solidFill>
            <a:round/>
            <a:headEnd/>
            <a:tailEnd/>
          </a:ln>
        </xdr:spPr>
      </xdr:sp>
      <xdr:sp macro="" textlink="">
        <xdr:nvSpPr>
          <xdr:cNvPr id="5423" name="Line 10294"/>
          <xdr:cNvSpPr>
            <a:spLocks noChangeShapeType="1"/>
          </xdr:cNvSpPr>
        </xdr:nvSpPr>
        <xdr:spPr bwMode="auto">
          <a:xfrm flipV="1">
            <a:off x="4632" y="6384"/>
            <a:ext cx="4" cy="3880"/>
          </a:xfrm>
          <a:prstGeom prst="line">
            <a:avLst/>
          </a:prstGeom>
          <a:noFill/>
          <a:ln w="9525">
            <a:solidFill>
              <a:srgbClr val="FF0000"/>
            </a:solidFill>
            <a:round/>
            <a:headEnd/>
            <a:tailEnd/>
          </a:ln>
        </xdr:spPr>
      </xdr:sp>
      <xdr:sp macro="" textlink="">
        <xdr:nvSpPr>
          <xdr:cNvPr id="5424" name="Line 10295"/>
          <xdr:cNvSpPr>
            <a:spLocks noChangeShapeType="1"/>
          </xdr:cNvSpPr>
        </xdr:nvSpPr>
        <xdr:spPr bwMode="auto">
          <a:xfrm>
            <a:off x="4636" y="6384"/>
            <a:ext cx="211" cy="0"/>
          </a:xfrm>
          <a:prstGeom prst="line">
            <a:avLst/>
          </a:prstGeom>
          <a:noFill/>
          <a:ln w="9525">
            <a:solidFill>
              <a:srgbClr val="FF0000"/>
            </a:solidFill>
            <a:round/>
            <a:headEnd/>
            <a:tailEnd/>
          </a:ln>
        </xdr:spPr>
      </xdr:sp>
      <xdr:sp macro="" textlink="">
        <xdr:nvSpPr>
          <xdr:cNvPr id="5425" name="Line 10296"/>
          <xdr:cNvSpPr>
            <a:spLocks noChangeShapeType="1"/>
          </xdr:cNvSpPr>
        </xdr:nvSpPr>
        <xdr:spPr bwMode="auto">
          <a:xfrm>
            <a:off x="4847" y="6384"/>
            <a:ext cx="0" cy="9701"/>
          </a:xfrm>
          <a:prstGeom prst="line">
            <a:avLst/>
          </a:prstGeom>
          <a:noFill/>
          <a:ln w="9525">
            <a:solidFill>
              <a:srgbClr val="FF0000"/>
            </a:solidFill>
            <a:round/>
            <a:headEnd/>
            <a:tailEnd/>
          </a:ln>
        </xdr:spPr>
      </xdr:sp>
      <xdr:sp macro="" textlink="">
        <xdr:nvSpPr>
          <xdr:cNvPr id="5426" name="Line 10297"/>
          <xdr:cNvSpPr>
            <a:spLocks noChangeShapeType="1"/>
          </xdr:cNvSpPr>
        </xdr:nvSpPr>
        <xdr:spPr bwMode="auto">
          <a:xfrm>
            <a:off x="4847" y="16085"/>
            <a:ext cx="1077" cy="0"/>
          </a:xfrm>
          <a:prstGeom prst="line">
            <a:avLst/>
          </a:prstGeom>
          <a:noFill/>
          <a:ln w="9525">
            <a:solidFill>
              <a:srgbClr val="FF0000"/>
            </a:solidFill>
            <a:round/>
            <a:headEnd/>
            <a:tailEnd/>
          </a:ln>
        </xdr:spPr>
      </xdr:sp>
      <xdr:sp macro="" textlink="">
        <xdr:nvSpPr>
          <xdr:cNvPr id="5427" name="Line 10298"/>
          <xdr:cNvSpPr>
            <a:spLocks noChangeShapeType="1"/>
          </xdr:cNvSpPr>
        </xdr:nvSpPr>
        <xdr:spPr bwMode="auto">
          <a:xfrm flipV="1">
            <a:off x="5924" y="10696"/>
            <a:ext cx="0" cy="5389"/>
          </a:xfrm>
          <a:prstGeom prst="line">
            <a:avLst/>
          </a:prstGeom>
          <a:noFill/>
          <a:ln w="9525">
            <a:solidFill>
              <a:srgbClr val="FF0000"/>
            </a:solidFill>
            <a:round/>
            <a:headEnd/>
            <a:tailEnd/>
          </a:ln>
        </xdr:spPr>
      </xdr:sp>
      <xdr:sp macro="" textlink="">
        <xdr:nvSpPr>
          <xdr:cNvPr id="5428" name="Line 10299"/>
          <xdr:cNvSpPr>
            <a:spLocks noChangeShapeType="1"/>
          </xdr:cNvSpPr>
        </xdr:nvSpPr>
        <xdr:spPr bwMode="auto">
          <a:xfrm>
            <a:off x="5924" y="10696"/>
            <a:ext cx="430" cy="3"/>
          </a:xfrm>
          <a:prstGeom prst="line">
            <a:avLst/>
          </a:prstGeom>
          <a:noFill/>
          <a:ln w="9525">
            <a:solidFill>
              <a:srgbClr val="FF0000"/>
            </a:solidFill>
            <a:round/>
            <a:headEnd/>
            <a:tailEnd/>
          </a:ln>
        </xdr:spPr>
      </xdr:sp>
      <xdr:sp macro="" textlink="">
        <xdr:nvSpPr>
          <xdr:cNvPr id="5429" name="Line 10300"/>
          <xdr:cNvSpPr>
            <a:spLocks noChangeShapeType="1"/>
          </xdr:cNvSpPr>
        </xdr:nvSpPr>
        <xdr:spPr bwMode="auto">
          <a:xfrm flipV="1">
            <a:off x="6354" y="10696"/>
            <a:ext cx="4" cy="5389"/>
          </a:xfrm>
          <a:prstGeom prst="line">
            <a:avLst/>
          </a:prstGeom>
          <a:noFill/>
          <a:ln w="9525">
            <a:solidFill>
              <a:srgbClr val="FF0000"/>
            </a:solidFill>
            <a:round/>
            <a:headEnd/>
            <a:tailEnd/>
          </a:ln>
        </xdr:spPr>
      </xdr:sp>
      <xdr:sp macro="" textlink="">
        <xdr:nvSpPr>
          <xdr:cNvPr id="5430" name="Line 10301"/>
          <xdr:cNvSpPr>
            <a:spLocks noChangeShapeType="1"/>
          </xdr:cNvSpPr>
        </xdr:nvSpPr>
        <xdr:spPr bwMode="auto">
          <a:xfrm>
            <a:off x="6354" y="16085"/>
            <a:ext cx="1077" cy="4"/>
          </a:xfrm>
          <a:prstGeom prst="line">
            <a:avLst/>
          </a:prstGeom>
          <a:noFill/>
          <a:ln w="9525">
            <a:solidFill>
              <a:srgbClr val="FF0000"/>
            </a:solidFill>
            <a:round/>
            <a:headEnd/>
            <a:tailEnd/>
          </a:ln>
        </xdr:spPr>
      </xdr:sp>
      <xdr:sp macro="" textlink="">
        <xdr:nvSpPr>
          <xdr:cNvPr id="5431" name="Line 10302"/>
          <xdr:cNvSpPr>
            <a:spLocks noChangeShapeType="1"/>
          </xdr:cNvSpPr>
        </xdr:nvSpPr>
        <xdr:spPr bwMode="auto">
          <a:xfrm flipV="1">
            <a:off x="7431" y="6384"/>
            <a:ext cx="0" cy="9701"/>
          </a:xfrm>
          <a:prstGeom prst="line">
            <a:avLst/>
          </a:prstGeom>
          <a:noFill/>
          <a:ln w="9525">
            <a:solidFill>
              <a:srgbClr val="FF0000"/>
            </a:solidFill>
            <a:round/>
            <a:headEnd/>
            <a:tailEnd/>
          </a:ln>
        </xdr:spPr>
      </xdr:sp>
      <xdr:sp macro="" textlink="">
        <xdr:nvSpPr>
          <xdr:cNvPr id="5432" name="Line 10303"/>
          <xdr:cNvSpPr>
            <a:spLocks noChangeShapeType="1"/>
          </xdr:cNvSpPr>
        </xdr:nvSpPr>
        <xdr:spPr bwMode="auto">
          <a:xfrm>
            <a:off x="7431" y="6384"/>
            <a:ext cx="211" cy="4"/>
          </a:xfrm>
          <a:prstGeom prst="line">
            <a:avLst/>
          </a:prstGeom>
          <a:noFill/>
          <a:ln w="9525">
            <a:solidFill>
              <a:srgbClr val="FF0000"/>
            </a:solidFill>
            <a:round/>
            <a:headEnd/>
            <a:tailEnd/>
          </a:ln>
        </xdr:spPr>
      </xdr:sp>
      <xdr:sp macro="" textlink="">
        <xdr:nvSpPr>
          <xdr:cNvPr id="5433" name="Line 10304"/>
          <xdr:cNvSpPr>
            <a:spLocks noChangeShapeType="1"/>
          </xdr:cNvSpPr>
        </xdr:nvSpPr>
        <xdr:spPr bwMode="auto">
          <a:xfrm>
            <a:off x="7665" y="6380"/>
            <a:ext cx="4" cy="3881"/>
          </a:xfrm>
          <a:prstGeom prst="line">
            <a:avLst/>
          </a:prstGeom>
          <a:noFill/>
          <a:ln w="9525">
            <a:solidFill>
              <a:srgbClr val="FF0000"/>
            </a:solidFill>
            <a:round/>
            <a:headEnd/>
            <a:tailEnd/>
          </a:ln>
        </xdr:spPr>
      </xdr:sp>
      <xdr:sp macro="" textlink="">
        <xdr:nvSpPr>
          <xdr:cNvPr id="5434" name="Line 10305"/>
          <xdr:cNvSpPr>
            <a:spLocks noChangeShapeType="1"/>
          </xdr:cNvSpPr>
        </xdr:nvSpPr>
        <xdr:spPr bwMode="auto">
          <a:xfrm>
            <a:off x="7665" y="10261"/>
            <a:ext cx="861" cy="3"/>
          </a:xfrm>
          <a:prstGeom prst="line">
            <a:avLst/>
          </a:prstGeom>
          <a:noFill/>
          <a:ln w="9525">
            <a:solidFill>
              <a:srgbClr val="FF0000"/>
            </a:solidFill>
            <a:round/>
            <a:headEnd/>
            <a:tailEnd/>
          </a:ln>
        </xdr:spPr>
      </xdr:sp>
      <xdr:sp macro="" textlink="">
        <xdr:nvSpPr>
          <xdr:cNvPr id="5435" name="Line 10306"/>
          <xdr:cNvSpPr>
            <a:spLocks noChangeShapeType="1"/>
          </xdr:cNvSpPr>
        </xdr:nvSpPr>
        <xdr:spPr bwMode="auto">
          <a:xfrm flipV="1">
            <a:off x="8526" y="6475"/>
            <a:ext cx="4" cy="3786"/>
          </a:xfrm>
          <a:prstGeom prst="line">
            <a:avLst/>
          </a:prstGeom>
          <a:noFill/>
          <a:ln w="9525">
            <a:solidFill>
              <a:srgbClr val="FF0000"/>
            </a:solidFill>
            <a:round/>
            <a:headEnd/>
            <a:tailEnd/>
          </a:ln>
        </xdr:spPr>
      </xdr:sp>
      <xdr:sp macro="" textlink="">
        <xdr:nvSpPr>
          <xdr:cNvPr id="5436" name="Line 10307"/>
          <xdr:cNvSpPr>
            <a:spLocks noChangeShapeType="1"/>
          </xdr:cNvSpPr>
        </xdr:nvSpPr>
        <xdr:spPr bwMode="auto">
          <a:xfrm flipH="1">
            <a:off x="5807" y="4432"/>
            <a:ext cx="683" cy="0"/>
          </a:xfrm>
          <a:prstGeom prst="line">
            <a:avLst/>
          </a:prstGeom>
          <a:noFill/>
          <a:ln w="9525">
            <a:solidFill>
              <a:srgbClr val="FF0000"/>
            </a:solidFill>
            <a:round/>
            <a:headEnd/>
            <a:tailEnd/>
          </a:ln>
        </xdr:spPr>
      </xdr:sp>
    </xdr:grpSp>
    <xdr:clientData/>
  </xdr:twoCellAnchor>
  <xdr:twoCellAnchor>
    <xdr:from>
      <xdr:col>4</xdr:col>
      <xdr:colOff>838200</xdr:colOff>
      <xdr:row>51</xdr:row>
      <xdr:rowOff>60960</xdr:rowOff>
    </xdr:from>
    <xdr:to>
      <xdr:col>4</xdr:col>
      <xdr:colOff>975360</xdr:colOff>
      <xdr:row>53</xdr:row>
      <xdr:rowOff>83820</xdr:rowOff>
    </xdr:to>
    <xdr:grpSp>
      <xdr:nvGrpSpPr>
        <xdr:cNvPr id="5437" name="Group 10308"/>
        <xdr:cNvGrpSpPr>
          <a:grpSpLocks/>
        </xdr:cNvGrpSpPr>
      </xdr:nvGrpSpPr>
      <xdr:grpSpPr bwMode="auto">
        <a:xfrm>
          <a:off x="5617029" y="7680960"/>
          <a:ext cx="137160" cy="371203"/>
          <a:chOff x="1857" y="2993"/>
          <a:chExt cx="4178" cy="10157"/>
        </a:xfrm>
      </xdr:grpSpPr>
      <xdr:grpSp>
        <xdr:nvGrpSpPr>
          <xdr:cNvPr id="5438" name="Group 10309"/>
          <xdr:cNvGrpSpPr>
            <a:grpSpLocks/>
          </xdr:cNvGrpSpPr>
        </xdr:nvGrpSpPr>
        <xdr:grpSpPr bwMode="auto">
          <a:xfrm rot="1441604">
            <a:off x="4764" y="2993"/>
            <a:ext cx="570" cy="2736"/>
            <a:chOff x="4251" y="2947"/>
            <a:chExt cx="570" cy="2736"/>
          </a:xfrm>
        </xdr:grpSpPr>
        <xdr:sp macro="" textlink="">
          <xdr:nvSpPr>
            <xdr:cNvPr id="5450" name="Line 10310"/>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5451" name="Line 10311"/>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5452" name="Line 10312"/>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5453" name="Line 10313"/>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5439" name="Group 10314"/>
          <xdr:cNvGrpSpPr>
            <a:grpSpLocks/>
          </xdr:cNvGrpSpPr>
        </xdr:nvGrpSpPr>
        <xdr:grpSpPr bwMode="auto">
          <a:xfrm rot="8464448">
            <a:off x="5468" y="5524"/>
            <a:ext cx="569" cy="2733"/>
            <a:chOff x="4677" y="4047"/>
            <a:chExt cx="495" cy="2386"/>
          </a:xfrm>
        </xdr:grpSpPr>
        <xdr:sp macro="" textlink="">
          <xdr:nvSpPr>
            <xdr:cNvPr id="5446" name="Line 10315"/>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447" name="Line 10316"/>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448" name="Line 10317"/>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449" name="Line 10318"/>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5440" name="Group 10319"/>
          <xdr:cNvGrpSpPr>
            <a:grpSpLocks/>
          </xdr:cNvGrpSpPr>
        </xdr:nvGrpSpPr>
        <xdr:grpSpPr bwMode="auto">
          <a:xfrm rot="-5905833">
            <a:off x="2936" y="4830"/>
            <a:ext cx="571" cy="2733"/>
            <a:chOff x="4677" y="4047"/>
            <a:chExt cx="495" cy="2386"/>
          </a:xfrm>
        </xdr:grpSpPr>
        <xdr:sp macro="" textlink="">
          <xdr:nvSpPr>
            <xdr:cNvPr id="5442" name="Line 10320"/>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443" name="Line 10321"/>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444" name="Line 10322"/>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445" name="Line 10323"/>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5441" name="AutoShape 10324"/>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51</xdr:row>
      <xdr:rowOff>76200</xdr:rowOff>
    </xdr:from>
    <xdr:to>
      <xdr:col>4</xdr:col>
      <xdr:colOff>342900</xdr:colOff>
      <xdr:row>53</xdr:row>
      <xdr:rowOff>83820</xdr:rowOff>
    </xdr:to>
    <xdr:grpSp>
      <xdr:nvGrpSpPr>
        <xdr:cNvPr id="5454" name="Group 10325"/>
        <xdr:cNvGrpSpPr>
          <a:grpSpLocks/>
        </xdr:cNvGrpSpPr>
      </xdr:nvGrpSpPr>
      <xdr:grpSpPr bwMode="auto">
        <a:xfrm>
          <a:off x="4885509" y="7696200"/>
          <a:ext cx="236220" cy="355963"/>
          <a:chOff x="5163" y="2548"/>
          <a:chExt cx="2109" cy="2909"/>
        </a:xfrm>
      </xdr:grpSpPr>
      <xdr:sp macro="" textlink="">
        <xdr:nvSpPr>
          <xdr:cNvPr id="5455" name="Rectangle 10326"/>
          <xdr:cNvSpPr>
            <a:spLocks noChangeArrowheads="1"/>
          </xdr:cNvSpPr>
        </xdr:nvSpPr>
        <xdr:spPr bwMode="auto">
          <a:xfrm>
            <a:off x="5163" y="2548"/>
            <a:ext cx="1938" cy="2736"/>
          </a:xfrm>
          <a:prstGeom prst="rect">
            <a:avLst/>
          </a:prstGeom>
          <a:solidFill>
            <a:srgbClr val="FFFFFF"/>
          </a:solidFill>
          <a:ln w="9525" algn="ctr">
            <a:solidFill>
              <a:srgbClr val="FF0000"/>
            </a:solidFill>
            <a:miter lim="800000"/>
            <a:headEnd/>
            <a:tailEnd/>
          </a:ln>
        </xdr:spPr>
      </xdr:sp>
      <xdr:sp macro="" textlink="">
        <xdr:nvSpPr>
          <xdr:cNvPr id="5456" name="Line 10327"/>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5457" name="Line 10328"/>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5458" name="Line 10329"/>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5459" name="Line 10330"/>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5460" name="Line 10331"/>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5461" name="Line 10332"/>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5462" name="Line 10333"/>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5463" name="Line 10334"/>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5464" name="Line 10335"/>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5465" name="Line 10336"/>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5466" name="Line 10337"/>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5467" name="Line 10338"/>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5468" name="Line 10339"/>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51</xdr:row>
      <xdr:rowOff>114300</xdr:rowOff>
    </xdr:from>
    <xdr:to>
      <xdr:col>4</xdr:col>
      <xdr:colOff>1478280</xdr:colOff>
      <xdr:row>53</xdr:row>
      <xdr:rowOff>121920</xdr:rowOff>
    </xdr:to>
    <xdr:grpSp>
      <xdr:nvGrpSpPr>
        <xdr:cNvPr id="5469" name="Group 10340"/>
        <xdr:cNvGrpSpPr>
          <a:grpSpLocks/>
        </xdr:cNvGrpSpPr>
      </xdr:nvGrpSpPr>
      <xdr:grpSpPr bwMode="auto">
        <a:xfrm>
          <a:off x="5952309" y="7734300"/>
          <a:ext cx="304800" cy="355963"/>
          <a:chOff x="5238" y="4632"/>
          <a:chExt cx="1597" cy="1311"/>
        </a:xfrm>
      </xdr:grpSpPr>
      <xdr:sp macro="" textlink="">
        <xdr:nvSpPr>
          <xdr:cNvPr id="5470" name="Line 10341"/>
          <xdr:cNvSpPr>
            <a:spLocks noChangeShapeType="1"/>
          </xdr:cNvSpPr>
        </xdr:nvSpPr>
        <xdr:spPr bwMode="auto">
          <a:xfrm flipV="1">
            <a:off x="5238" y="4632"/>
            <a:ext cx="0" cy="855"/>
          </a:xfrm>
          <a:prstGeom prst="line">
            <a:avLst/>
          </a:prstGeom>
          <a:noFill/>
          <a:ln w="9525">
            <a:solidFill>
              <a:srgbClr val="FF0000"/>
            </a:solidFill>
            <a:round/>
            <a:headEnd/>
            <a:tailEnd/>
          </a:ln>
        </xdr:spPr>
      </xdr:sp>
      <xdr:sp macro="" textlink="">
        <xdr:nvSpPr>
          <xdr:cNvPr id="5471" name="Line 10342"/>
          <xdr:cNvSpPr>
            <a:spLocks noChangeShapeType="1"/>
          </xdr:cNvSpPr>
        </xdr:nvSpPr>
        <xdr:spPr bwMode="auto">
          <a:xfrm>
            <a:off x="5238" y="4632"/>
            <a:ext cx="1597" cy="0"/>
          </a:xfrm>
          <a:prstGeom prst="line">
            <a:avLst/>
          </a:prstGeom>
          <a:noFill/>
          <a:ln w="9525">
            <a:solidFill>
              <a:srgbClr val="FF0000"/>
            </a:solidFill>
            <a:round/>
            <a:headEnd/>
            <a:tailEnd/>
          </a:ln>
        </xdr:spPr>
      </xdr:sp>
      <xdr:sp macro="" textlink="">
        <xdr:nvSpPr>
          <xdr:cNvPr id="5472" name="Line 10343"/>
          <xdr:cNvSpPr>
            <a:spLocks noChangeShapeType="1"/>
          </xdr:cNvSpPr>
        </xdr:nvSpPr>
        <xdr:spPr bwMode="auto">
          <a:xfrm>
            <a:off x="5238" y="5487"/>
            <a:ext cx="342" cy="1"/>
          </a:xfrm>
          <a:prstGeom prst="line">
            <a:avLst/>
          </a:prstGeom>
          <a:noFill/>
          <a:ln w="9525">
            <a:solidFill>
              <a:srgbClr val="FF0000"/>
            </a:solidFill>
            <a:round/>
            <a:headEnd/>
            <a:tailEnd/>
          </a:ln>
        </xdr:spPr>
      </xdr:sp>
      <xdr:sp macro="" textlink="">
        <xdr:nvSpPr>
          <xdr:cNvPr id="5473" name="Line 10344"/>
          <xdr:cNvSpPr>
            <a:spLocks noChangeShapeType="1"/>
          </xdr:cNvSpPr>
        </xdr:nvSpPr>
        <xdr:spPr bwMode="auto">
          <a:xfrm flipH="1">
            <a:off x="5409" y="5487"/>
            <a:ext cx="172" cy="456"/>
          </a:xfrm>
          <a:prstGeom prst="line">
            <a:avLst/>
          </a:prstGeom>
          <a:noFill/>
          <a:ln w="9525">
            <a:solidFill>
              <a:srgbClr val="FF0000"/>
            </a:solidFill>
            <a:round/>
            <a:headEnd/>
            <a:tailEnd/>
          </a:ln>
        </xdr:spPr>
      </xdr:sp>
      <xdr:sp macro="" textlink="">
        <xdr:nvSpPr>
          <xdr:cNvPr id="5474" name="Line 10345"/>
          <xdr:cNvSpPr>
            <a:spLocks noChangeShapeType="1"/>
          </xdr:cNvSpPr>
        </xdr:nvSpPr>
        <xdr:spPr bwMode="auto">
          <a:xfrm flipV="1">
            <a:off x="5409" y="5487"/>
            <a:ext cx="627" cy="456"/>
          </a:xfrm>
          <a:prstGeom prst="line">
            <a:avLst/>
          </a:prstGeom>
          <a:noFill/>
          <a:ln w="9525">
            <a:solidFill>
              <a:srgbClr val="FF0000"/>
            </a:solidFill>
            <a:round/>
            <a:headEnd/>
            <a:tailEnd/>
          </a:ln>
        </xdr:spPr>
      </xdr:sp>
      <xdr:sp macro="" textlink="">
        <xdr:nvSpPr>
          <xdr:cNvPr id="5475" name="Line 10346"/>
          <xdr:cNvSpPr>
            <a:spLocks noChangeShapeType="1"/>
          </xdr:cNvSpPr>
        </xdr:nvSpPr>
        <xdr:spPr bwMode="auto">
          <a:xfrm>
            <a:off x="6036" y="5487"/>
            <a:ext cx="799" cy="1"/>
          </a:xfrm>
          <a:prstGeom prst="line">
            <a:avLst/>
          </a:prstGeom>
          <a:noFill/>
          <a:ln w="9525">
            <a:solidFill>
              <a:srgbClr val="FF0000"/>
            </a:solidFill>
            <a:round/>
            <a:headEnd/>
            <a:tailEnd/>
          </a:ln>
        </xdr:spPr>
      </xdr:sp>
      <xdr:sp macro="" textlink="">
        <xdr:nvSpPr>
          <xdr:cNvPr id="5476" name="Line 10347"/>
          <xdr:cNvSpPr>
            <a:spLocks noChangeShapeType="1"/>
          </xdr:cNvSpPr>
        </xdr:nvSpPr>
        <xdr:spPr bwMode="auto">
          <a:xfrm>
            <a:off x="6835" y="4632"/>
            <a:ext cx="0" cy="856"/>
          </a:xfrm>
          <a:prstGeom prst="line">
            <a:avLst/>
          </a:prstGeom>
          <a:noFill/>
          <a:ln w="9525">
            <a:solidFill>
              <a:srgbClr val="FF0000"/>
            </a:solidFill>
            <a:round/>
            <a:headEnd/>
            <a:tailEnd/>
          </a:ln>
        </xdr:spPr>
      </xdr:sp>
    </xdr:grpSp>
    <xdr:clientData/>
  </xdr:twoCellAnchor>
  <xdr:twoCellAnchor>
    <xdr:from>
      <xdr:col>4</xdr:col>
      <xdr:colOff>541020</xdr:colOff>
      <xdr:row>66</xdr:row>
      <xdr:rowOff>76200</xdr:rowOff>
    </xdr:from>
    <xdr:to>
      <xdr:col>4</xdr:col>
      <xdr:colOff>647700</xdr:colOff>
      <xdr:row>68</xdr:row>
      <xdr:rowOff>83820</xdr:rowOff>
    </xdr:to>
    <xdr:grpSp>
      <xdr:nvGrpSpPr>
        <xdr:cNvPr id="5597" name="Group 10471"/>
        <xdr:cNvGrpSpPr>
          <a:grpSpLocks/>
        </xdr:cNvGrpSpPr>
      </xdr:nvGrpSpPr>
      <xdr:grpSpPr bwMode="auto">
        <a:xfrm>
          <a:off x="5319849" y="10210800"/>
          <a:ext cx="106680" cy="355963"/>
          <a:chOff x="3771" y="1155"/>
          <a:chExt cx="4759" cy="14934"/>
        </a:xfrm>
      </xdr:grpSpPr>
      <xdr:sp macro="" textlink="">
        <xdr:nvSpPr>
          <xdr:cNvPr id="5598" name="Oval 10472"/>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5599" name="Arc 10473"/>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5600" name="Arc 10474"/>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5601" name="Line 10475"/>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5602" name="Line 10476"/>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5603" name="Line 10477"/>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5604" name="Line 10478"/>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5605" name="Line 10479"/>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5606" name="Line 10480"/>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5607" name="Line 10481"/>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5608" name="Line 10482"/>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5609" name="Line 10483"/>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5610" name="Line 10484"/>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5611" name="Line 10485"/>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5612" name="Line 10486"/>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5613" name="Line 10487"/>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5614" name="Line 10488"/>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5615" name="Line 10489"/>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5616" name="Line 10490"/>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66</xdr:row>
      <xdr:rowOff>60960</xdr:rowOff>
    </xdr:from>
    <xdr:to>
      <xdr:col>4</xdr:col>
      <xdr:colOff>975360</xdr:colOff>
      <xdr:row>68</xdr:row>
      <xdr:rowOff>83820</xdr:rowOff>
    </xdr:to>
    <xdr:grpSp>
      <xdr:nvGrpSpPr>
        <xdr:cNvPr id="5617" name="Group 10491"/>
        <xdr:cNvGrpSpPr>
          <a:grpSpLocks/>
        </xdr:cNvGrpSpPr>
      </xdr:nvGrpSpPr>
      <xdr:grpSpPr bwMode="auto">
        <a:xfrm>
          <a:off x="5617029" y="10195560"/>
          <a:ext cx="137160" cy="371203"/>
          <a:chOff x="1857" y="2993"/>
          <a:chExt cx="4178" cy="10157"/>
        </a:xfrm>
      </xdr:grpSpPr>
      <xdr:grpSp>
        <xdr:nvGrpSpPr>
          <xdr:cNvPr id="5618" name="Group 10492"/>
          <xdr:cNvGrpSpPr>
            <a:grpSpLocks/>
          </xdr:cNvGrpSpPr>
        </xdr:nvGrpSpPr>
        <xdr:grpSpPr bwMode="auto">
          <a:xfrm rot="1441604">
            <a:off x="4764" y="2993"/>
            <a:ext cx="570" cy="2736"/>
            <a:chOff x="4251" y="2947"/>
            <a:chExt cx="570" cy="2736"/>
          </a:xfrm>
        </xdr:grpSpPr>
        <xdr:sp macro="" textlink="">
          <xdr:nvSpPr>
            <xdr:cNvPr id="5630" name="Line 10493"/>
            <xdr:cNvSpPr>
              <a:spLocks noChangeShapeType="1"/>
            </xdr:cNvSpPr>
          </xdr:nvSpPr>
          <xdr:spPr bwMode="auto">
            <a:xfrm flipV="1">
              <a:off x="4251" y="2947"/>
              <a:ext cx="400" cy="1938"/>
            </a:xfrm>
            <a:prstGeom prst="line">
              <a:avLst/>
            </a:prstGeom>
            <a:noFill/>
            <a:ln w="9525">
              <a:solidFill>
                <a:srgbClr val="FF0000"/>
              </a:solidFill>
              <a:round/>
              <a:headEnd/>
              <a:tailEnd/>
            </a:ln>
          </xdr:spPr>
        </xdr:sp>
        <xdr:sp macro="" textlink="">
          <xdr:nvSpPr>
            <xdr:cNvPr id="5631" name="Line 10494"/>
            <xdr:cNvSpPr>
              <a:spLocks noChangeShapeType="1"/>
            </xdr:cNvSpPr>
          </xdr:nvSpPr>
          <xdr:spPr bwMode="auto">
            <a:xfrm>
              <a:off x="4651" y="2947"/>
              <a:ext cx="170" cy="0"/>
            </a:xfrm>
            <a:prstGeom prst="line">
              <a:avLst/>
            </a:prstGeom>
            <a:noFill/>
            <a:ln w="9525">
              <a:solidFill>
                <a:srgbClr val="FF0000"/>
              </a:solidFill>
              <a:round/>
              <a:headEnd/>
              <a:tailEnd/>
            </a:ln>
          </xdr:spPr>
        </xdr:sp>
        <xdr:sp macro="" textlink="">
          <xdr:nvSpPr>
            <xdr:cNvPr id="5632" name="Line 10495"/>
            <xdr:cNvSpPr>
              <a:spLocks noChangeShapeType="1"/>
            </xdr:cNvSpPr>
          </xdr:nvSpPr>
          <xdr:spPr bwMode="auto">
            <a:xfrm>
              <a:off x="4821" y="2947"/>
              <a:ext cx="0" cy="2678"/>
            </a:xfrm>
            <a:prstGeom prst="line">
              <a:avLst/>
            </a:prstGeom>
            <a:noFill/>
            <a:ln w="9525">
              <a:solidFill>
                <a:srgbClr val="FF0000"/>
              </a:solidFill>
              <a:round/>
              <a:headEnd/>
              <a:tailEnd/>
            </a:ln>
          </xdr:spPr>
        </xdr:sp>
        <xdr:sp macro="" textlink="">
          <xdr:nvSpPr>
            <xdr:cNvPr id="5633" name="Line 10496"/>
            <xdr:cNvSpPr>
              <a:spLocks noChangeShapeType="1"/>
            </xdr:cNvSpPr>
          </xdr:nvSpPr>
          <xdr:spPr bwMode="auto">
            <a:xfrm>
              <a:off x="4251" y="4885"/>
              <a:ext cx="400" cy="798"/>
            </a:xfrm>
            <a:prstGeom prst="line">
              <a:avLst/>
            </a:prstGeom>
            <a:noFill/>
            <a:ln w="9525">
              <a:solidFill>
                <a:srgbClr val="FF0000"/>
              </a:solidFill>
              <a:round/>
              <a:headEnd/>
              <a:tailEnd/>
            </a:ln>
          </xdr:spPr>
        </xdr:sp>
      </xdr:grpSp>
      <xdr:grpSp>
        <xdr:nvGrpSpPr>
          <xdr:cNvPr id="5619" name="Group 10497"/>
          <xdr:cNvGrpSpPr>
            <a:grpSpLocks/>
          </xdr:cNvGrpSpPr>
        </xdr:nvGrpSpPr>
        <xdr:grpSpPr bwMode="auto">
          <a:xfrm rot="8464448">
            <a:off x="5468" y="5524"/>
            <a:ext cx="569" cy="2733"/>
            <a:chOff x="4677" y="4047"/>
            <a:chExt cx="495" cy="2386"/>
          </a:xfrm>
        </xdr:grpSpPr>
        <xdr:sp macro="" textlink="">
          <xdr:nvSpPr>
            <xdr:cNvPr id="5626" name="Line 10498"/>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5627" name="Line 10499"/>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5628" name="Line 10500"/>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5629" name="Line 10501"/>
            <xdr:cNvSpPr>
              <a:spLocks noChangeShapeType="1"/>
            </xdr:cNvSpPr>
          </xdr:nvSpPr>
          <xdr:spPr bwMode="auto">
            <a:xfrm>
              <a:off x="4677" y="5737"/>
              <a:ext cx="347" cy="696"/>
            </a:xfrm>
            <a:prstGeom prst="line">
              <a:avLst/>
            </a:prstGeom>
            <a:noFill/>
            <a:ln w="9525">
              <a:solidFill>
                <a:srgbClr val="FF0000"/>
              </a:solidFill>
              <a:round/>
              <a:headEnd/>
              <a:tailEnd/>
            </a:ln>
          </xdr:spPr>
        </xdr:sp>
      </xdr:grpSp>
      <xdr:grpSp>
        <xdr:nvGrpSpPr>
          <xdr:cNvPr id="5620" name="Group 10502"/>
          <xdr:cNvGrpSpPr>
            <a:grpSpLocks/>
          </xdr:cNvGrpSpPr>
        </xdr:nvGrpSpPr>
        <xdr:grpSpPr bwMode="auto">
          <a:xfrm rot="-5905833">
            <a:off x="2936" y="4830"/>
            <a:ext cx="571" cy="2733"/>
            <a:chOff x="4677" y="4047"/>
            <a:chExt cx="495" cy="2386"/>
          </a:xfrm>
        </xdr:grpSpPr>
        <xdr:sp macro="" textlink="">
          <xdr:nvSpPr>
            <xdr:cNvPr id="5622" name="Line 10503"/>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5623" name="Line 10504"/>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5624" name="Line 10505"/>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5625" name="Line 10506"/>
            <xdr:cNvSpPr>
              <a:spLocks noChangeShapeType="1"/>
            </xdr:cNvSpPr>
          </xdr:nvSpPr>
          <xdr:spPr bwMode="auto">
            <a:xfrm>
              <a:off x="4677" y="5737"/>
              <a:ext cx="347" cy="696"/>
            </a:xfrm>
            <a:prstGeom prst="line">
              <a:avLst/>
            </a:prstGeom>
            <a:noFill/>
            <a:ln w="9525">
              <a:solidFill>
                <a:srgbClr val="FF0000"/>
              </a:solidFill>
              <a:round/>
              <a:headEnd/>
              <a:tailEnd/>
            </a:ln>
          </xdr:spPr>
        </xdr:sp>
      </xdr:grpSp>
      <xdr:sp macro="" textlink="">
        <xdr:nvSpPr>
          <xdr:cNvPr id="5621" name="AutoShape 10507"/>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FF0000"/>
            </a:solidFill>
            <a:miter lim="800000"/>
            <a:headEnd/>
            <a:tailEnd/>
          </a:ln>
        </xdr:spPr>
      </xdr:sp>
    </xdr:grpSp>
    <xdr:clientData/>
  </xdr:twoCellAnchor>
  <xdr:twoCellAnchor>
    <xdr:from>
      <xdr:col>4</xdr:col>
      <xdr:colOff>106680</xdr:colOff>
      <xdr:row>66</xdr:row>
      <xdr:rowOff>76200</xdr:rowOff>
    </xdr:from>
    <xdr:to>
      <xdr:col>4</xdr:col>
      <xdr:colOff>342900</xdr:colOff>
      <xdr:row>68</xdr:row>
      <xdr:rowOff>83820</xdr:rowOff>
    </xdr:to>
    <xdr:grpSp>
      <xdr:nvGrpSpPr>
        <xdr:cNvPr id="5634" name="Group 10508"/>
        <xdr:cNvGrpSpPr>
          <a:grpSpLocks/>
        </xdr:cNvGrpSpPr>
      </xdr:nvGrpSpPr>
      <xdr:grpSpPr bwMode="auto">
        <a:xfrm>
          <a:off x="4885509" y="10210800"/>
          <a:ext cx="236220" cy="355963"/>
          <a:chOff x="5163" y="2548"/>
          <a:chExt cx="2109" cy="2909"/>
        </a:xfrm>
      </xdr:grpSpPr>
      <xdr:sp macro="" textlink="">
        <xdr:nvSpPr>
          <xdr:cNvPr id="5635" name="Rectangle 10509"/>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5636" name="Line 10510"/>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5637" name="Line 10511"/>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5638" name="Line 10512"/>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5639" name="Line 10513"/>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5640" name="Line 10514"/>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5641" name="Line 10515"/>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5642" name="Line 10516"/>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5643" name="Line 10517"/>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5644" name="Line 10518"/>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5645" name="Line 10519"/>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5646" name="Line 10520"/>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5647" name="Line 10521"/>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5648" name="Line 10522"/>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66</xdr:row>
      <xdr:rowOff>114300</xdr:rowOff>
    </xdr:from>
    <xdr:to>
      <xdr:col>4</xdr:col>
      <xdr:colOff>1478280</xdr:colOff>
      <xdr:row>68</xdr:row>
      <xdr:rowOff>121920</xdr:rowOff>
    </xdr:to>
    <xdr:grpSp>
      <xdr:nvGrpSpPr>
        <xdr:cNvPr id="5649" name="Group 10523"/>
        <xdr:cNvGrpSpPr>
          <a:grpSpLocks/>
        </xdr:cNvGrpSpPr>
      </xdr:nvGrpSpPr>
      <xdr:grpSpPr bwMode="auto">
        <a:xfrm>
          <a:off x="5952309" y="10248900"/>
          <a:ext cx="304800" cy="355963"/>
          <a:chOff x="5238" y="4632"/>
          <a:chExt cx="1597" cy="1311"/>
        </a:xfrm>
      </xdr:grpSpPr>
      <xdr:sp macro="" textlink="">
        <xdr:nvSpPr>
          <xdr:cNvPr id="5650" name="Line 10524"/>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5651" name="Line 10525"/>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5652" name="Line 10526"/>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5653" name="Line 10527"/>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5654" name="Line 10528"/>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5655" name="Line 10529"/>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5656" name="Line 10530"/>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177</xdr:row>
      <xdr:rowOff>76200</xdr:rowOff>
    </xdr:from>
    <xdr:to>
      <xdr:col>4</xdr:col>
      <xdr:colOff>647700</xdr:colOff>
      <xdr:row>179</xdr:row>
      <xdr:rowOff>83820</xdr:rowOff>
    </xdr:to>
    <xdr:grpSp>
      <xdr:nvGrpSpPr>
        <xdr:cNvPr id="5717" name="Group 10594"/>
        <xdr:cNvGrpSpPr>
          <a:grpSpLocks/>
        </xdr:cNvGrpSpPr>
      </xdr:nvGrpSpPr>
      <xdr:grpSpPr bwMode="auto">
        <a:xfrm>
          <a:off x="5319849" y="29946600"/>
          <a:ext cx="106680" cy="355963"/>
          <a:chOff x="3771" y="1155"/>
          <a:chExt cx="4759" cy="14934"/>
        </a:xfrm>
      </xdr:grpSpPr>
      <xdr:sp macro="" textlink="">
        <xdr:nvSpPr>
          <xdr:cNvPr id="5718" name="Oval 10595"/>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5719" name="Arc 10596"/>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5720" name="Arc 10597"/>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5721" name="Line 10598"/>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5722" name="Line 10599"/>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5723" name="Line 10600"/>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5724" name="Line 10601"/>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5725" name="Line 10602"/>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5726" name="Line 10603"/>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5727" name="Line 10604"/>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5728" name="Line 10605"/>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5729" name="Line 10606"/>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5730" name="Line 10607"/>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5731" name="Line 10608"/>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5732" name="Line 10609"/>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5733" name="Line 10610"/>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5734" name="Line 10611"/>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5735" name="Line 10612"/>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5736" name="Line 10613"/>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177</xdr:row>
      <xdr:rowOff>60960</xdr:rowOff>
    </xdr:from>
    <xdr:to>
      <xdr:col>4</xdr:col>
      <xdr:colOff>975360</xdr:colOff>
      <xdr:row>179</xdr:row>
      <xdr:rowOff>83820</xdr:rowOff>
    </xdr:to>
    <xdr:grpSp>
      <xdr:nvGrpSpPr>
        <xdr:cNvPr id="5737" name="Group 10614"/>
        <xdr:cNvGrpSpPr>
          <a:grpSpLocks/>
        </xdr:cNvGrpSpPr>
      </xdr:nvGrpSpPr>
      <xdr:grpSpPr bwMode="auto">
        <a:xfrm>
          <a:off x="5617029" y="29931360"/>
          <a:ext cx="137160" cy="371203"/>
          <a:chOff x="1857" y="2993"/>
          <a:chExt cx="4178" cy="10157"/>
        </a:xfrm>
      </xdr:grpSpPr>
      <xdr:grpSp>
        <xdr:nvGrpSpPr>
          <xdr:cNvPr id="5738" name="Group 10615"/>
          <xdr:cNvGrpSpPr>
            <a:grpSpLocks/>
          </xdr:cNvGrpSpPr>
        </xdr:nvGrpSpPr>
        <xdr:grpSpPr bwMode="auto">
          <a:xfrm rot="1441604">
            <a:off x="4764" y="2993"/>
            <a:ext cx="570" cy="2736"/>
            <a:chOff x="4251" y="2947"/>
            <a:chExt cx="570" cy="2736"/>
          </a:xfrm>
        </xdr:grpSpPr>
        <xdr:sp macro="" textlink="">
          <xdr:nvSpPr>
            <xdr:cNvPr id="5750" name="Line 10616"/>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5751" name="Line 10617"/>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5752" name="Line 10618"/>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5753" name="Line 10619"/>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5739" name="Group 10620"/>
          <xdr:cNvGrpSpPr>
            <a:grpSpLocks/>
          </xdr:cNvGrpSpPr>
        </xdr:nvGrpSpPr>
        <xdr:grpSpPr bwMode="auto">
          <a:xfrm rot="8464448">
            <a:off x="5468" y="5524"/>
            <a:ext cx="569" cy="2733"/>
            <a:chOff x="4677" y="4047"/>
            <a:chExt cx="495" cy="2386"/>
          </a:xfrm>
        </xdr:grpSpPr>
        <xdr:sp macro="" textlink="">
          <xdr:nvSpPr>
            <xdr:cNvPr id="5746" name="Line 10621"/>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747" name="Line 10622"/>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748" name="Line 10623"/>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749" name="Line 10624"/>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5740" name="Group 10625"/>
          <xdr:cNvGrpSpPr>
            <a:grpSpLocks/>
          </xdr:cNvGrpSpPr>
        </xdr:nvGrpSpPr>
        <xdr:grpSpPr bwMode="auto">
          <a:xfrm rot="-5905833">
            <a:off x="2936" y="4830"/>
            <a:ext cx="571" cy="2733"/>
            <a:chOff x="4677" y="4047"/>
            <a:chExt cx="495" cy="2386"/>
          </a:xfrm>
        </xdr:grpSpPr>
        <xdr:sp macro="" textlink="">
          <xdr:nvSpPr>
            <xdr:cNvPr id="5742" name="Line 10626"/>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743" name="Line 10627"/>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744" name="Line 10628"/>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745" name="Line 10629"/>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5741" name="AutoShape 10630"/>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177</xdr:row>
      <xdr:rowOff>76200</xdr:rowOff>
    </xdr:from>
    <xdr:to>
      <xdr:col>4</xdr:col>
      <xdr:colOff>342900</xdr:colOff>
      <xdr:row>179</xdr:row>
      <xdr:rowOff>83820</xdr:rowOff>
    </xdr:to>
    <xdr:grpSp>
      <xdr:nvGrpSpPr>
        <xdr:cNvPr id="5754" name="Group 10631"/>
        <xdr:cNvGrpSpPr>
          <a:grpSpLocks/>
        </xdr:cNvGrpSpPr>
      </xdr:nvGrpSpPr>
      <xdr:grpSpPr bwMode="auto">
        <a:xfrm>
          <a:off x="4885509" y="29946600"/>
          <a:ext cx="236220" cy="355963"/>
          <a:chOff x="5163" y="2548"/>
          <a:chExt cx="2109" cy="2909"/>
        </a:xfrm>
      </xdr:grpSpPr>
      <xdr:sp macro="" textlink="">
        <xdr:nvSpPr>
          <xdr:cNvPr id="5755" name="Rectangle 10632"/>
          <xdr:cNvSpPr>
            <a:spLocks noChangeArrowheads="1"/>
          </xdr:cNvSpPr>
        </xdr:nvSpPr>
        <xdr:spPr bwMode="auto">
          <a:xfrm>
            <a:off x="5163" y="2548"/>
            <a:ext cx="1938" cy="2736"/>
          </a:xfrm>
          <a:prstGeom prst="rect">
            <a:avLst/>
          </a:prstGeom>
          <a:solidFill>
            <a:srgbClr val="FFFFFF"/>
          </a:solidFill>
          <a:ln w="9525" algn="ctr">
            <a:solidFill>
              <a:srgbClr val="FF0000"/>
            </a:solidFill>
            <a:miter lim="800000"/>
            <a:headEnd/>
            <a:tailEnd/>
          </a:ln>
        </xdr:spPr>
      </xdr:sp>
      <xdr:sp macro="" textlink="">
        <xdr:nvSpPr>
          <xdr:cNvPr id="5756" name="Line 10633"/>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5757" name="Line 10634"/>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5758" name="Line 10635"/>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5759" name="Line 10636"/>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5760" name="Line 10637"/>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5761" name="Line 10638"/>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5762" name="Line 10639"/>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5763" name="Line 10640"/>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5764" name="Line 10641"/>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5765" name="Line 10642"/>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5766" name="Line 10643"/>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5767" name="Line 10644"/>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5768" name="Line 10645"/>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177</xdr:row>
      <xdr:rowOff>114300</xdr:rowOff>
    </xdr:from>
    <xdr:to>
      <xdr:col>4</xdr:col>
      <xdr:colOff>1478280</xdr:colOff>
      <xdr:row>179</xdr:row>
      <xdr:rowOff>121920</xdr:rowOff>
    </xdr:to>
    <xdr:grpSp>
      <xdr:nvGrpSpPr>
        <xdr:cNvPr id="5769" name="Group 10646"/>
        <xdr:cNvGrpSpPr>
          <a:grpSpLocks/>
        </xdr:cNvGrpSpPr>
      </xdr:nvGrpSpPr>
      <xdr:grpSpPr bwMode="auto">
        <a:xfrm>
          <a:off x="5952309" y="29984700"/>
          <a:ext cx="304800" cy="355963"/>
          <a:chOff x="5238" y="4632"/>
          <a:chExt cx="1597" cy="1311"/>
        </a:xfrm>
      </xdr:grpSpPr>
      <xdr:sp macro="" textlink="">
        <xdr:nvSpPr>
          <xdr:cNvPr id="5770" name="Line 10647"/>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5771" name="Line 10648"/>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5772" name="Line 10649"/>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5773" name="Line 10650"/>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5774" name="Line 10651"/>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5775" name="Line 10652"/>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5776" name="Line 10653"/>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57</xdr:row>
      <xdr:rowOff>76200</xdr:rowOff>
    </xdr:from>
    <xdr:to>
      <xdr:col>4</xdr:col>
      <xdr:colOff>647700</xdr:colOff>
      <xdr:row>59</xdr:row>
      <xdr:rowOff>83820</xdr:rowOff>
    </xdr:to>
    <xdr:grpSp>
      <xdr:nvGrpSpPr>
        <xdr:cNvPr id="5777" name="Group 10654"/>
        <xdr:cNvGrpSpPr>
          <a:grpSpLocks/>
        </xdr:cNvGrpSpPr>
      </xdr:nvGrpSpPr>
      <xdr:grpSpPr bwMode="auto">
        <a:xfrm>
          <a:off x="5319849" y="8686800"/>
          <a:ext cx="106680" cy="312420"/>
          <a:chOff x="3771" y="1155"/>
          <a:chExt cx="4759" cy="14934"/>
        </a:xfrm>
      </xdr:grpSpPr>
      <xdr:sp macro="" textlink="">
        <xdr:nvSpPr>
          <xdr:cNvPr id="5778" name="Oval 10655"/>
          <xdr:cNvSpPr>
            <a:spLocks noChangeArrowheads="1"/>
          </xdr:cNvSpPr>
        </xdr:nvSpPr>
        <xdr:spPr bwMode="auto">
          <a:xfrm>
            <a:off x="4643" y="1155"/>
            <a:ext cx="2999" cy="3003"/>
          </a:xfrm>
          <a:prstGeom prst="ellipse">
            <a:avLst/>
          </a:prstGeom>
          <a:solidFill>
            <a:srgbClr val="FFFFFF"/>
          </a:solidFill>
          <a:ln w="9525" algn="ctr">
            <a:solidFill>
              <a:srgbClr val="FF0000"/>
            </a:solidFill>
            <a:round/>
            <a:headEnd/>
            <a:tailEnd/>
          </a:ln>
        </xdr:spPr>
      </xdr:sp>
      <xdr:sp macro="" textlink="">
        <xdr:nvSpPr>
          <xdr:cNvPr id="5779" name="Arc 10656"/>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5780" name="Arc 10657"/>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5781" name="Line 10658"/>
          <xdr:cNvSpPr>
            <a:spLocks noChangeShapeType="1"/>
          </xdr:cNvSpPr>
        </xdr:nvSpPr>
        <xdr:spPr bwMode="auto">
          <a:xfrm>
            <a:off x="3771" y="6471"/>
            <a:ext cx="0" cy="3793"/>
          </a:xfrm>
          <a:prstGeom prst="line">
            <a:avLst/>
          </a:prstGeom>
          <a:noFill/>
          <a:ln w="9525">
            <a:solidFill>
              <a:srgbClr val="FF0000"/>
            </a:solidFill>
            <a:round/>
            <a:headEnd/>
            <a:tailEnd/>
          </a:ln>
        </xdr:spPr>
      </xdr:sp>
      <xdr:sp macro="" textlink="">
        <xdr:nvSpPr>
          <xdr:cNvPr id="5782" name="Line 10659"/>
          <xdr:cNvSpPr>
            <a:spLocks noChangeShapeType="1"/>
          </xdr:cNvSpPr>
        </xdr:nvSpPr>
        <xdr:spPr bwMode="auto">
          <a:xfrm>
            <a:off x="3771" y="10264"/>
            <a:ext cx="861" cy="4"/>
          </a:xfrm>
          <a:prstGeom prst="line">
            <a:avLst/>
          </a:prstGeom>
          <a:noFill/>
          <a:ln w="9525">
            <a:solidFill>
              <a:srgbClr val="FF0000"/>
            </a:solidFill>
            <a:round/>
            <a:headEnd/>
            <a:tailEnd/>
          </a:ln>
        </xdr:spPr>
      </xdr:sp>
      <xdr:sp macro="" textlink="">
        <xdr:nvSpPr>
          <xdr:cNvPr id="5783" name="Line 10660"/>
          <xdr:cNvSpPr>
            <a:spLocks noChangeShapeType="1"/>
          </xdr:cNvSpPr>
        </xdr:nvSpPr>
        <xdr:spPr bwMode="auto">
          <a:xfrm flipV="1">
            <a:off x="4632" y="6384"/>
            <a:ext cx="4" cy="3880"/>
          </a:xfrm>
          <a:prstGeom prst="line">
            <a:avLst/>
          </a:prstGeom>
          <a:noFill/>
          <a:ln w="9525">
            <a:solidFill>
              <a:srgbClr val="FF0000"/>
            </a:solidFill>
            <a:round/>
            <a:headEnd/>
            <a:tailEnd/>
          </a:ln>
        </xdr:spPr>
      </xdr:sp>
      <xdr:sp macro="" textlink="">
        <xdr:nvSpPr>
          <xdr:cNvPr id="5784" name="Line 10661"/>
          <xdr:cNvSpPr>
            <a:spLocks noChangeShapeType="1"/>
          </xdr:cNvSpPr>
        </xdr:nvSpPr>
        <xdr:spPr bwMode="auto">
          <a:xfrm>
            <a:off x="4636" y="6384"/>
            <a:ext cx="211" cy="0"/>
          </a:xfrm>
          <a:prstGeom prst="line">
            <a:avLst/>
          </a:prstGeom>
          <a:noFill/>
          <a:ln w="9525">
            <a:solidFill>
              <a:srgbClr val="FF0000"/>
            </a:solidFill>
            <a:round/>
            <a:headEnd/>
            <a:tailEnd/>
          </a:ln>
        </xdr:spPr>
      </xdr:sp>
      <xdr:sp macro="" textlink="">
        <xdr:nvSpPr>
          <xdr:cNvPr id="5785" name="Line 10662"/>
          <xdr:cNvSpPr>
            <a:spLocks noChangeShapeType="1"/>
          </xdr:cNvSpPr>
        </xdr:nvSpPr>
        <xdr:spPr bwMode="auto">
          <a:xfrm>
            <a:off x="4847" y="6384"/>
            <a:ext cx="0" cy="9701"/>
          </a:xfrm>
          <a:prstGeom prst="line">
            <a:avLst/>
          </a:prstGeom>
          <a:noFill/>
          <a:ln w="9525">
            <a:solidFill>
              <a:srgbClr val="FF0000"/>
            </a:solidFill>
            <a:round/>
            <a:headEnd/>
            <a:tailEnd/>
          </a:ln>
        </xdr:spPr>
      </xdr:sp>
      <xdr:sp macro="" textlink="">
        <xdr:nvSpPr>
          <xdr:cNvPr id="5786" name="Line 10663"/>
          <xdr:cNvSpPr>
            <a:spLocks noChangeShapeType="1"/>
          </xdr:cNvSpPr>
        </xdr:nvSpPr>
        <xdr:spPr bwMode="auto">
          <a:xfrm>
            <a:off x="4847" y="16085"/>
            <a:ext cx="1077" cy="0"/>
          </a:xfrm>
          <a:prstGeom prst="line">
            <a:avLst/>
          </a:prstGeom>
          <a:noFill/>
          <a:ln w="9525">
            <a:solidFill>
              <a:srgbClr val="FF0000"/>
            </a:solidFill>
            <a:round/>
            <a:headEnd/>
            <a:tailEnd/>
          </a:ln>
        </xdr:spPr>
      </xdr:sp>
      <xdr:sp macro="" textlink="">
        <xdr:nvSpPr>
          <xdr:cNvPr id="5787" name="Line 10664"/>
          <xdr:cNvSpPr>
            <a:spLocks noChangeShapeType="1"/>
          </xdr:cNvSpPr>
        </xdr:nvSpPr>
        <xdr:spPr bwMode="auto">
          <a:xfrm flipV="1">
            <a:off x="5924" y="10696"/>
            <a:ext cx="0" cy="5389"/>
          </a:xfrm>
          <a:prstGeom prst="line">
            <a:avLst/>
          </a:prstGeom>
          <a:noFill/>
          <a:ln w="9525">
            <a:solidFill>
              <a:srgbClr val="FF0000"/>
            </a:solidFill>
            <a:round/>
            <a:headEnd/>
            <a:tailEnd/>
          </a:ln>
        </xdr:spPr>
      </xdr:sp>
      <xdr:sp macro="" textlink="">
        <xdr:nvSpPr>
          <xdr:cNvPr id="5788" name="Line 10665"/>
          <xdr:cNvSpPr>
            <a:spLocks noChangeShapeType="1"/>
          </xdr:cNvSpPr>
        </xdr:nvSpPr>
        <xdr:spPr bwMode="auto">
          <a:xfrm>
            <a:off x="5924" y="10696"/>
            <a:ext cx="430" cy="3"/>
          </a:xfrm>
          <a:prstGeom prst="line">
            <a:avLst/>
          </a:prstGeom>
          <a:noFill/>
          <a:ln w="9525">
            <a:solidFill>
              <a:srgbClr val="FF0000"/>
            </a:solidFill>
            <a:round/>
            <a:headEnd/>
            <a:tailEnd/>
          </a:ln>
        </xdr:spPr>
      </xdr:sp>
      <xdr:sp macro="" textlink="">
        <xdr:nvSpPr>
          <xdr:cNvPr id="5789" name="Line 10666"/>
          <xdr:cNvSpPr>
            <a:spLocks noChangeShapeType="1"/>
          </xdr:cNvSpPr>
        </xdr:nvSpPr>
        <xdr:spPr bwMode="auto">
          <a:xfrm flipV="1">
            <a:off x="6354" y="10696"/>
            <a:ext cx="4" cy="5389"/>
          </a:xfrm>
          <a:prstGeom prst="line">
            <a:avLst/>
          </a:prstGeom>
          <a:noFill/>
          <a:ln w="9525">
            <a:solidFill>
              <a:srgbClr val="FF0000"/>
            </a:solidFill>
            <a:round/>
            <a:headEnd/>
            <a:tailEnd/>
          </a:ln>
        </xdr:spPr>
      </xdr:sp>
      <xdr:sp macro="" textlink="">
        <xdr:nvSpPr>
          <xdr:cNvPr id="5790" name="Line 10667"/>
          <xdr:cNvSpPr>
            <a:spLocks noChangeShapeType="1"/>
          </xdr:cNvSpPr>
        </xdr:nvSpPr>
        <xdr:spPr bwMode="auto">
          <a:xfrm>
            <a:off x="6354" y="16085"/>
            <a:ext cx="1077" cy="4"/>
          </a:xfrm>
          <a:prstGeom prst="line">
            <a:avLst/>
          </a:prstGeom>
          <a:noFill/>
          <a:ln w="9525">
            <a:solidFill>
              <a:srgbClr val="FF0000"/>
            </a:solidFill>
            <a:round/>
            <a:headEnd/>
            <a:tailEnd/>
          </a:ln>
        </xdr:spPr>
      </xdr:sp>
      <xdr:sp macro="" textlink="">
        <xdr:nvSpPr>
          <xdr:cNvPr id="5791" name="Line 10668"/>
          <xdr:cNvSpPr>
            <a:spLocks noChangeShapeType="1"/>
          </xdr:cNvSpPr>
        </xdr:nvSpPr>
        <xdr:spPr bwMode="auto">
          <a:xfrm flipV="1">
            <a:off x="7431" y="6384"/>
            <a:ext cx="0" cy="9701"/>
          </a:xfrm>
          <a:prstGeom prst="line">
            <a:avLst/>
          </a:prstGeom>
          <a:noFill/>
          <a:ln w="9525">
            <a:solidFill>
              <a:srgbClr val="FF0000"/>
            </a:solidFill>
            <a:round/>
            <a:headEnd/>
            <a:tailEnd/>
          </a:ln>
        </xdr:spPr>
      </xdr:sp>
      <xdr:sp macro="" textlink="">
        <xdr:nvSpPr>
          <xdr:cNvPr id="5792" name="Line 10669"/>
          <xdr:cNvSpPr>
            <a:spLocks noChangeShapeType="1"/>
          </xdr:cNvSpPr>
        </xdr:nvSpPr>
        <xdr:spPr bwMode="auto">
          <a:xfrm>
            <a:off x="7431" y="6384"/>
            <a:ext cx="211" cy="4"/>
          </a:xfrm>
          <a:prstGeom prst="line">
            <a:avLst/>
          </a:prstGeom>
          <a:noFill/>
          <a:ln w="9525">
            <a:solidFill>
              <a:srgbClr val="FF0000"/>
            </a:solidFill>
            <a:round/>
            <a:headEnd/>
            <a:tailEnd/>
          </a:ln>
        </xdr:spPr>
      </xdr:sp>
      <xdr:sp macro="" textlink="">
        <xdr:nvSpPr>
          <xdr:cNvPr id="5793" name="Line 10670"/>
          <xdr:cNvSpPr>
            <a:spLocks noChangeShapeType="1"/>
          </xdr:cNvSpPr>
        </xdr:nvSpPr>
        <xdr:spPr bwMode="auto">
          <a:xfrm>
            <a:off x="7665" y="6380"/>
            <a:ext cx="4" cy="3881"/>
          </a:xfrm>
          <a:prstGeom prst="line">
            <a:avLst/>
          </a:prstGeom>
          <a:noFill/>
          <a:ln w="9525">
            <a:solidFill>
              <a:srgbClr val="FF0000"/>
            </a:solidFill>
            <a:round/>
            <a:headEnd/>
            <a:tailEnd/>
          </a:ln>
        </xdr:spPr>
      </xdr:sp>
      <xdr:sp macro="" textlink="">
        <xdr:nvSpPr>
          <xdr:cNvPr id="5794" name="Line 10671"/>
          <xdr:cNvSpPr>
            <a:spLocks noChangeShapeType="1"/>
          </xdr:cNvSpPr>
        </xdr:nvSpPr>
        <xdr:spPr bwMode="auto">
          <a:xfrm>
            <a:off x="7665" y="10261"/>
            <a:ext cx="861" cy="3"/>
          </a:xfrm>
          <a:prstGeom prst="line">
            <a:avLst/>
          </a:prstGeom>
          <a:noFill/>
          <a:ln w="9525">
            <a:solidFill>
              <a:srgbClr val="FF0000"/>
            </a:solidFill>
            <a:round/>
            <a:headEnd/>
            <a:tailEnd/>
          </a:ln>
        </xdr:spPr>
      </xdr:sp>
      <xdr:sp macro="" textlink="">
        <xdr:nvSpPr>
          <xdr:cNvPr id="5795" name="Line 10672"/>
          <xdr:cNvSpPr>
            <a:spLocks noChangeShapeType="1"/>
          </xdr:cNvSpPr>
        </xdr:nvSpPr>
        <xdr:spPr bwMode="auto">
          <a:xfrm flipV="1">
            <a:off x="8526" y="6475"/>
            <a:ext cx="4" cy="3786"/>
          </a:xfrm>
          <a:prstGeom prst="line">
            <a:avLst/>
          </a:prstGeom>
          <a:noFill/>
          <a:ln w="9525">
            <a:solidFill>
              <a:srgbClr val="FF0000"/>
            </a:solidFill>
            <a:round/>
            <a:headEnd/>
            <a:tailEnd/>
          </a:ln>
        </xdr:spPr>
      </xdr:sp>
      <xdr:sp macro="" textlink="">
        <xdr:nvSpPr>
          <xdr:cNvPr id="5796" name="Line 10673"/>
          <xdr:cNvSpPr>
            <a:spLocks noChangeShapeType="1"/>
          </xdr:cNvSpPr>
        </xdr:nvSpPr>
        <xdr:spPr bwMode="auto">
          <a:xfrm flipH="1">
            <a:off x="5807" y="4432"/>
            <a:ext cx="683" cy="0"/>
          </a:xfrm>
          <a:prstGeom prst="line">
            <a:avLst/>
          </a:prstGeom>
          <a:noFill/>
          <a:ln w="9525">
            <a:solidFill>
              <a:srgbClr val="FF0000"/>
            </a:solidFill>
            <a:round/>
            <a:headEnd/>
            <a:tailEnd/>
          </a:ln>
        </xdr:spPr>
      </xdr:sp>
    </xdr:grpSp>
    <xdr:clientData/>
  </xdr:twoCellAnchor>
  <xdr:twoCellAnchor>
    <xdr:from>
      <xdr:col>4</xdr:col>
      <xdr:colOff>838200</xdr:colOff>
      <xdr:row>57</xdr:row>
      <xdr:rowOff>60960</xdr:rowOff>
    </xdr:from>
    <xdr:to>
      <xdr:col>4</xdr:col>
      <xdr:colOff>975360</xdr:colOff>
      <xdr:row>59</xdr:row>
      <xdr:rowOff>83820</xdr:rowOff>
    </xdr:to>
    <xdr:grpSp>
      <xdr:nvGrpSpPr>
        <xdr:cNvPr id="5797" name="Group 10674"/>
        <xdr:cNvGrpSpPr>
          <a:grpSpLocks/>
        </xdr:cNvGrpSpPr>
      </xdr:nvGrpSpPr>
      <xdr:grpSpPr bwMode="auto">
        <a:xfrm>
          <a:off x="5617029" y="8671560"/>
          <a:ext cx="137160" cy="327660"/>
          <a:chOff x="1857" y="2993"/>
          <a:chExt cx="4178" cy="10157"/>
        </a:xfrm>
      </xdr:grpSpPr>
      <xdr:grpSp>
        <xdr:nvGrpSpPr>
          <xdr:cNvPr id="5798" name="Group 10675"/>
          <xdr:cNvGrpSpPr>
            <a:grpSpLocks/>
          </xdr:cNvGrpSpPr>
        </xdr:nvGrpSpPr>
        <xdr:grpSpPr bwMode="auto">
          <a:xfrm rot="1441604">
            <a:off x="4764" y="2993"/>
            <a:ext cx="570" cy="2736"/>
            <a:chOff x="4251" y="2947"/>
            <a:chExt cx="570" cy="2736"/>
          </a:xfrm>
        </xdr:grpSpPr>
        <xdr:sp macro="" textlink="">
          <xdr:nvSpPr>
            <xdr:cNvPr id="5810" name="Line 10676"/>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5811" name="Line 10677"/>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5812" name="Line 10678"/>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5813" name="Line 10679"/>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5799" name="Group 10680"/>
          <xdr:cNvGrpSpPr>
            <a:grpSpLocks/>
          </xdr:cNvGrpSpPr>
        </xdr:nvGrpSpPr>
        <xdr:grpSpPr bwMode="auto">
          <a:xfrm rot="8464448">
            <a:off x="5468" y="5524"/>
            <a:ext cx="569" cy="2733"/>
            <a:chOff x="4677" y="4047"/>
            <a:chExt cx="495" cy="2386"/>
          </a:xfrm>
        </xdr:grpSpPr>
        <xdr:sp macro="" textlink="">
          <xdr:nvSpPr>
            <xdr:cNvPr id="5806" name="Line 10681"/>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807" name="Line 10682"/>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808" name="Line 10683"/>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809" name="Line 10684"/>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5800" name="Group 10685"/>
          <xdr:cNvGrpSpPr>
            <a:grpSpLocks/>
          </xdr:cNvGrpSpPr>
        </xdr:nvGrpSpPr>
        <xdr:grpSpPr bwMode="auto">
          <a:xfrm rot="-5905833">
            <a:off x="2936" y="4830"/>
            <a:ext cx="571" cy="2733"/>
            <a:chOff x="4677" y="4047"/>
            <a:chExt cx="495" cy="2386"/>
          </a:xfrm>
        </xdr:grpSpPr>
        <xdr:sp macro="" textlink="">
          <xdr:nvSpPr>
            <xdr:cNvPr id="5802" name="Line 10686"/>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803" name="Line 10687"/>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804" name="Line 10688"/>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805" name="Line 10689"/>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5801" name="AutoShape 10690"/>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57</xdr:row>
      <xdr:rowOff>76200</xdr:rowOff>
    </xdr:from>
    <xdr:to>
      <xdr:col>4</xdr:col>
      <xdr:colOff>342900</xdr:colOff>
      <xdr:row>59</xdr:row>
      <xdr:rowOff>83820</xdr:rowOff>
    </xdr:to>
    <xdr:grpSp>
      <xdr:nvGrpSpPr>
        <xdr:cNvPr id="5814" name="Group 10691"/>
        <xdr:cNvGrpSpPr>
          <a:grpSpLocks/>
        </xdr:cNvGrpSpPr>
      </xdr:nvGrpSpPr>
      <xdr:grpSpPr bwMode="auto">
        <a:xfrm>
          <a:off x="4885509" y="8686800"/>
          <a:ext cx="236220" cy="312420"/>
          <a:chOff x="5163" y="2548"/>
          <a:chExt cx="2109" cy="2909"/>
        </a:xfrm>
      </xdr:grpSpPr>
      <xdr:sp macro="" textlink="">
        <xdr:nvSpPr>
          <xdr:cNvPr id="5815" name="Rectangle 10692"/>
          <xdr:cNvSpPr>
            <a:spLocks noChangeArrowheads="1"/>
          </xdr:cNvSpPr>
        </xdr:nvSpPr>
        <xdr:spPr bwMode="auto">
          <a:xfrm>
            <a:off x="5163" y="2548"/>
            <a:ext cx="1938" cy="2736"/>
          </a:xfrm>
          <a:prstGeom prst="rect">
            <a:avLst/>
          </a:prstGeom>
          <a:solidFill>
            <a:srgbClr val="FFFFFF"/>
          </a:solidFill>
          <a:ln w="9525">
            <a:solidFill>
              <a:srgbClr val="FF0000"/>
            </a:solidFill>
            <a:miter lim="800000"/>
            <a:headEnd/>
            <a:tailEnd/>
          </a:ln>
        </xdr:spPr>
      </xdr:sp>
      <xdr:sp macro="" textlink="">
        <xdr:nvSpPr>
          <xdr:cNvPr id="5816" name="Line 10693"/>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5817" name="Line 10694"/>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5818" name="Line 10695"/>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5819" name="Line 10696"/>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5820" name="Line 10697"/>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5821" name="Line 10698"/>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5822" name="Line 10699"/>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5823" name="Line 10700"/>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5824" name="Line 10701"/>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5825" name="Line 10702"/>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5826" name="Line 10703"/>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5827" name="Line 10704"/>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5828" name="Line 10705"/>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57</xdr:row>
      <xdr:rowOff>114300</xdr:rowOff>
    </xdr:from>
    <xdr:to>
      <xdr:col>4</xdr:col>
      <xdr:colOff>1478280</xdr:colOff>
      <xdr:row>59</xdr:row>
      <xdr:rowOff>121920</xdr:rowOff>
    </xdr:to>
    <xdr:grpSp>
      <xdr:nvGrpSpPr>
        <xdr:cNvPr id="5829" name="Group 10706"/>
        <xdr:cNvGrpSpPr>
          <a:grpSpLocks/>
        </xdr:cNvGrpSpPr>
      </xdr:nvGrpSpPr>
      <xdr:grpSpPr bwMode="auto">
        <a:xfrm>
          <a:off x="5952309" y="8724900"/>
          <a:ext cx="304800" cy="312420"/>
          <a:chOff x="5238" y="4632"/>
          <a:chExt cx="1597" cy="1311"/>
        </a:xfrm>
      </xdr:grpSpPr>
      <xdr:sp macro="" textlink="">
        <xdr:nvSpPr>
          <xdr:cNvPr id="5830" name="Line 10707"/>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5831" name="Line 10708"/>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5832" name="Line 10709"/>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5833" name="Line 10710"/>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5834" name="Line 10711"/>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5835" name="Line 10712"/>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5836" name="Line 10713"/>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838200</xdr:colOff>
      <xdr:row>60</xdr:row>
      <xdr:rowOff>0</xdr:rowOff>
    </xdr:from>
    <xdr:to>
      <xdr:col>4</xdr:col>
      <xdr:colOff>975360</xdr:colOff>
      <xdr:row>60</xdr:row>
      <xdr:rowOff>0</xdr:rowOff>
    </xdr:to>
    <xdr:grpSp>
      <xdr:nvGrpSpPr>
        <xdr:cNvPr id="5837" name="Group 10714"/>
        <xdr:cNvGrpSpPr>
          <a:grpSpLocks/>
        </xdr:cNvGrpSpPr>
      </xdr:nvGrpSpPr>
      <xdr:grpSpPr bwMode="auto">
        <a:xfrm>
          <a:off x="5617029" y="9067800"/>
          <a:ext cx="137160" cy="0"/>
          <a:chOff x="1857" y="2993"/>
          <a:chExt cx="4178" cy="10157"/>
        </a:xfrm>
      </xdr:grpSpPr>
      <xdr:grpSp>
        <xdr:nvGrpSpPr>
          <xdr:cNvPr id="5838" name="Group 10715"/>
          <xdr:cNvGrpSpPr>
            <a:grpSpLocks/>
          </xdr:cNvGrpSpPr>
        </xdr:nvGrpSpPr>
        <xdr:grpSpPr bwMode="auto">
          <a:xfrm rot="1441604">
            <a:off x="4764" y="2993"/>
            <a:ext cx="570" cy="2736"/>
            <a:chOff x="4251" y="2947"/>
            <a:chExt cx="570" cy="2736"/>
          </a:xfrm>
        </xdr:grpSpPr>
        <xdr:sp macro="" textlink="">
          <xdr:nvSpPr>
            <xdr:cNvPr id="5850" name="Line 10716"/>
            <xdr:cNvSpPr>
              <a:spLocks noChangeShapeType="1"/>
            </xdr:cNvSpPr>
          </xdr:nvSpPr>
          <xdr:spPr bwMode="auto">
            <a:xfrm flipV="1">
              <a:off x="4251" y="2947"/>
              <a:ext cx="400" cy="1938"/>
            </a:xfrm>
            <a:prstGeom prst="line">
              <a:avLst/>
            </a:prstGeom>
            <a:noFill/>
            <a:ln w="9525">
              <a:solidFill>
                <a:srgbClr val="FF0000"/>
              </a:solidFill>
              <a:round/>
              <a:headEnd/>
              <a:tailEnd/>
            </a:ln>
          </xdr:spPr>
        </xdr:sp>
        <xdr:sp macro="" textlink="">
          <xdr:nvSpPr>
            <xdr:cNvPr id="5851" name="Line 10717"/>
            <xdr:cNvSpPr>
              <a:spLocks noChangeShapeType="1"/>
            </xdr:cNvSpPr>
          </xdr:nvSpPr>
          <xdr:spPr bwMode="auto">
            <a:xfrm>
              <a:off x="4651" y="2947"/>
              <a:ext cx="170" cy="0"/>
            </a:xfrm>
            <a:prstGeom prst="line">
              <a:avLst/>
            </a:prstGeom>
            <a:noFill/>
            <a:ln w="9525">
              <a:solidFill>
                <a:srgbClr val="FF0000"/>
              </a:solidFill>
              <a:round/>
              <a:headEnd/>
              <a:tailEnd/>
            </a:ln>
          </xdr:spPr>
        </xdr:sp>
        <xdr:sp macro="" textlink="">
          <xdr:nvSpPr>
            <xdr:cNvPr id="5852" name="Line 10718"/>
            <xdr:cNvSpPr>
              <a:spLocks noChangeShapeType="1"/>
            </xdr:cNvSpPr>
          </xdr:nvSpPr>
          <xdr:spPr bwMode="auto">
            <a:xfrm>
              <a:off x="4821" y="2947"/>
              <a:ext cx="0" cy="2678"/>
            </a:xfrm>
            <a:prstGeom prst="line">
              <a:avLst/>
            </a:prstGeom>
            <a:noFill/>
            <a:ln w="9525">
              <a:solidFill>
                <a:srgbClr val="FF0000"/>
              </a:solidFill>
              <a:round/>
              <a:headEnd/>
              <a:tailEnd/>
            </a:ln>
          </xdr:spPr>
        </xdr:sp>
        <xdr:sp macro="" textlink="">
          <xdr:nvSpPr>
            <xdr:cNvPr id="5853" name="Line 10719"/>
            <xdr:cNvSpPr>
              <a:spLocks noChangeShapeType="1"/>
            </xdr:cNvSpPr>
          </xdr:nvSpPr>
          <xdr:spPr bwMode="auto">
            <a:xfrm>
              <a:off x="4251" y="4885"/>
              <a:ext cx="400" cy="798"/>
            </a:xfrm>
            <a:prstGeom prst="line">
              <a:avLst/>
            </a:prstGeom>
            <a:noFill/>
            <a:ln w="9525">
              <a:solidFill>
                <a:srgbClr val="FF0000"/>
              </a:solidFill>
              <a:round/>
              <a:headEnd/>
              <a:tailEnd/>
            </a:ln>
          </xdr:spPr>
        </xdr:sp>
      </xdr:grpSp>
      <xdr:grpSp>
        <xdr:nvGrpSpPr>
          <xdr:cNvPr id="5839" name="Group 10720"/>
          <xdr:cNvGrpSpPr>
            <a:grpSpLocks/>
          </xdr:cNvGrpSpPr>
        </xdr:nvGrpSpPr>
        <xdr:grpSpPr bwMode="auto">
          <a:xfrm rot="8464448">
            <a:off x="5468" y="5524"/>
            <a:ext cx="569" cy="2733"/>
            <a:chOff x="4677" y="4047"/>
            <a:chExt cx="495" cy="2386"/>
          </a:xfrm>
        </xdr:grpSpPr>
        <xdr:sp macro="" textlink="">
          <xdr:nvSpPr>
            <xdr:cNvPr id="5846" name="Line 10721"/>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5847" name="Line 10722"/>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5848" name="Line 10723"/>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5849" name="Line 10724"/>
            <xdr:cNvSpPr>
              <a:spLocks noChangeShapeType="1"/>
            </xdr:cNvSpPr>
          </xdr:nvSpPr>
          <xdr:spPr bwMode="auto">
            <a:xfrm>
              <a:off x="4677" y="5737"/>
              <a:ext cx="347" cy="696"/>
            </a:xfrm>
            <a:prstGeom prst="line">
              <a:avLst/>
            </a:prstGeom>
            <a:noFill/>
            <a:ln w="9525">
              <a:solidFill>
                <a:srgbClr val="FF0000"/>
              </a:solidFill>
              <a:round/>
              <a:headEnd/>
              <a:tailEnd/>
            </a:ln>
          </xdr:spPr>
        </xdr:sp>
      </xdr:grpSp>
      <xdr:grpSp>
        <xdr:nvGrpSpPr>
          <xdr:cNvPr id="5840" name="Group 10725"/>
          <xdr:cNvGrpSpPr>
            <a:grpSpLocks/>
          </xdr:cNvGrpSpPr>
        </xdr:nvGrpSpPr>
        <xdr:grpSpPr bwMode="auto">
          <a:xfrm rot="-5905833">
            <a:off x="2936" y="4830"/>
            <a:ext cx="571" cy="2733"/>
            <a:chOff x="4677" y="4047"/>
            <a:chExt cx="495" cy="2386"/>
          </a:xfrm>
        </xdr:grpSpPr>
        <xdr:sp macro="" textlink="">
          <xdr:nvSpPr>
            <xdr:cNvPr id="5842" name="Line 10726"/>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5843" name="Line 10727"/>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5844" name="Line 10728"/>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5845" name="Line 10729"/>
            <xdr:cNvSpPr>
              <a:spLocks noChangeShapeType="1"/>
            </xdr:cNvSpPr>
          </xdr:nvSpPr>
          <xdr:spPr bwMode="auto">
            <a:xfrm>
              <a:off x="4677" y="5737"/>
              <a:ext cx="347" cy="696"/>
            </a:xfrm>
            <a:prstGeom prst="line">
              <a:avLst/>
            </a:prstGeom>
            <a:noFill/>
            <a:ln w="9525">
              <a:solidFill>
                <a:srgbClr val="FF0000"/>
              </a:solidFill>
              <a:round/>
              <a:headEnd/>
              <a:tailEnd/>
            </a:ln>
          </xdr:spPr>
        </xdr:sp>
      </xdr:grpSp>
      <xdr:sp macro="" textlink="">
        <xdr:nvSpPr>
          <xdr:cNvPr id="5841" name="AutoShape 10730"/>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FF0000"/>
            </a:solidFill>
            <a:miter lim="800000"/>
            <a:headEnd/>
            <a:tailEnd/>
          </a:ln>
        </xdr:spPr>
      </xdr:sp>
    </xdr:grpSp>
    <xdr:clientData/>
  </xdr:twoCellAnchor>
  <xdr:twoCellAnchor>
    <xdr:from>
      <xdr:col>4</xdr:col>
      <xdr:colOff>838200</xdr:colOff>
      <xdr:row>60</xdr:row>
      <xdr:rowOff>0</xdr:rowOff>
    </xdr:from>
    <xdr:to>
      <xdr:col>4</xdr:col>
      <xdr:colOff>975360</xdr:colOff>
      <xdr:row>60</xdr:row>
      <xdr:rowOff>0</xdr:rowOff>
    </xdr:to>
    <xdr:grpSp>
      <xdr:nvGrpSpPr>
        <xdr:cNvPr id="5854" name="Group 10734"/>
        <xdr:cNvGrpSpPr>
          <a:grpSpLocks/>
        </xdr:cNvGrpSpPr>
      </xdr:nvGrpSpPr>
      <xdr:grpSpPr bwMode="auto">
        <a:xfrm>
          <a:off x="5617029" y="9067800"/>
          <a:ext cx="137160" cy="0"/>
          <a:chOff x="1857" y="2993"/>
          <a:chExt cx="4178" cy="10157"/>
        </a:xfrm>
      </xdr:grpSpPr>
      <xdr:grpSp>
        <xdr:nvGrpSpPr>
          <xdr:cNvPr id="5855" name="Group 10735"/>
          <xdr:cNvGrpSpPr>
            <a:grpSpLocks/>
          </xdr:cNvGrpSpPr>
        </xdr:nvGrpSpPr>
        <xdr:grpSpPr bwMode="auto">
          <a:xfrm rot="1441604">
            <a:off x="4764" y="2993"/>
            <a:ext cx="570" cy="2736"/>
            <a:chOff x="4251" y="2947"/>
            <a:chExt cx="570" cy="2736"/>
          </a:xfrm>
        </xdr:grpSpPr>
        <xdr:sp macro="" textlink="">
          <xdr:nvSpPr>
            <xdr:cNvPr id="5867" name="Line 10736"/>
            <xdr:cNvSpPr>
              <a:spLocks noChangeShapeType="1"/>
            </xdr:cNvSpPr>
          </xdr:nvSpPr>
          <xdr:spPr bwMode="auto">
            <a:xfrm flipV="1">
              <a:off x="4251" y="2947"/>
              <a:ext cx="400" cy="1938"/>
            </a:xfrm>
            <a:prstGeom prst="line">
              <a:avLst/>
            </a:prstGeom>
            <a:noFill/>
            <a:ln w="9525">
              <a:solidFill>
                <a:srgbClr val="FF0000"/>
              </a:solidFill>
              <a:round/>
              <a:headEnd/>
              <a:tailEnd/>
            </a:ln>
          </xdr:spPr>
        </xdr:sp>
        <xdr:sp macro="" textlink="">
          <xdr:nvSpPr>
            <xdr:cNvPr id="5868" name="Line 10737"/>
            <xdr:cNvSpPr>
              <a:spLocks noChangeShapeType="1"/>
            </xdr:cNvSpPr>
          </xdr:nvSpPr>
          <xdr:spPr bwMode="auto">
            <a:xfrm>
              <a:off x="4651" y="2947"/>
              <a:ext cx="170" cy="0"/>
            </a:xfrm>
            <a:prstGeom prst="line">
              <a:avLst/>
            </a:prstGeom>
            <a:noFill/>
            <a:ln w="9525">
              <a:solidFill>
                <a:srgbClr val="FF0000"/>
              </a:solidFill>
              <a:round/>
              <a:headEnd/>
              <a:tailEnd/>
            </a:ln>
          </xdr:spPr>
        </xdr:sp>
        <xdr:sp macro="" textlink="">
          <xdr:nvSpPr>
            <xdr:cNvPr id="5869" name="Line 10738"/>
            <xdr:cNvSpPr>
              <a:spLocks noChangeShapeType="1"/>
            </xdr:cNvSpPr>
          </xdr:nvSpPr>
          <xdr:spPr bwMode="auto">
            <a:xfrm>
              <a:off x="4821" y="2947"/>
              <a:ext cx="0" cy="2678"/>
            </a:xfrm>
            <a:prstGeom prst="line">
              <a:avLst/>
            </a:prstGeom>
            <a:noFill/>
            <a:ln w="9525">
              <a:solidFill>
                <a:srgbClr val="FF0000"/>
              </a:solidFill>
              <a:round/>
              <a:headEnd/>
              <a:tailEnd/>
            </a:ln>
          </xdr:spPr>
        </xdr:sp>
        <xdr:sp macro="" textlink="">
          <xdr:nvSpPr>
            <xdr:cNvPr id="5870" name="Line 10739"/>
            <xdr:cNvSpPr>
              <a:spLocks noChangeShapeType="1"/>
            </xdr:cNvSpPr>
          </xdr:nvSpPr>
          <xdr:spPr bwMode="auto">
            <a:xfrm>
              <a:off x="4251" y="4885"/>
              <a:ext cx="400" cy="798"/>
            </a:xfrm>
            <a:prstGeom prst="line">
              <a:avLst/>
            </a:prstGeom>
            <a:noFill/>
            <a:ln w="9525">
              <a:solidFill>
                <a:srgbClr val="FF0000"/>
              </a:solidFill>
              <a:round/>
              <a:headEnd/>
              <a:tailEnd/>
            </a:ln>
          </xdr:spPr>
        </xdr:sp>
      </xdr:grpSp>
      <xdr:grpSp>
        <xdr:nvGrpSpPr>
          <xdr:cNvPr id="5856" name="Group 10740"/>
          <xdr:cNvGrpSpPr>
            <a:grpSpLocks/>
          </xdr:cNvGrpSpPr>
        </xdr:nvGrpSpPr>
        <xdr:grpSpPr bwMode="auto">
          <a:xfrm rot="8464448">
            <a:off x="5468" y="5524"/>
            <a:ext cx="569" cy="2733"/>
            <a:chOff x="4677" y="4047"/>
            <a:chExt cx="495" cy="2386"/>
          </a:xfrm>
        </xdr:grpSpPr>
        <xdr:sp macro="" textlink="">
          <xdr:nvSpPr>
            <xdr:cNvPr id="5863" name="Line 10741"/>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5864" name="Line 10742"/>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5865" name="Line 10743"/>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5866" name="Line 10744"/>
            <xdr:cNvSpPr>
              <a:spLocks noChangeShapeType="1"/>
            </xdr:cNvSpPr>
          </xdr:nvSpPr>
          <xdr:spPr bwMode="auto">
            <a:xfrm>
              <a:off x="4677" y="5737"/>
              <a:ext cx="347" cy="696"/>
            </a:xfrm>
            <a:prstGeom prst="line">
              <a:avLst/>
            </a:prstGeom>
            <a:noFill/>
            <a:ln w="9525">
              <a:solidFill>
                <a:srgbClr val="FF0000"/>
              </a:solidFill>
              <a:round/>
              <a:headEnd/>
              <a:tailEnd/>
            </a:ln>
          </xdr:spPr>
        </xdr:sp>
      </xdr:grpSp>
      <xdr:grpSp>
        <xdr:nvGrpSpPr>
          <xdr:cNvPr id="5857" name="Group 10745"/>
          <xdr:cNvGrpSpPr>
            <a:grpSpLocks/>
          </xdr:cNvGrpSpPr>
        </xdr:nvGrpSpPr>
        <xdr:grpSpPr bwMode="auto">
          <a:xfrm rot="-5905833">
            <a:off x="2936" y="4830"/>
            <a:ext cx="571" cy="2733"/>
            <a:chOff x="4677" y="4047"/>
            <a:chExt cx="495" cy="2386"/>
          </a:xfrm>
        </xdr:grpSpPr>
        <xdr:sp macro="" textlink="">
          <xdr:nvSpPr>
            <xdr:cNvPr id="5859" name="Line 10746"/>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5860" name="Line 10747"/>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5861" name="Line 10748"/>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5862" name="Line 10749"/>
            <xdr:cNvSpPr>
              <a:spLocks noChangeShapeType="1"/>
            </xdr:cNvSpPr>
          </xdr:nvSpPr>
          <xdr:spPr bwMode="auto">
            <a:xfrm>
              <a:off x="4677" y="5737"/>
              <a:ext cx="347" cy="696"/>
            </a:xfrm>
            <a:prstGeom prst="line">
              <a:avLst/>
            </a:prstGeom>
            <a:noFill/>
            <a:ln w="9525">
              <a:solidFill>
                <a:srgbClr val="FF0000"/>
              </a:solidFill>
              <a:round/>
              <a:headEnd/>
              <a:tailEnd/>
            </a:ln>
          </xdr:spPr>
        </xdr:sp>
      </xdr:grpSp>
      <xdr:sp macro="" textlink="">
        <xdr:nvSpPr>
          <xdr:cNvPr id="5858" name="AutoShape 10750"/>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FF0000"/>
            </a:solidFill>
            <a:miter lim="800000"/>
            <a:headEnd/>
            <a:tailEnd/>
          </a:ln>
        </xdr:spPr>
      </xdr:sp>
    </xdr:grpSp>
    <xdr:clientData/>
  </xdr:twoCellAnchor>
  <xdr:twoCellAnchor>
    <xdr:from>
      <xdr:col>4</xdr:col>
      <xdr:colOff>838200</xdr:colOff>
      <xdr:row>60</xdr:row>
      <xdr:rowOff>0</xdr:rowOff>
    </xdr:from>
    <xdr:to>
      <xdr:col>4</xdr:col>
      <xdr:colOff>975360</xdr:colOff>
      <xdr:row>60</xdr:row>
      <xdr:rowOff>0</xdr:rowOff>
    </xdr:to>
    <xdr:grpSp>
      <xdr:nvGrpSpPr>
        <xdr:cNvPr id="5871" name="Group 10751"/>
        <xdr:cNvGrpSpPr>
          <a:grpSpLocks/>
        </xdr:cNvGrpSpPr>
      </xdr:nvGrpSpPr>
      <xdr:grpSpPr bwMode="auto">
        <a:xfrm>
          <a:off x="5617029" y="9067800"/>
          <a:ext cx="137160" cy="0"/>
          <a:chOff x="1857" y="2993"/>
          <a:chExt cx="4178" cy="10157"/>
        </a:xfrm>
      </xdr:grpSpPr>
      <xdr:grpSp>
        <xdr:nvGrpSpPr>
          <xdr:cNvPr id="5872" name="Group 10752"/>
          <xdr:cNvGrpSpPr>
            <a:grpSpLocks/>
          </xdr:cNvGrpSpPr>
        </xdr:nvGrpSpPr>
        <xdr:grpSpPr bwMode="auto">
          <a:xfrm rot="1441604">
            <a:off x="4764" y="2993"/>
            <a:ext cx="570" cy="2736"/>
            <a:chOff x="4251" y="2947"/>
            <a:chExt cx="570" cy="2736"/>
          </a:xfrm>
        </xdr:grpSpPr>
        <xdr:sp macro="" textlink="">
          <xdr:nvSpPr>
            <xdr:cNvPr id="5884" name="Line 10753"/>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5885" name="Line 10754"/>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5886" name="Line 10755"/>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5887" name="Line 10756"/>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5873" name="Group 10757"/>
          <xdr:cNvGrpSpPr>
            <a:grpSpLocks/>
          </xdr:cNvGrpSpPr>
        </xdr:nvGrpSpPr>
        <xdr:grpSpPr bwMode="auto">
          <a:xfrm rot="8464448">
            <a:off x="5468" y="5524"/>
            <a:ext cx="569" cy="2733"/>
            <a:chOff x="4677" y="4047"/>
            <a:chExt cx="495" cy="2386"/>
          </a:xfrm>
        </xdr:grpSpPr>
        <xdr:sp macro="" textlink="">
          <xdr:nvSpPr>
            <xdr:cNvPr id="5880" name="Line 10758"/>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881" name="Line 10759"/>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882" name="Line 10760"/>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883" name="Line 10761"/>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5874" name="Group 10762"/>
          <xdr:cNvGrpSpPr>
            <a:grpSpLocks/>
          </xdr:cNvGrpSpPr>
        </xdr:nvGrpSpPr>
        <xdr:grpSpPr bwMode="auto">
          <a:xfrm rot="-5905833">
            <a:off x="2936" y="4830"/>
            <a:ext cx="571" cy="2733"/>
            <a:chOff x="4677" y="4047"/>
            <a:chExt cx="495" cy="2386"/>
          </a:xfrm>
        </xdr:grpSpPr>
        <xdr:sp macro="" textlink="">
          <xdr:nvSpPr>
            <xdr:cNvPr id="5876" name="Line 10763"/>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877" name="Line 10764"/>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878" name="Line 10765"/>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879" name="Line 10766"/>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5875" name="AutoShape 10767"/>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12</xdr:col>
      <xdr:colOff>182880</xdr:colOff>
      <xdr:row>1</xdr:row>
      <xdr:rowOff>0</xdr:rowOff>
    </xdr:from>
    <xdr:to>
      <xdr:col>12</xdr:col>
      <xdr:colOff>419100</xdr:colOff>
      <xdr:row>1</xdr:row>
      <xdr:rowOff>0</xdr:rowOff>
    </xdr:to>
    <xdr:grpSp>
      <xdr:nvGrpSpPr>
        <xdr:cNvPr id="5888" name="Group 10771"/>
        <xdr:cNvGrpSpPr>
          <a:grpSpLocks/>
        </xdr:cNvGrpSpPr>
      </xdr:nvGrpSpPr>
      <xdr:grpSpPr bwMode="auto">
        <a:xfrm>
          <a:off x="10714809" y="0"/>
          <a:ext cx="236220" cy="0"/>
          <a:chOff x="5163" y="2548"/>
          <a:chExt cx="2109" cy="2909"/>
        </a:xfrm>
      </xdr:grpSpPr>
      <xdr:sp macro="" textlink="">
        <xdr:nvSpPr>
          <xdr:cNvPr id="5889" name="Rectangle 10772"/>
          <xdr:cNvSpPr>
            <a:spLocks noChangeArrowheads="1"/>
          </xdr:cNvSpPr>
        </xdr:nvSpPr>
        <xdr:spPr bwMode="auto">
          <a:xfrm>
            <a:off x="5163" y="2548"/>
            <a:ext cx="1938" cy="2736"/>
          </a:xfrm>
          <a:prstGeom prst="rect">
            <a:avLst/>
          </a:prstGeom>
          <a:solidFill>
            <a:srgbClr val="FFFFFF"/>
          </a:solidFill>
          <a:ln w="9525">
            <a:solidFill>
              <a:srgbClr val="000000"/>
            </a:solidFill>
            <a:miter lim="800000"/>
            <a:headEnd/>
            <a:tailEnd/>
          </a:ln>
        </xdr:spPr>
      </xdr:sp>
      <xdr:sp macro="" textlink="">
        <xdr:nvSpPr>
          <xdr:cNvPr id="5890" name="Line 10773"/>
          <xdr:cNvSpPr>
            <a:spLocks noChangeShapeType="1"/>
          </xdr:cNvSpPr>
        </xdr:nvSpPr>
        <xdr:spPr bwMode="auto">
          <a:xfrm>
            <a:off x="5278" y="5284"/>
            <a:ext cx="1" cy="172"/>
          </a:xfrm>
          <a:prstGeom prst="line">
            <a:avLst/>
          </a:prstGeom>
          <a:noFill/>
          <a:ln w="9525">
            <a:solidFill>
              <a:srgbClr val="000000"/>
            </a:solidFill>
            <a:round/>
            <a:headEnd/>
            <a:tailEnd/>
          </a:ln>
        </xdr:spPr>
      </xdr:sp>
      <xdr:sp macro="" textlink="">
        <xdr:nvSpPr>
          <xdr:cNvPr id="5891" name="Line 10774"/>
          <xdr:cNvSpPr>
            <a:spLocks noChangeShapeType="1"/>
          </xdr:cNvSpPr>
        </xdr:nvSpPr>
        <xdr:spPr bwMode="auto">
          <a:xfrm>
            <a:off x="5279" y="5456"/>
            <a:ext cx="1993" cy="1"/>
          </a:xfrm>
          <a:prstGeom prst="line">
            <a:avLst/>
          </a:prstGeom>
          <a:noFill/>
          <a:ln w="9525">
            <a:solidFill>
              <a:srgbClr val="000000"/>
            </a:solidFill>
            <a:round/>
            <a:headEnd/>
            <a:tailEnd/>
          </a:ln>
        </xdr:spPr>
      </xdr:sp>
      <xdr:sp macro="" textlink="">
        <xdr:nvSpPr>
          <xdr:cNvPr id="5892" name="Line 10775"/>
          <xdr:cNvSpPr>
            <a:spLocks noChangeShapeType="1"/>
          </xdr:cNvSpPr>
        </xdr:nvSpPr>
        <xdr:spPr bwMode="auto">
          <a:xfrm>
            <a:off x="7101" y="2776"/>
            <a:ext cx="171" cy="1"/>
          </a:xfrm>
          <a:prstGeom prst="line">
            <a:avLst/>
          </a:prstGeom>
          <a:noFill/>
          <a:ln w="9525">
            <a:solidFill>
              <a:srgbClr val="000000"/>
            </a:solidFill>
            <a:round/>
            <a:headEnd/>
            <a:tailEnd/>
          </a:ln>
        </xdr:spPr>
      </xdr:sp>
      <xdr:sp macro="" textlink="">
        <xdr:nvSpPr>
          <xdr:cNvPr id="5893" name="Line 10776"/>
          <xdr:cNvSpPr>
            <a:spLocks noChangeShapeType="1"/>
          </xdr:cNvSpPr>
        </xdr:nvSpPr>
        <xdr:spPr bwMode="auto">
          <a:xfrm flipV="1">
            <a:off x="7272" y="2776"/>
            <a:ext cx="0" cy="2680"/>
          </a:xfrm>
          <a:prstGeom prst="line">
            <a:avLst/>
          </a:prstGeom>
          <a:noFill/>
          <a:ln w="9525">
            <a:solidFill>
              <a:srgbClr val="000000"/>
            </a:solidFill>
            <a:round/>
            <a:headEnd/>
            <a:tailEnd/>
          </a:ln>
        </xdr:spPr>
      </xdr:sp>
      <xdr:sp macro="" textlink="">
        <xdr:nvSpPr>
          <xdr:cNvPr id="5894" name="Line 10777"/>
          <xdr:cNvSpPr>
            <a:spLocks noChangeShapeType="1"/>
          </xdr:cNvSpPr>
        </xdr:nvSpPr>
        <xdr:spPr bwMode="auto">
          <a:xfrm>
            <a:off x="5448" y="2947"/>
            <a:ext cx="1311" cy="0"/>
          </a:xfrm>
          <a:prstGeom prst="line">
            <a:avLst/>
          </a:prstGeom>
          <a:noFill/>
          <a:ln w="9525">
            <a:solidFill>
              <a:srgbClr val="000000"/>
            </a:solidFill>
            <a:round/>
            <a:headEnd/>
            <a:tailEnd/>
          </a:ln>
        </xdr:spPr>
      </xdr:sp>
      <xdr:sp macro="" textlink="">
        <xdr:nvSpPr>
          <xdr:cNvPr id="5895" name="Line 10778"/>
          <xdr:cNvSpPr>
            <a:spLocks noChangeShapeType="1"/>
          </xdr:cNvSpPr>
        </xdr:nvSpPr>
        <xdr:spPr bwMode="auto">
          <a:xfrm>
            <a:off x="5448" y="3187"/>
            <a:ext cx="1311" cy="1"/>
          </a:xfrm>
          <a:prstGeom prst="line">
            <a:avLst/>
          </a:prstGeom>
          <a:noFill/>
          <a:ln w="9525">
            <a:solidFill>
              <a:srgbClr val="000000"/>
            </a:solidFill>
            <a:round/>
            <a:headEnd/>
            <a:tailEnd/>
          </a:ln>
        </xdr:spPr>
      </xdr:sp>
      <xdr:sp macro="" textlink="">
        <xdr:nvSpPr>
          <xdr:cNvPr id="5896" name="Line 10779"/>
          <xdr:cNvSpPr>
            <a:spLocks noChangeShapeType="1"/>
          </xdr:cNvSpPr>
        </xdr:nvSpPr>
        <xdr:spPr bwMode="auto">
          <a:xfrm>
            <a:off x="5448" y="3427"/>
            <a:ext cx="1311" cy="1"/>
          </a:xfrm>
          <a:prstGeom prst="line">
            <a:avLst/>
          </a:prstGeom>
          <a:noFill/>
          <a:ln w="9525">
            <a:solidFill>
              <a:srgbClr val="000000"/>
            </a:solidFill>
            <a:round/>
            <a:headEnd/>
            <a:tailEnd/>
          </a:ln>
        </xdr:spPr>
      </xdr:sp>
      <xdr:sp macro="" textlink="">
        <xdr:nvSpPr>
          <xdr:cNvPr id="5897" name="Line 10780"/>
          <xdr:cNvSpPr>
            <a:spLocks noChangeShapeType="1"/>
          </xdr:cNvSpPr>
        </xdr:nvSpPr>
        <xdr:spPr bwMode="auto">
          <a:xfrm>
            <a:off x="5448" y="3667"/>
            <a:ext cx="1311" cy="1"/>
          </a:xfrm>
          <a:prstGeom prst="line">
            <a:avLst/>
          </a:prstGeom>
          <a:noFill/>
          <a:ln w="9525">
            <a:solidFill>
              <a:srgbClr val="000000"/>
            </a:solidFill>
            <a:round/>
            <a:headEnd/>
            <a:tailEnd/>
          </a:ln>
        </xdr:spPr>
      </xdr:sp>
      <xdr:sp macro="" textlink="">
        <xdr:nvSpPr>
          <xdr:cNvPr id="5898" name="Line 10781"/>
          <xdr:cNvSpPr>
            <a:spLocks noChangeShapeType="1"/>
          </xdr:cNvSpPr>
        </xdr:nvSpPr>
        <xdr:spPr bwMode="auto">
          <a:xfrm>
            <a:off x="5448" y="3907"/>
            <a:ext cx="1311" cy="1"/>
          </a:xfrm>
          <a:prstGeom prst="line">
            <a:avLst/>
          </a:prstGeom>
          <a:noFill/>
          <a:ln w="9525">
            <a:solidFill>
              <a:srgbClr val="000000"/>
            </a:solidFill>
            <a:round/>
            <a:headEnd/>
            <a:tailEnd/>
          </a:ln>
        </xdr:spPr>
      </xdr:sp>
      <xdr:sp macro="" textlink="">
        <xdr:nvSpPr>
          <xdr:cNvPr id="5899" name="Line 10782"/>
          <xdr:cNvSpPr>
            <a:spLocks noChangeShapeType="1"/>
          </xdr:cNvSpPr>
        </xdr:nvSpPr>
        <xdr:spPr bwMode="auto">
          <a:xfrm>
            <a:off x="5448" y="4147"/>
            <a:ext cx="1311" cy="1"/>
          </a:xfrm>
          <a:prstGeom prst="line">
            <a:avLst/>
          </a:prstGeom>
          <a:noFill/>
          <a:ln w="9525">
            <a:solidFill>
              <a:srgbClr val="000000"/>
            </a:solidFill>
            <a:round/>
            <a:headEnd/>
            <a:tailEnd/>
          </a:ln>
        </xdr:spPr>
      </xdr:sp>
      <xdr:sp macro="" textlink="">
        <xdr:nvSpPr>
          <xdr:cNvPr id="5900" name="Line 10783"/>
          <xdr:cNvSpPr>
            <a:spLocks noChangeShapeType="1"/>
          </xdr:cNvSpPr>
        </xdr:nvSpPr>
        <xdr:spPr bwMode="auto">
          <a:xfrm>
            <a:off x="5448" y="4387"/>
            <a:ext cx="1311" cy="1"/>
          </a:xfrm>
          <a:prstGeom prst="line">
            <a:avLst/>
          </a:prstGeom>
          <a:noFill/>
          <a:ln w="9525">
            <a:solidFill>
              <a:srgbClr val="000000"/>
            </a:solidFill>
            <a:round/>
            <a:headEnd/>
            <a:tailEnd/>
          </a:ln>
        </xdr:spPr>
      </xdr:sp>
      <xdr:sp macro="" textlink="">
        <xdr:nvSpPr>
          <xdr:cNvPr id="5901" name="Line 10784"/>
          <xdr:cNvSpPr>
            <a:spLocks noChangeShapeType="1"/>
          </xdr:cNvSpPr>
        </xdr:nvSpPr>
        <xdr:spPr bwMode="auto">
          <a:xfrm>
            <a:off x="5448" y="4627"/>
            <a:ext cx="1311" cy="1"/>
          </a:xfrm>
          <a:prstGeom prst="line">
            <a:avLst/>
          </a:prstGeom>
          <a:noFill/>
          <a:ln w="9525">
            <a:solidFill>
              <a:srgbClr val="000000"/>
            </a:solidFill>
            <a:round/>
            <a:headEnd/>
            <a:tailEnd/>
          </a:ln>
        </xdr:spPr>
      </xdr:sp>
      <xdr:sp macro="" textlink="">
        <xdr:nvSpPr>
          <xdr:cNvPr id="5902" name="Line 10785"/>
          <xdr:cNvSpPr>
            <a:spLocks noChangeShapeType="1"/>
          </xdr:cNvSpPr>
        </xdr:nvSpPr>
        <xdr:spPr bwMode="auto">
          <a:xfrm>
            <a:off x="5448" y="4867"/>
            <a:ext cx="1311" cy="1"/>
          </a:xfrm>
          <a:prstGeom prst="line">
            <a:avLst/>
          </a:prstGeom>
          <a:noFill/>
          <a:ln w="9525">
            <a:solidFill>
              <a:srgbClr val="000000"/>
            </a:solidFill>
            <a:round/>
            <a:headEnd/>
            <a:tailEnd/>
          </a:ln>
        </xdr:spPr>
      </xdr:sp>
    </xdr:grpSp>
    <xdr:clientData/>
  </xdr:twoCellAnchor>
  <xdr:twoCellAnchor>
    <xdr:from>
      <xdr:col>12</xdr:col>
      <xdr:colOff>251460</xdr:colOff>
      <xdr:row>1</xdr:row>
      <xdr:rowOff>0</xdr:rowOff>
    </xdr:from>
    <xdr:to>
      <xdr:col>12</xdr:col>
      <xdr:colOff>358140</xdr:colOff>
      <xdr:row>1</xdr:row>
      <xdr:rowOff>0</xdr:rowOff>
    </xdr:to>
    <xdr:grpSp>
      <xdr:nvGrpSpPr>
        <xdr:cNvPr id="5903" name="Group 10786"/>
        <xdr:cNvGrpSpPr>
          <a:grpSpLocks/>
        </xdr:cNvGrpSpPr>
      </xdr:nvGrpSpPr>
      <xdr:grpSpPr bwMode="auto">
        <a:xfrm>
          <a:off x="10783389" y="0"/>
          <a:ext cx="106680" cy="0"/>
          <a:chOff x="3771" y="1155"/>
          <a:chExt cx="4759" cy="14934"/>
        </a:xfrm>
      </xdr:grpSpPr>
      <xdr:sp macro="" textlink="">
        <xdr:nvSpPr>
          <xdr:cNvPr id="5904" name="Oval 10787"/>
          <xdr:cNvSpPr>
            <a:spLocks noChangeArrowheads="1"/>
          </xdr:cNvSpPr>
        </xdr:nvSpPr>
        <xdr:spPr bwMode="auto">
          <a:xfrm>
            <a:off x="4643" y="1155"/>
            <a:ext cx="2999" cy="3003"/>
          </a:xfrm>
          <a:prstGeom prst="ellipse">
            <a:avLst/>
          </a:prstGeom>
          <a:solidFill>
            <a:srgbClr val="FFFFFF"/>
          </a:solidFill>
          <a:ln w="9525">
            <a:solidFill>
              <a:srgbClr val="000000"/>
            </a:solidFill>
            <a:round/>
            <a:headEnd/>
            <a:tailEnd/>
          </a:ln>
        </xdr:spPr>
      </xdr:sp>
      <xdr:sp macro="" textlink="">
        <xdr:nvSpPr>
          <xdr:cNvPr id="5905" name="Arc 10788"/>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000000"/>
            </a:solidFill>
            <a:round/>
            <a:headEnd/>
            <a:tailEnd/>
          </a:ln>
        </xdr:spPr>
      </xdr:sp>
      <xdr:sp macro="" textlink="">
        <xdr:nvSpPr>
          <xdr:cNvPr id="5906" name="Arc 10789"/>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000000"/>
            </a:solidFill>
            <a:round/>
            <a:headEnd/>
            <a:tailEnd/>
          </a:ln>
        </xdr:spPr>
      </xdr:sp>
      <xdr:sp macro="" textlink="">
        <xdr:nvSpPr>
          <xdr:cNvPr id="5907" name="Line 10790"/>
          <xdr:cNvSpPr>
            <a:spLocks noChangeShapeType="1"/>
          </xdr:cNvSpPr>
        </xdr:nvSpPr>
        <xdr:spPr bwMode="auto">
          <a:xfrm>
            <a:off x="3771" y="6471"/>
            <a:ext cx="0" cy="3793"/>
          </a:xfrm>
          <a:prstGeom prst="line">
            <a:avLst/>
          </a:prstGeom>
          <a:noFill/>
          <a:ln w="9525">
            <a:solidFill>
              <a:srgbClr val="000000"/>
            </a:solidFill>
            <a:round/>
            <a:headEnd/>
            <a:tailEnd/>
          </a:ln>
        </xdr:spPr>
      </xdr:sp>
      <xdr:sp macro="" textlink="">
        <xdr:nvSpPr>
          <xdr:cNvPr id="5908" name="Line 10791"/>
          <xdr:cNvSpPr>
            <a:spLocks noChangeShapeType="1"/>
          </xdr:cNvSpPr>
        </xdr:nvSpPr>
        <xdr:spPr bwMode="auto">
          <a:xfrm>
            <a:off x="3771" y="10264"/>
            <a:ext cx="861" cy="4"/>
          </a:xfrm>
          <a:prstGeom prst="line">
            <a:avLst/>
          </a:prstGeom>
          <a:noFill/>
          <a:ln w="9525">
            <a:solidFill>
              <a:srgbClr val="000000"/>
            </a:solidFill>
            <a:round/>
            <a:headEnd/>
            <a:tailEnd/>
          </a:ln>
        </xdr:spPr>
      </xdr:sp>
      <xdr:sp macro="" textlink="">
        <xdr:nvSpPr>
          <xdr:cNvPr id="5909" name="Line 10792"/>
          <xdr:cNvSpPr>
            <a:spLocks noChangeShapeType="1"/>
          </xdr:cNvSpPr>
        </xdr:nvSpPr>
        <xdr:spPr bwMode="auto">
          <a:xfrm flipV="1">
            <a:off x="4632" y="6384"/>
            <a:ext cx="4" cy="3880"/>
          </a:xfrm>
          <a:prstGeom prst="line">
            <a:avLst/>
          </a:prstGeom>
          <a:noFill/>
          <a:ln w="9525">
            <a:solidFill>
              <a:srgbClr val="000000"/>
            </a:solidFill>
            <a:round/>
            <a:headEnd/>
            <a:tailEnd/>
          </a:ln>
        </xdr:spPr>
      </xdr:sp>
      <xdr:sp macro="" textlink="">
        <xdr:nvSpPr>
          <xdr:cNvPr id="5910" name="Line 10793"/>
          <xdr:cNvSpPr>
            <a:spLocks noChangeShapeType="1"/>
          </xdr:cNvSpPr>
        </xdr:nvSpPr>
        <xdr:spPr bwMode="auto">
          <a:xfrm>
            <a:off x="4636" y="6384"/>
            <a:ext cx="211" cy="0"/>
          </a:xfrm>
          <a:prstGeom prst="line">
            <a:avLst/>
          </a:prstGeom>
          <a:noFill/>
          <a:ln w="9525">
            <a:solidFill>
              <a:srgbClr val="000000"/>
            </a:solidFill>
            <a:round/>
            <a:headEnd/>
            <a:tailEnd/>
          </a:ln>
        </xdr:spPr>
      </xdr:sp>
      <xdr:sp macro="" textlink="">
        <xdr:nvSpPr>
          <xdr:cNvPr id="5911" name="Line 10794"/>
          <xdr:cNvSpPr>
            <a:spLocks noChangeShapeType="1"/>
          </xdr:cNvSpPr>
        </xdr:nvSpPr>
        <xdr:spPr bwMode="auto">
          <a:xfrm>
            <a:off x="4847" y="6384"/>
            <a:ext cx="0" cy="9701"/>
          </a:xfrm>
          <a:prstGeom prst="line">
            <a:avLst/>
          </a:prstGeom>
          <a:noFill/>
          <a:ln w="9525">
            <a:solidFill>
              <a:srgbClr val="000000"/>
            </a:solidFill>
            <a:round/>
            <a:headEnd/>
            <a:tailEnd/>
          </a:ln>
        </xdr:spPr>
      </xdr:sp>
      <xdr:sp macro="" textlink="">
        <xdr:nvSpPr>
          <xdr:cNvPr id="5912" name="Line 10795"/>
          <xdr:cNvSpPr>
            <a:spLocks noChangeShapeType="1"/>
          </xdr:cNvSpPr>
        </xdr:nvSpPr>
        <xdr:spPr bwMode="auto">
          <a:xfrm>
            <a:off x="4847" y="16085"/>
            <a:ext cx="1077" cy="0"/>
          </a:xfrm>
          <a:prstGeom prst="line">
            <a:avLst/>
          </a:prstGeom>
          <a:noFill/>
          <a:ln w="9525">
            <a:solidFill>
              <a:srgbClr val="000000"/>
            </a:solidFill>
            <a:round/>
            <a:headEnd/>
            <a:tailEnd/>
          </a:ln>
        </xdr:spPr>
      </xdr:sp>
      <xdr:sp macro="" textlink="">
        <xdr:nvSpPr>
          <xdr:cNvPr id="5913" name="Line 10796"/>
          <xdr:cNvSpPr>
            <a:spLocks noChangeShapeType="1"/>
          </xdr:cNvSpPr>
        </xdr:nvSpPr>
        <xdr:spPr bwMode="auto">
          <a:xfrm flipV="1">
            <a:off x="5924" y="10696"/>
            <a:ext cx="0" cy="5389"/>
          </a:xfrm>
          <a:prstGeom prst="line">
            <a:avLst/>
          </a:prstGeom>
          <a:noFill/>
          <a:ln w="9525">
            <a:solidFill>
              <a:srgbClr val="000000"/>
            </a:solidFill>
            <a:round/>
            <a:headEnd/>
            <a:tailEnd/>
          </a:ln>
        </xdr:spPr>
      </xdr:sp>
      <xdr:sp macro="" textlink="">
        <xdr:nvSpPr>
          <xdr:cNvPr id="5914" name="Line 10797"/>
          <xdr:cNvSpPr>
            <a:spLocks noChangeShapeType="1"/>
          </xdr:cNvSpPr>
        </xdr:nvSpPr>
        <xdr:spPr bwMode="auto">
          <a:xfrm>
            <a:off x="5924" y="10696"/>
            <a:ext cx="430" cy="3"/>
          </a:xfrm>
          <a:prstGeom prst="line">
            <a:avLst/>
          </a:prstGeom>
          <a:noFill/>
          <a:ln w="9525">
            <a:solidFill>
              <a:srgbClr val="000000"/>
            </a:solidFill>
            <a:round/>
            <a:headEnd/>
            <a:tailEnd/>
          </a:ln>
        </xdr:spPr>
      </xdr:sp>
      <xdr:sp macro="" textlink="">
        <xdr:nvSpPr>
          <xdr:cNvPr id="5915" name="Line 10798"/>
          <xdr:cNvSpPr>
            <a:spLocks noChangeShapeType="1"/>
          </xdr:cNvSpPr>
        </xdr:nvSpPr>
        <xdr:spPr bwMode="auto">
          <a:xfrm flipV="1">
            <a:off x="6354" y="10696"/>
            <a:ext cx="4" cy="5389"/>
          </a:xfrm>
          <a:prstGeom prst="line">
            <a:avLst/>
          </a:prstGeom>
          <a:noFill/>
          <a:ln w="9525">
            <a:solidFill>
              <a:srgbClr val="000000"/>
            </a:solidFill>
            <a:round/>
            <a:headEnd/>
            <a:tailEnd/>
          </a:ln>
        </xdr:spPr>
      </xdr:sp>
      <xdr:sp macro="" textlink="">
        <xdr:nvSpPr>
          <xdr:cNvPr id="5916" name="Line 10799"/>
          <xdr:cNvSpPr>
            <a:spLocks noChangeShapeType="1"/>
          </xdr:cNvSpPr>
        </xdr:nvSpPr>
        <xdr:spPr bwMode="auto">
          <a:xfrm>
            <a:off x="6354" y="16085"/>
            <a:ext cx="1077" cy="4"/>
          </a:xfrm>
          <a:prstGeom prst="line">
            <a:avLst/>
          </a:prstGeom>
          <a:noFill/>
          <a:ln w="9525">
            <a:solidFill>
              <a:srgbClr val="000000"/>
            </a:solidFill>
            <a:round/>
            <a:headEnd/>
            <a:tailEnd/>
          </a:ln>
        </xdr:spPr>
      </xdr:sp>
      <xdr:sp macro="" textlink="">
        <xdr:nvSpPr>
          <xdr:cNvPr id="5917" name="Line 10800"/>
          <xdr:cNvSpPr>
            <a:spLocks noChangeShapeType="1"/>
          </xdr:cNvSpPr>
        </xdr:nvSpPr>
        <xdr:spPr bwMode="auto">
          <a:xfrm flipV="1">
            <a:off x="7431" y="6384"/>
            <a:ext cx="0" cy="9701"/>
          </a:xfrm>
          <a:prstGeom prst="line">
            <a:avLst/>
          </a:prstGeom>
          <a:noFill/>
          <a:ln w="9525">
            <a:solidFill>
              <a:srgbClr val="000000"/>
            </a:solidFill>
            <a:round/>
            <a:headEnd/>
            <a:tailEnd/>
          </a:ln>
        </xdr:spPr>
      </xdr:sp>
      <xdr:sp macro="" textlink="">
        <xdr:nvSpPr>
          <xdr:cNvPr id="5918" name="Line 10801"/>
          <xdr:cNvSpPr>
            <a:spLocks noChangeShapeType="1"/>
          </xdr:cNvSpPr>
        </xdr:nvSpPr>
        <xdr:spPr bwMode="auto">
          <a:xfrm>
            <a:off x="7431" y="6384"/>
            <a:ext cx="211" cy="4"/>
          </a:xfrm>
          <a:prstGeom prst="line">
            <a:avLst/>
          </a:prstGeom>
          <a:noFill/>
          <a:ln w="9525">
            <a:solidFill>
              <a:srgbClr val="000000"/>
            </a:solidFill>
            <a:round/>
            <a:headEnd/>
            <a:tailEnd/>
          </a:ln>
        </xdr:spPr>
      </xdr:sp>
      <xdr:sp macro="" textlink="">
        <xdr:nvSpPr>
          <xdr:cNvPr id="5919" name="Line 10802"/>
          <xdr:cNvSpPr>
            <a:spLocks noChangeShapeType="1"/>
          </xdr:cNvSpPr>
        </xdr:nvSpPr>
        <xdr:spPr bwMode="auto">
          <a:xfrm>
            <a:off x="7665" y="6380"/>
            <a:ext cx="4" cy="3881"/>
          </a:xfrm>
          <a:prstGeom prst="line">
            <a:avLst/>
          </a:prstGeom>
          <a:noFill/>
          <a:ln w="9525">
            <a:solidFill>
              <a:srgbClr val="000000"/>
            </a:solidFill>
            <a:round/>
            <a:headEnd/>
            <a:tailEnd/>
          </a:ln>
        </xdr:spPr>
      </xdr:sp>
      <xdr:sp macro="" textlink="">
        <xdr:nvSpPr>
          <xdr:cNvPr id="5920" name="Line 10803"/>
          <xdr:cNvSpPr>
            <a:spLocks noChangeShapeType="1"/>
          </xdr:cNvSpPr>
        </xdr:nvSpPr>
        <xdr:spPr bwMode="auto">
          <a:xfrm>
            <a:off x="7665" y="10261"/>
            <a:ext cx="861" cy="3"/>
          </a:xfrm>
          <a:prstGeom prst="line">
            <a:avLst/>
          </a:prstGeom>
          <a:noFill/>
          <a:ln w="9525">
            <a:solidFill>
              <a:srgbClr val="000000"/>
            </a:solidFill>
            <a:round/>
            <a:headEnd/>
            <a:tailEnd/>
          </a:ln>
        </xdr:spPr>
      </xdr:sp>
      <xdr:sp macro="" textlink="">
        <xdr:nvSpPr>
          <xdr:cNvPr id="5921" name="Line 10804"/>
          <xdr:cNvSpPr>
            <a:spLocks noChangeShapeType="1"/>
          </xdr:cNvSpPr>
        </xdr:nvSpPr>
        <xdr:spPr bwMode="auto">
          <a:xfrm flipV="1">
            <a:off x="8526" y="6475"/>
            <a:ext cx="4" cy="3786"/>
          </a:xfrm>
          <a:prstGeom prst="line">
            <a:avLst/>
          </a:prstGeom>
          <a:noFill/>
          <a:ln w="9525">
            <a:solidFill>
              <a:srgbClr val="000000"/>
            </a:solidFill>
            <a:round/>
            <a:headEnd/>
            <a:tailEnd/>
          </a:ln>
        </xdr:spPr>
      </xdr:sp>
      <xdr:sp macro="" textlink="">
        <xdr:nvSpPr>
          <xdr:cNvPr id="5922" name="Line 10805"/>
          <xdr:cNvSpPr>
            <a:spLocks noChangeShapeType="1"/>
          </xdr:cNvSpPr>
        </xdr:nvSpPr>
        <xdr:spPr bwMode="auto">
          <a:xfrm flipH="1">
            <a:off x="5807" y="4432"/>
            <a:ext cx="683" cy="0"/>
          </a:xfrm>
          <a:prstGeom prst="line">
            <a:avLst/>
          </a:prstGeom>
          <a:noFill/>
          <a:ln w="9525">
            <a:solidFill>
              <a:srgbClr val="000000"/>
            </a:solidFill>
            <a:round/>
            <a:headEnd/>
            <a:tailEnd/>
          </a:ln>
        </xdr:spPr>
      </xdr:sp>
    </xdr:grpSp>
    <xdr:clientData/>
  </xdr:twoCellAnchor>
  <xdr:twoCellAnchor>
    <xdr:from>
      <xdr:col>12</xdr:col>
      <xdr:colOff>236220</xdr:colOff>
      <xdr:row>1</xdr:row>
      <xdr:rowOff>0</xdr:rowOff>
    </xdr:from>
    <xdr:to>
      <xdr:col>12</xdr:col>
      <xdr:colOff>373380</xdr:colOff>
      <xdr:row>1</xdr:row>
      <xdr:rowOff>0</xdr:rowOff>
    </xdr:to>
    <xdr:grpSp>
      <xdr:nvGrpSpPr>
        <xdr:cNvPr id="5923" name="Group 10806"/>
        <xdr:cNvGrpSpPr>
          <a:grpSpLocks/>
        </xdr:cNvGrpSpPr>
      </xdr:nvGrpSpPr>
      <xdr:grpSpPr bwMode="auto">
        <a:xfrm>
          <a:off x="10768149" y="0"/>
          <a:ext cx="137160" cy="0"/>
          <a:chOff x="1857" y="2993"/>
          <a:chExt cx="4178" cy="10157"/>
        </a:xfrm>
      </xdr:grpSpPr>
      <xdr:grpSp>
        <xdr:nvGrpSpPr>
          <xdr:cNvPr id="5924" name="Group 10807"/>
          <xdr:cNvGrpSpPr>
            <a:grpSpLocks/>
          </xdr:cNvGrpSpPr>
        </xdr:nvGrpSpPr>
        <xdr:grpSpPr bwMode="auto">
          <a:xfrm rot="1441604">
            <a:off x="4764" y="2993"/>
            <a:ext cx="570" cy="2736"/>
            <a:chOff x="4251" y="2947"/>
            <a:chExt cx="570" cy="2736"/>
          </a:xfrm>
        </xdr:grpSpPr>
        <xdr:sp macro="" textlink="">
          <xdr:nvSpPr>
            <xdr:cNvPr id="5936" name="Line 10808"/>
            <xdr:cNvSpPr>
              <a:spLocks noChangeShapeType="1"/>
            </xdr:cNvSpPr>
          </xdr:nvSpPr>
          <xdr:spPr bwMode="auto">
            <a:xfrm flipV="1">
              <a:off x="4251" y="2947"/>
              <a:ext cx="400" cy="1938"/>
            </a:xfrm>
            <a:prstGeom prst="line">
              <a:avLst/>
            </a:prstGeom>
            <a:noFill/>
            <a:ln w="9525">
              <a:solidFill>
                <a:srgbClr val="000000"/>
              </a:solidFill>
              <a:round/>
              <a:headEnd/>
              <a:tailEnd/>
            </a:ln>
          </xdr:spPr>
        </xdr:sp>
        <xdr:sp macro="" textlink="">
          <xdr:nvSpPr>
            <xdr:cNvPr id="5937" name="Line 10809"/>
            <xdr:cNvSpPr>
              <a:spLocks noChangeShapeType="1"/>
            </xdr:cNvSpPr>
          </xdr:nvSpPr>
          <xdr:spPr bwMode="auto">
            <a:xfrm>
              <a:off x="4651" y="2947"/>
              <a:ext cx="170" cy="0"/>
            </a:xfrm>
            <a:prstGeom prst="line">
              <a:avLst/>
            </a:prstGeom>
            <a:noFill/>
            <a:ln w="9525">
              <a:solidFill>
                <a:srgbClr val="000000"/>
              </a:solidFill>
              <a:round/>
              <a:headEnd/>
              <a:tailEnd/>
            </a:ln>
          </xdr:spPr>
        </xdr:sp>
        <xdr:sp macro="" textlink="">
          <xdr:nvSpPr>
            <xdr:cNvPr id="5938" name="Line 10810"/>
            <xdr:cNvSpPr>
              <a:spLocks noChangeShapeType="1"/>
            </xdr:cNvSpPr>
          </xdr:nvSpPr>
          <xdr:spPr bwMode="auto">
            <a:xfrm>
              <a:off x="4821" y="2947"/>
              <a:ext cx="0" cy="2678"/>
            </a:xfrm>
            <a:prstGeom prst="line">
              <a:avLst/>
            </a:prstGeom>
            <a:noFill/>
            <a:ln w="9525">
              <a:solidFill>
                <a:srgbClr val="000000"/>
              </a:solidFill>
              <a:round/>
              <a:headEnd/>
              <a:tailEnd/>
            </a:ln>
          </xdr:spPr>
        </xdr:sp>
        <xdr:sp macro="" textlink="">
          <xdr:nvSpPr>
            <xdr:cNvPr id="5939" name="Line 10811"/>
            <xdr:cNvSpPr>
              <a:spLocks noChangeShapeType="1"/>
            </xdr:cNvSpPr>
          </xdr:nvSpPr>
          <xdr:spPr bwMode="auto">
            <a:xfrm>
              <a:off x="4251" y="4885"/>
              <a:ext cx="400" cy="798"/>
            </a:xfrm>
            <a:prstGeom prst="line">
              <a:avLst/>
            </a:prstGeom>
            <a:noFill/>
            <a:ln w="9525">
              <a:solidFill>
                <a:srgbClr val="000000"/>
              </a:solidFill>
              <a:round/>
              <a:headEnd/>
              <a:tailEnd/>
            </a:ln>
          </xdr:spPr>
        </xdr:sp>
      </xdr:grpSp>
      <xdr:grpSp>
        <xdr:nvGrpSpPr>
          <xdr:cNvPr id="5925" name="Group 10812"/>
          <xdr:cNvGrpSpPr>
            <a:grpSpLocks/>
          </xdr:cNvGrpSpPr>
        </xdr:nvGrpSpPr>
        <xdr:grpSpPr bwMode="auto">
          <a:xfrm rot="8464448">
            <a:off x="5468" y="5524"/>
            <a:ext cx="569" cy="2733"/>
            <a:chOff x="4677" y="4047"/>
            <a:chExt cx="495" cy="2386"/>
          </a:xfrm>
        </xdr:grpSpPr>
        <xdr:sp macro="" textlink="">
          <xdr:nvSpPr>
            <xdr:cNvPr id="5932" name="Line 10813"/>
            <xdr:cNvSpPr>
              <a:spLocks noChangeShapeType="1"/>
            </xdr:cNvSpPr>
          </xdr:nvSpPr>
          <xdr:spPr bwMode="auto">
            <a:xfrm flipV="1">
              <a:off x="4677" y="4047"/>
              <a:ext cx="347" cy="1690"/>
            </a:xfrm>
            <a:prstGeom prst="line">
              <a:avLst/>
            </a:prstGeom>
            <a:noFill/>
            <a:ln w="9525">
              <a:solidFill>
                <a:srgbClr val="000000"/>
              </a:solidFill>
              <a:round/>
              <a:headEnd/>
              <a:tailEnd/>
            </a:ln>
          </xdr:spPr>
        </xdr:sp>
        <xdr:sp macro="" textlink="">
          <xdr:nvSpPr>
            <xdr:cNvPr id="5933" name="Line 10814"/>
            <xdr:cNvSpPr>
              <a:spLocks noChangeShapeType="1"/>
            </xdr:cNvSpPr>
          </xdr:nvSpPr>
          <xdr:spPr bwMode="auto">
            <a:xfrm>
              <a:off x="5024" y="4047"/>
              <a:ext cx="148" cy="0"/>
            </a:xfrm>
            <a:prstGeom prst="line">
              <a:avLst/>
            </a:prstGeom>
            <a:noFill/>
            <a:ln w="9525">
              <a:solidFill>
                <a:srgbClr val="000000"/>
              </a:solidFill>
              <a:round/>
              <a:headEnd/>
              <a:tailEnd/>
            </a:ln>
          </xdr:spPr>
        </xdr:sp>
        <xdr:sp macro="" textlink="">
          <xdr:nvSpPr>
            <xdr:cNvPr id="5934" name="Line 10815"/>
            <xdr:cNvSpPr>
              <a:spLocks noChangeShapeType="1"/>
            </xdr:cNvSpPr>
          </xdr:nvSpPr>
          <xdr:spPr bwMode="auto">
            <a:xfrm>
              <a:off x="5172" y="4047"/>
              <a:ext cx="0" cy="2336"/>
            </a:xfrm>
            <a:prstGeom prst="line">
              <a:avLst/>
            </a:prstGeom>
            <a:noFill/>
            <a:ln w="9525">
              <a:solidFill>
                <a:srgbClr val="000000"/>
              </a:solidFill>
              <a:round/>
              <a:headEnd/>
              <a:tailEnd/>
            </a:ln>
          </xdr:spPr>
        </xdr:sp>
        <xdr:sp macro="" textlink="">
          <xdr:nvSpPr>
            <xdr:cNvPr id="5935" name="Line 10816"/>
            <xdr:cNvSpPr>
              <a:spLocks noChangeShapeType="1"/>
            </xdr:cNvSpPr>
          </xdr:nvSpPr>
          <xdr:spPr bwMode="auto">
            <a:xfrm>
              <a:off x="4677" y="5737"/>
              <a:ext cx="347" cy="696"/>
            </a:xfrm>
            <a:prstGeom prst="line">
              <a:avLst/>
            </a:prstGeom>
            <a:noFill/>
            <a:ln w="9525">
              <a:solidFill>
                <a:srgbClr val="000000"/>
              </a:solidFill>
              <a:round/>
              <a:headEnd/>
              <a:tailEnd/>
            </a:ln>
          </xdr:spPr>
        </xdr:sp>
      </xdr:grpSp>
      <xdr:grpSp>
        <xdr:nvGrpSpPr>
          <xdr:cNvPr id="5926" name="Group 10817"/>
          <xdr:cNvGrpSpPr>
            <a:grpSpLocks/>
          </xdr:cNvGrpSpPr>
        </xdr:nvGrpSpPr>
        <xdr:grpSpPr bwMode="auto">
          <a:xfrm rot="-5905833">
            <a:off x="2936" y="4830"/>
            <a:ext cx="571" cy="2733"/>
            <a:chOff x="4677" y="4047"/>
            <a:chExt cx="495" cy="2386"/>
          </a:xfrm>
        </xdr:grpSpPr>
        <xdr:sp macro="" textlink="">
          <xdr:nvSpPr>
            <xdr:cNvPr id="5928" name="Line 10818"/>
            <xdr:cNvSpPr>
              <a:spLocks noChangeShapeType="1"/>
            </xdr:cNvSpPr>
          </xdr:nvSpPr>
          <xdr:spPr bwMode="auto">
            <a:xfrm flipV="1">
              <a:off x="4677" y="4047"/>
              <a:ext cx="347" cy="1690"/>
            </a:xfrm>
            <a:prstGeom prst="line">
              <a:avLst/>
            </a:prstGeom>
            <a:noFill/>
            <a:ln w="9525">
              <a:solidFill>
                <a:srgbClr val="000000"/>
              </a:solidFill>
              <a:round/>
              <a:headEnd/>
              <a:tailEnd/>
            </a:ln>
          </xdr:spPr>
        </xdr:sp>
        <xdr:sp macro="" textlink="">
          <xdr:nvSpPr>
            <xdr:cNvPr id="5929" name="Line 10819"/>
            <xdr:cNvSpPr>
              <a:spLocks noChangeShapeType="1"/>
            </xdr:cNvSpPr>
          </xdr:nvSpPr>
          <xdr:spPr bwMode="auto">
            <a:xfrm>
              <a:off x="5024" y="4047"/>
              <a:ext cx="148" cy="0"/>
            </a:xfrm>
            <a:prstGeom prst="line">
              <a:avLst/>
            </a:prstGeom>
            <a:noFill/>
            <a:ln w="9525">
              <a:solidFill>
                <a:srgbClr val="000000"/>
              </a:solidFill>
              <a:round/>
              <a:headEnd/>
              <a:tailEnd/>
            </a:ln>
          </xdr:spPr>
        </xdr:sp>
        <xdr:sp macro="" textlink="">
          <xdr:nvSpPr>
            <xdr:cNvPr id="5930" name="Line 10820"/>
            <xdr:cNvSpPr>
              <a:spLocks noChangeShapeType="1"/>
            </xdr:cNvSpPr>
          </xdr:nvSpPr>
          <xdr:spPr bwMode="auto">
            <a:xfrm>
              <a:off x="5172" y="4047"/>
              <a:ext cx="0" cy="2336"/>
            </a:xfrm>
            <a:prstGeom prst="line">
              <a:avLst/>
            </a:prstGeom>
            <a:noFill/>
            <a:ln w="9525">
              <a:solidFill>
                <a:srgbClr val="000000"/>
              </a:solidFill>
              <a:round/>
              <a:headEnd/>
              <a:tailEnd/>
            </a:ln>
          </xdr:spPr>
        </xdr:sp>
        <xdr:sp macro="" textlink="">
          <xdr:nvSpPr>
            <xdr:cNvPr id="5931" name="Line 10821"/>
            <xdr:cNvSpPr>
              <a:spLocks noChangeShapeType="1"/>
            </xdr:cNvSpPr>
          </xdr:nvSpPr>
          <xdr:spPr bwMode="auto">
            <a:xfrm>
              <a:off x="4677" y="5737"/>
              <a:ext cx="347" cy="696"/>
            </a:xfrm>
            <a:prstGeom prst="line">
              <a:avLst/>
            </a:prstGeom>
            <a:noFill/>
            <a:ln w="9525">
              <a:solidFill>
                <a:srgbClr val="000000"/>
              </a:solidFill>
              <a:round/>
              <a:headEnd/>
              <a:tailEnd/>
            </a:ln>
          </xdr:spPr>
        </xdr:sp>
      </xdr:grpSp>
      <xdr:sp macro="" textlink="">
        <xdr:nvSpPr>
          <xdr:cNvPr id="5927" name="AutoShape 10822"/>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sp>
    </xdr:grpSp>
    <xdr:clientData/>
  </xdr:twoCellAnchor>
  <xdr:twoCellAnchor>
    <xdr:from>
      <xdr:col>12</xdr:col>
      <xdr:colOff>152400</xdr:colOff>
      <xdr:row>1</xdr:row>
      <xdr:rowOff>0</xdr:rowOff>
    </xdr:from>
    <xdr:to>
      <xdr:col>12</xdr:col>
      <xdr:colOff>457200</xdr:colOff>
      <xdr:row>1</xdr:row>
      <xdr:rowOff>0</xdr:rowOff>
    </xdr:to>
    <xdr:grpSp>
      <xdr:nvGrpSpPr>
        <xdr:cNvPr id="5940" name="Group 10823"/>
        <xdr:cNvGrpSpPr>
          <a:grpSpLocks/>
        </xdr:cNvGrpSpPr>
      </xdr:nvGrpSpPr>
      <xdr:grpSpPr bwMode="auto">
        <a:xfrm>
          <a:off x="10684329" y="0"/>
          <a:ext cx="304800" cy="0"/>
          <a:chOff x="5238" y="4632"/>
          <a:chExt cx="1597" cy="1311"/>
        </a:xfrm>
      </xdr:grpSpPr>
      <xdr:sp macro="" textlink="">
        <xdr:nvSpPr>
          <xdr:cNvPr id="5941" name="Line 10824"/>
          <xdr:cNvSpPr>
            <a:spLocks noChangeShapeType="1"/>
          </xdr:cNvSpPr>
        </xdr:nvSpPr>
        <xdr:spPr bwMode="auto">
          <a:xfrm flipV="1">
            <a:off x="5238" y="4632"/>
            <a:ext cx="0" cy="855"/>
          </a:xfrm>
          <a:prstGeom prst="line">
            <a:avLst/>
          </a:prstGeom>
          <a:noFill/>
          <a:ln w="19050">
            <a:solidFill>
              <a:srgbClr val="000000"/>
            </a:solidFill>
            <a:round/>
            <a:headEnd/>
            <a:tailEnd/>
          </a:ln>
        </xdr:spPr>
      </xdr:sp>
      <xdr:sp macro="" textlink="">
        <xdr:nvSpPr>
          <xdr:cNvPr id="5942" name="Line 10825"/>
          <xdr:cNvSpPr>
            <a:spLocks noChangeShapeType="1"/>
          </xdr:cNvSpPr>
        </xdr:nvSpPr>
        <xdr:spPr bwMode="auto">
          <a:xfrm>
            <a:off x="5238" y="4632"/>
            <a:ext cx="1597" cy="0"/>
          </a:xfrm>
          <a:prstGeom prst="line">
            <a:avLst/>
          </a:prstGeom>
          <a:noFill/>
          <a:ln w="19050">
            <a:solidFill>
              <a:srgbClr val="000000"/>
            </a:solidFill>
            <a:round/>
            <a:headEnd/>
            <a:tailEnd/>
          </a:ln>
        </xdr:spPr>
      </xdr:sp>
      <xdr:sp macro="" textlink="">
        <xdr:nvSpPr>
          <xdr:cNvPr id="5943" name="Line 10826"/>
          <xdr:cNvSpPr>
            <a:spLocks noChangeShapeType="1"/>
          </xdr:cNvSpPr>
        </xdr:nvSpPr>
        <xdr:spPr bwMode="auto">
          <a:xfrm>
            <a:off x="5238" y="5487"/>
            <a:ext cx="342" cy="1"/>
          </a:xfrm>
          <a:prstGeom prst="line">
            <a:avLst/>
          </a:prstGeom>
          <a:noFill/>
          <a:ln w="19050">
            <a:solidFill>
              <a:srgbClr val="000000"/>
            </a:solidFill>
            <a:round/>
            <a:headEnd/>
            <a:tailEnd/>
          </a:ln>
        </xdr:spPr>
      </xdr:sp>
      <xdr:sp macro="" textlink="">
        <xdr:nvSpPr>
          <xdr:cNvPr id="5944" name="Line 10827"/>
          <xdr:cNvSpPr>
            <a:spLocks noChangeShapeType="1"/>
          </xdr:cNvSpPr>
        </xdr:nvSpPr>
        <xdr:spPr bwMode="auto">
          <a:xfrm flipH="1">
            <a:off x="5409" y="5487"/>
            <a:ext cx="172" cy="456"/>
          </a:xfrm>
          <a:prstGeom prst="line">
            <a:avLst/>
          </a:prstGeom>
          <a:noFill/>
          <a:ln w="19050">
            <a:solidFill>
              <a:srgbClr val="000000"/>
            </a:solidFill>
            <a:round/>
            <a:headEnd/>
            <a:tailEnd/>
          </a:ln>
        </xdr:spPr>
      </xdr:sp>
      <xdr:sp macro="" textlink="">
        <xdr:nvSpPr>
          <xdr:cNvPr id="5945" name="Line 10828"/>
          <xdr:cNvSpPr>
            <a:spLocks noChangeShapeType="1"/>
          </xdr:cNvSpPr>
        </xdr:nvSpPr>
        <xdr:spPr bwMode="auto">
          <a:xfrm flipV="1">
            <a:off x="5409" y="5487"/>
            <a:ext cx="627" cy="456"/>
          </a:xfrm>
          <a:prstGeom prst="line">
            <a:avLst/>
          </a:prstGeom>
          <a:noFill/>
          <a:ln w="19050">
            <a:solidFill>
              <a:srgbClr val="000000"/>
            </a:solidFill>
            <a:round/>
            <a:headEnd/>
            <a:tailEnd/>
          </a:ln>
        </xdr:spPr>
      </xdr:sp>
      <xdr:sp macro="" textlink="">
        <xdr:nvSpPr>
          <xdr:cNvPr id="5946" name="Line 10829"/>
          <xdr:cNvSpPr>
            <a:spLocks noChangeShapeType="1"/>
          </xdr:cNvSpPr>
        </xdr:nvSpPr>
        <xdr:spPr bwMode="auto">
          <a:xfrm>
            <a:off x="6036" y="5487"/>
            <a:ext cx="799" cy="1"/>
          </a:xfrm>
          <a:prstGeom prst="line">
            <a:avLst/>
          </a:prstGeom>
          <a:noFill/>
          <a:ln w="19050">
            <a:solidFill>
              <a:srgbClr val="000000"/>
            </a:solidFill>
            <a:round/>
            <a:headEnd/>
            <a:tailEnd/>
          </a:ln>
        </xdr:spPr>
      </xdr:sp>
      <xdr:sp macro="" textlink="">
        <xdr:nvSpPr>
          <xdr:cNvPr id="5947" name="Line 10830"/>
          <xdr:cNvSpPr>
            <a:spLocks noChangeShapeType="1"/>
          </xdr:cNvSpPr>
        </xdr:nvSpPr>
        <xdr:spPr bwMode="auto">
          <a:xfrm>
            <a:off x="6835" y="4632"/>
            <a:ext cx="0" cy="856"/>
          </a:xfrm>
          <a:prstGeom prst="line">
            <a:avLst/>
          </a:prstGeom>
          <a:noFill/>
          <a:ln w="19050">
            <a:solidFill>
              <a:srgbClr val="000000"/>
            </a:solidFill>
            <a:round/>
            <a:headEnd/>
            <a:tailEnd/>
          </a:ln>
        </xdr:spPr>
      </xdr:sp>
    </xdr:grpSp>
    <xdr:clientData/>
  </xdr:twoCellAnchor>
  <xdr:twoCellAnchor>
    <xdr:from>
      <xdr:col>0</xdr:col>
      <xdr:colOff>60960</xdr:colOff>
      <xdr:row>24</xdr:row>
      <xdr:rowOff>45720</xdr:rowOff>
    </xdr:from>
    <xdr:to>
      <xdr:col>11</xdr:col>
      <xdr:colOff>68580</xdr:colOff>
      <xdr:row>25</xdr:row>
      <xdr:rowOff>0</xdr:rowOff>
    </xdr:to>
    <xdr:pic>
      <xdr:nvPicPr>
        <xdr:cNvPr id="6068" name="Picture 11085" descr="newbreeamtop1"/>
        <xdr:cNvPicPr>
          <a:picLocks noChangeAspect="1" noChangeArrowheads="1"/>
        </xdr:cNvPicPr>
      </xdr:nvPicPr>
      <xdr:blipFill>
        <a:blip xmlns:r="http://schemas.openxmlformats.org/officeDocument/2006/relationships" r:embed="rId2" cstate="print"/>
        <a:srcRect/>
        <a:stretch>
          <a:fillRect/>
        </a:stretch>
      </xdr:blipFill>
      <xdr:spPr bwMode="auto">
        <a:xfrm>
          <a:off x="60960" y="4069080"/>
          <a:ext cx="7505700" cy="121920"/>
        </a:xfrm>
        <a:prstGeom prst="rect">
          <a:avLst/>
        </a:prstGeom>
        <a:noFill/>
        <a:ln w="9525">
          <a:noFill/>
          <a:miter lim="800000"/>
          <a:headEnd/>
          <a:tailEnd/>
        </a:ln>
      </xdr:spPr>
    </xdr:pic>
    <xdr:clientData/>
  </xdr:twoCellAnchor>
  <xdr:twoCellAnchor>
    <xdr:from>
      <xdr:col>13</xdr:col>
      <xdr:colOff>114300</xdr:colOff>
      <xdr:row>57</xdr:row>
      <xdr:rowOff>7620</xdr:rowOff>
    </xdr:from>
    <xdr:to>
      <xdr:col>13</xdr:col>
      <xdr:colOff>518160</xdr:colOff>
      <xdr:row>59</xdr:row>
      <xdr:rowOff>114300</xdr:rowOff>
    </xdr:to>
    <xdr:grpSp>
      <xdr:nvGrpSpPr>
        <xdr:cNvPr id="6069" name="Group 6733"/>
        <xdr:cNvGrpSpPr>
          <a:grpSpLocks/>
        </xdr:cNvGrpSpPr>
      </xdr:nvGrpSpPr>
      <xdr:grpSpPr bwMode="auto">
        <a:xfrm>
          <a:off x="11511643" y="8618220"/>
          <a:ext cx="403860" cy="411480"/>
          <a:chOff x="971" y="1233"/>
          <a:chExt cx="41" cy="43"/>
        </a:xfrm>
      </xdr:grpSpPr>
      <xdr:sp macro="" textlink="">
        <xdr:nvSpPr>
          <xdr:cNvPr id="6070" name="Rectangle 6734"/>
          <xdr:cNvSpPr>
            <a:spLocks noChangeArrowheads="1"/>
          </xdr:cNvSpPr>
        </xdr:nvSpPr>
        <xdr:spPr bwMode="auto">
          <a:xfrm>
            <a:off x="971" y="1233"/>
            <a:ext cx="41" cy="43"/>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pic>
        <xdr:nvPicPr>
          <xdr:cNvPr id="6071" name="Picture 6735"/>
          <xdr:cNvPicPr>
            <a:picLocks noChangeAspect="1" noChangeArrowheads="1"/>
          </xdr:cNvPicPr>
        </xdr:nvPicPr>
        <xdr:blipFill>
          <a:blip xmlns:r="http://schemas.openxmlformats.org/officeDocument/2006/relationships" r:embed="rId1" cstate="print"/>
          <a:srcRect/>
          <a:stretch>
            <a:fillRect/>
          </a:stretch>
        </xdr:blipFill>
        <xdr:spPr bwMode="auto">
          <a:xfrm>
            <a:off x="978" y="1237"/>
            <a:ext cx="27" cy="37"/>
          </a:xfrm>
          <a:prstGeom prst="rect">
            <a:avLst/>
          </a:prstGeom>
          <a:noFill/>
          <a:ln w="9525">
            <a:noFill/>
            <a:miter lim="800000"/>
            <a:headEnd/>
            <a:tailEnd/>
          </a:ln>
        </xdr:spPr>
      </xdr:pic>
    </xdr:grpSp>
    <xdr:clientData/>
  </xdr:twoCellAnchor>
  <xdr:twoCellAnchor>
    <xdr:from>
      <xdr:col>4</xdr:col>
      <xdr:colOff>541020</xdr:colOff>
      <xdr:row>272</xdr:row>
      <xdr:rowOff>76200</xdr:rowOff>
    </xdr:from>
    <xdr:to>
      <xdr:col>4</xdr:col>
      <xdr:colOff>647700</xdr:colOff>
      <xdr:row>274</xdr:row>
      <xdr:rowOff>83820</xdr:rowOff>
    </xdr:to>
    <xdr:grpSp>
      <xdr:nvGrpSpPr>
        <xdr:cNvPr id="6090" name="Group 6589"/>
        <xdr:cNvGrpSpPr>
          <a:grpSpLocks/>
        </xdr:cNvGrpSpPr>
      </xdr:nvGrpSpPr>
      <xdr:grpSpPr bwMode="auto">
        <a:xfrm>
          <a:off x="5319849" y="39014400"/>
          <a:ext cx="106680" cy="388620"/>
          <a:chOff x="3771" y="1155"/>
          <a:chExt cx="4759" cy="14934"/>
        </a:xfrm>
      </xdr:grpSpPr>
      <xdr:sp macro="" textlink="">
        <xdr:nvSpPr>
          <xdr:cNvPr id="6091" name="Oval 6590"/>
          <xdr:cNvSpPr>
            <a:spLocks noChangeArrowheads="1"/>
          </xdr:cNvSpPr>
        </xdr:nvSpPr>
        <xdr:spPr bwMode="auto">
          <a:xfrm>
            <a:off x="4643" y="1155"/>
            <a:ext cx="2999" cy="3003"/>
          </a:xfrm>
          <a:prstGeom prst="ellipse">
            <a:avLst/>
          </a:prstGeom>
          <a:solidFill>
            <a:srgbClr val="FFFFFF"/>
          </a:solidFill>
          <a:ln w="9525" algn="ctr">
            <a:solidFill>
              <a:srgbClr val="FF0000"/>
            </a:solidFill>
            <a:round/>
            <a:headEnd/>
            <a:tailEnd/>
          </a:ln>
        </xdr:spPr>
      </xdr:sp>
      <xdr:sp macro="" textlink="">
        <xdr:nvSpPr>
          <xdr:cNvPr id="6092" name="Arc 6591"/>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6093" name="Arc 6592"/>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6094" name="Line 6593"/>
          <xdr:cNvSpPr>
            <a:spLocks noChangeShapeType="1"/>
          </xdr:cNvSpPr>
        </xdr:nvSpPr>
        <xdr:spPr bwMode="auto">
          <a:xfrm>
            <a:off x="3771" y="6471"/>
            <a:ext cx="0" cy="3793"/>
          </a:xfrm>
          <a:prstGeom prst="line">
            <a:avLst/>
          </a:prstGeom>
          <a:noFill/>
          <a:ln w="9525">
            <a:solidFill>
              <a:srgbClr val="FF0000"/>
            </a:solidFill>
            <a:round/>
            <a:headEnd/>
            <a:tailEnd/>
          </a:ln>
        </xdr:spPr>
      </xdr:sp>
      <xdr:sp macro="" textlink="">
        <xdr:nvSpPr>
          <xdr:cNvPr id="6095" name="Line 6594"/>
          <xdr:cNvSpPr>
            <a:spLocks noChangeShapeType="1"/>
          </xdr:cNvSpPr>
        </xdr:nvSpPr>
        <xdr:spPr bwMode="auto">
          <a:xfrm>
            <a:off x="3771" y="10264"/>
            <a:ext cx="861" cy="4"/>
          </a:xfrm>
          <a:prstGeom prst="line">
            <a:avLst/>
          </a:prstGeom>
          <a:noFill/>
          <a:ln w="9525">
            <a:solidFill>
              <a:srgbClr val="FF0000"/>
            </a:solidFill>
            <a:round/>
            <a:headEnd/>
            <a:tailEnd/>
          </a:ln>
        </xdr:spPr>
      </xdr:sp>
      <xdr:sp macro="" textlink="">
        <xdr:nvSpPr>
          <xdr:cNvPr id="6096" name="Line 6595"/>
          <xdr:cNvSpPr>
            <a:spLocks noChangeShapeType="1"/>
          </xdr:cNvSpPr>
        </xdr:nvSpPr>
        <xdr:spPr bwMode="auto">
          <a:xfrm flipV="1">
            <a:off x="4632" y="6384"/>
            <a:ext cx="4" cy="3880"/>
          </a:xfrm>
          <a:prstGeom prst="line">
            <a:avLst/>
          </a:prstGeom>
          <a:noFill/>
          <a:ln w="9525">
            <a:solidFill>
              <a:srgbClr val="FF0000"/>
            </a:solidFill>
            <a:round/>
            <a:headEnd/>
            <a:tailEnd/>
          </a:ln>
        </xdr:spPr>
      </xdr:sp>
      <xdr:sp macro="" textlink="">
        <xdr:nvSpPr>
          <xdr:cNvPr id="6097" name="Line 6596"/>
          <xdr:cNvSpPr>
            <a:spLocks noChangeShapeType="1"/>
          </xdr:cNvSpPr>
        </xdr:nvSpPr>
        <xdr:spPr bwMode="auto">
          <a:xfrm>
            <a:off x="4636" y="6384"/>
            <a:ext cx="211" cy="0"/>
          </a:xfrm>
          <a:prstGeom prst="line">
            <a:avLst/>
          </a:prstGeom>
          <a:noFill/>
          <a:ln w="9525">
            <a:solidFill>
              <a:srgbClr val="FF0000"/>
            </a:solidFill>
            <a:round/>
            <a:headEnd/>
            <a:tailEnd/>
          </a:ln>
        </xdr:spPr>
      </xdr:sp>
      <xdr:sp macro="" textlink="">
        <xdr:nvSpPr>
          <xdr:cNvPr id="6098" name="Line 6597"/>
          <xdr:cNvSpPr>
            <a:spLocks noChangeShapeType="1"/>
          </xdr:cNvSpPr>
        </xdr:nvSpPr>
        <xdr:spPr bwMode="auto">
          <a:xfrm>
            <a:off x="4847" y="6384"/>
            <a:ext cx="0" cy="9701"/>
          </a:xfrm>
          <a:prstGeom prst="line">
            <a:avLst/>
          </a:prstGeom>
          <a:noFill/>
          <a:ln w="9525">
            <a:solidFill>
              <a:srgbClr val="FF0000"/>
            </a:solidFill>
            <a:round/>
            <a:headEnd/>
            <a:tailEnd/>
          </a:ln>
        </xdr:spPr>
      </xdr:sp>
      <xdr:sp macro="" textlink="">
        <xdr:nvSpPr>
          <xdr:cNvPr id="6099" name="Line 6598"/>
          <xdr:cNvSpPr>
            <a:spLocks noChangeShapeType="1"/>
          </xdr:cNvSpPr>
        </xdr:nvSpPr>
        <xdr:spPr bwMode="auto">
          <a:xfrm>
            <a:off x="4847" y="16085"/>
            <a:ext cx="1077" cy="0"/>
          </a:xfrm>
          <a:prstGeom prst="line">
            <a:avLst/>
          </a:prstGeom>
          <a:noFill/>
          <a:ln w="9525">
            <a:solidFill>
              <a:srgbClr val="FF0000"/>
            </a:solidFill>
            <a:round/>
            <a:headEnd/>
            <a:tailEnd/>
          </a:ln>
        </xdr:spPr>
      </xdr:sp>
      <xdr:sp macro="" textlink="">
        <xdr:nvSpPr>
          <xdr:cNvPr id="6100" name="Line 6599"/>
          <xdr:cNvSpPr>
            <a:spLocks noChangeShapeType="1"/>
          </xdr:cNvSpPr>
        </xdr:nvSpPr>
        <xdr:spPr bwMode="auto">
          <a:xfrm flipV="1">
            <a:off x="5924" y="10696"/>
            <a:ext cx="0" cy="5389"/>
          </a:xfrm>
          <a:prstGeom prst="line">
            <a:avLst/>
          </a:prstGeom>
          <a:noFill/>
          <a:ln w="9525">
            <a:solidFill>
              <a:srgbClr val="FF0000"/>
            </a:solidFill>
            <a:round/>
            <a:headEnd/>
            <a:tailEnd/>
          </a:ln>
        </xdr:spPr>
      </xdr:sp>
      <xdr:sp macro="" textlink="">
        <xdr:nvSpPr>
          <xdr:cNvPr id="6101" name="Line 6600"/>
          <xdr:cNvSpPr>
            <a:spLocks noChangeShapeType="1"/>
          </xdr:cNvSpPr>
        </xdr:nvSpPr>
        <xdr:spPr bwMode="auto">
          <a:xfrm>
            <a:off x="5924" y="10696"/>
            <a:ext cx="430" cy="3"/>
          </a:xfrm>
          <a:prstGeom prst="line">
            <a:avLst/>
          </a:prstGeom>
          <a:noFill/>
          <a:ln w="9525">
            <a:solidFill>
              <a:srgbClr val="FF0000"/>
            </a:solidFill>
            <a:round/>
            <a:headEnd/>
            <a:tailEnd/>
          </a:ln>
        </xdr:spPr>
      </xdr:sp>
      <xdr:sp macro="" textlink="">
        <xdr:nvSpPr>
          <xdr:cNvPr id="6102" name="Line 6601"/>
          <xdr:cNvSpPr>
            <a:spLocks noChangeShapeType="1"/>
          </xdr:cNvSpPr>
        </xdr:nvSpPr>
        <xdr:spPr bwMode="auto">
          <a:xfrm flipV="1">
            <a:off x="6354" y="10696"/>
            <a:ext cx="4" cy="5389"/>
          </a:xfrm>
          <a:prstGeom prst="line">
            <a:avLst/>
          </a:prstGeom>
          <a:noFill/>
          <a:ln w="9525">
            <a:solidFill>
              <a:srgbClr val="FF0000"/>
            </a:solidFill>
            <a:round/>
            <a:headEnd/>
            <a:tailEnd/>
          </a:ln>
        </xdr:spPr>
      </xdr:sp>
      <xdr:sp macro="" textlink="">
        <xdr:nvSpPr>
          <xdr:cNvPr id="6103" name="Line 6602"/>
          <xdr:cNvSpPr>
            <a:spLocks noChangeShapeType="1"/>
          </xdr:cNvSpPr>
        </xdr:nvSpPr>
        <xdr:spPr bwMode="auto">
          <a:xfrm>
            <a:off x="6354" y="16085"/>
            <a:ext cx="1077" cy="4"/>
          </a:xfrm>
          <a:prstGeom prst="line">
            <a:avLst/>
          </a:prstGeom>
          <a:noFill/>
          <a:ln w="9525">
            <a:solidFill>
              <a:srgbClr val="FF0000"/>
            </a:solidFill>
            <a:round/>
            <a:headEnd/>
            <a:tailEnd/>
          </a:ln>
        </xdr:spPr>
      </xdr:sp>
      <xdr:sp macro="" textlink="">
        <xdr:nvSpPr>
          <xdr:cNvPr id="6104" name="Line 6603"/>
          <xdr:cNvSpPr>
            <a:spLocks noChangeShapeType="1"/>
          </xdr:cNvSpPr>
        </xdr:nvSpPr>
        <xdr:spPr bwMode="auto">
          <a:xfrm flipV="1">
            <a:off x="7431" y="6384"/>
            <a:ext cx="0" cy="9701"/>
          </a:xfrm>
          <a:prstGeom prst="line">
            <a:avLst/>
          </a:prstGeom>
          <a:noFill/>
          <a:ln w="9525">
            <a:solidFill>
              <a:srgbClr val="FF0000"/>
            </a:solidFill>
            <a:round/>
            <a:headEnd/>
            <a:tailEnd/>
          </a:ln>
        </xdr:spPr>
      </xdr:sp>
      <xdr:sp macro="" textlink="">
        <xdr:nvSpPr>
          <xdr:cNvPr id="6105" name="Line 6604"/>
          <xdr:cNvSpPr>
            <a:spLocks noChangeShapeType="1"/>
          </xdr:cNvSpPr>
        </xdr:nvSpPr>
        <xdr:spPr bwMode="auto">
          <a:xfrm>
            <a:off x="7431" y="6384"/>
            <a:ext cx="211" cy="4"/>
          </a:xfrm>
          <a:prstGeom prst="line">
            <a:avLst/>
          </a:prstGeom>
          <a:noFill/>
          <a:ln w="9525">
            <a:solidFill>
              <a:srgbClr val="FF0000"/>
            </a:solidFill>
            <a:round/>
            <a:headEnd/>
            <a:tailEnd/>
          </a:ln>
        </xdr:spPr>
      </xdr:sp>
      <xdr:sp macro="" textlink="">
        <xdr:nvSpPr>
          <xdr:cNvPr id="6106" name="Line 6605"/>
          <xdr:cNvSpPr>
            <a:spLocks noChangeShapeType="1"/>
          </xdr:cNvSpPr>
        </xdr:nvSpPr>
        <xdr:spPr bwMode="auto">
          <a:xfrm>
            <a:off x="7665" y="6380"/>
            <a:ext cx="4" cy="3881"/>
          </a:xfrm>
          <a:prstGeom prst="line">
            <a:avLst/>
          </a:prstGeom>
          <a:noFill/>
          <a:ln w="9525">
            <a:solidFill>
              <a:srgbClr val="FF0000"/>
            </a:solidFill>
            <a:round/>
            <a:headEnd/>
            <a:tailEnd/>
          </a:ln>
        </xdr:spPr>
      </xdr:sp>
      <xdr:sp macro="" textlink="">
        <xdr:nvSpPr>
          <xdr:cNvPr id="6107" name="Line 6606"/>
          <xdr:cNvSpPr>
            <a:spLocks noChangeShapeType="1"/>
          </xdr:cNvSpPr>
        </xdr:nvSpPr>
        <xdr:spPr bwMode="auto">
          <a:xfrm>
            <a:off x="7665" y="10261"/>
            <a:ext cx="861" cy="3"/>
          </a:xfrm>
          <a:prstGeom prst="line">
            <a:avLst/>
          </a:prstGeom>
          <a:noFill/>
          <a:ln w="9525">
            <a:solidFill>
              <a:srgbClr val="FF0000"/>
            </a:solidFill>
            <a:round/>
            <a:headEnd/>
            <a:tailEnd/>
          </a:ln>
        </xdr:spPr>
      </xdr:sp>
      <xdr:sp macro="" textlink="">
        <xdr:nvSpPr>
          <xdr:cNvPr id="6108" name="Line 6607"/>
          <xdr:cNvSpPr>
            <a:spLocks noChangeShapeType="1"/>
          </xdr:cNvSpPr>
        </xdr:nvSpPr>
        <xdr:spPr bwMode="auto">
          <a:xfrm flipV="1">
            <a:off x="8526" y="6475"/>
            <a:ext cx="4" cy="3786"/>
          </a:xfrm>
          <a:prstGeom prst="line">
            <a:avLst/>
          </a:prstGeom>
          <a:noFill/>
          <a:ln w="9525">
            <a:solidFill>
              <a:srgbClr val="FF0000"/>
            </a:solidFill>
            <a:round/>
            <a:headEnd/>
            <a:tailEnd/>
          </a:ln>
        </xdr:spPr>
      </xdr:sp>
      <xdr:sp macro="" textlink="">
        <xdr:nvSpPr>
          <xdr:cNvPr id="6109" name="Line 6608"/>
          <xdr:cNvSpPr>
            <a:spLocks noChangeShapeType="1"/>
          </xdr:cNvSpPr>
        </xdr:nvSpPr>
        <xdr:spPr bwMode="auto">
          <a:xfrm flipH="1">
            <a:off x="5807" y="4432"/>
            <a:ext cx="683" cy="0"/>
          </a:xfrm>
          <a:prstGeom prst="line">
            <a:avLst/>
          </a:prstGeom>
          <a:noFill/>
          <a:ln w="9525">
            <a:solidFill>
              <a:srgbClr val="FF0000"/>
            </a:solidFill>
            <a:round/>
            <a:headEnd/>
            <a:tailEnd/>
          </a:ln>
        </xdr:spPr>
      </xdr:sp>
    </xdr:grpSp>
    <xdr:clientData/>
  </xdr:twoCellAnchor>
  <xdr:twoCellAnchor>
    <xdr:from>
      <xdr:col>4</xdr:col>
      <xdr:colOff>838200</xdr:colOff>
      <xdr:row>272</xdr:row>
      <xdr:rowOff>60960</xdr:rowOff>
    </xdr:from>
    <xdr:to>
      <xdr:col>4</xdr:col>
      <xdr:colOff>975360</xdr:colOff>
      <xdr:row>274</xdr:row>
      <xdr:rowOff>83820</xdr:rowOff>
    </xdr:to>
    <xdr:grpSp>
      <xdr:nvGrpSpPr>
        <xdr:cNvPr id="6110" name="Group 6609"/>
        <xdr:cNvGrpSpPr>
          <a:grpSpLocks/>
        </xdr:cNvGrpSpPr>
      </xdr:nvGrpSpPr>
      <xdr:grpSpPr bwMode="auto">
        <a:xfrm>
          <a:off x="5617029" y="38999160"/>
          <a:ext cx="137160" cy="403860"/>
          <a:chOff x="1857" y="2993"/>
          <a:chExt cx="4178" cy="10157"/>
        </a:xfrm>
      </xdr:grpSpPr>
      <xdr:grpSp>
        <xdr:nvGrpSpPr>
          <xdr:cNvPr id="6111" name="Group 6610"/>
          <xdr:cNvGrpSpPr>
            <a:grpSpLocks/>
          </xdr:cNvGrpSpPr>
        </xdr:nvGrpSpPr>
        <xdr:grpSpPr bwMode="auto">
          <a:xfrm rot="1441604">
            <a:off x="4764" y="2993"/>
            <a:ext cx="570" cy="2736"/>
            <a:chOff x="4251" y="2947"/>
            <a:chExt cx="570" cy="2736"/>
          </a:xfrm>
        </xdr:grpSpPr>
        <xdr:sp macro="" textlink="">
          <xdr:nvSpPr>
            <xdr:cNvPr id="6123" name="Line 6611"/>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6124" name="Line 6612"/>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6125" name="Line 6613"/>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6126" name="Line 6614"/>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6112" name="Group 6615"/>
          <xdr:cNvGrpSpPr>
            <a:grpSpLocks/>
          </xdr:cNvGrpSpPr>
        </xdr:nvGrpSpPr>
        <xdr:grpSpPr bwMode="auto">
          <a:xfrm rot="8464448">
            <a:off x="5468" y="5524"/>
            <a:ext cx="569" cy="2733"/>
            <a:chOff x="4677" y="4047"/>
            <a:chExt cx="495" cy="2386"/>
          </a:xfrm>
        </xdr:grpSpPr>
        <xdr:sp macro="" textlink="">
          <xdr:nvSpPr>
            <xdr:cNvPr id="6119" name="Line 6616"/>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6120" name="Line 6617"/>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6121" name="Line 6618"/>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6122" name="Line 6619"/>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6113" name="Group 6620"/>
          <xdr:cNvGrpSpPr>
            <a:grpSpLocks/>
          </xdr:cNvGrpSpPr>
        </xdr:nvGrpSpPr>
        <xdr:grpSpPr bwMode="auto">
          <a:xfrm rot="-5905833">
            <a:off x="2936" y="4830"/>
            <a:ext cx="571" cy="2733"/>
            <a:chOff x="4677" y="4047"/>
            <a:chExt cx="495" cy="2386"/>
          </a:xfrm>
        </xdr:grpSpPr>
        <xdr:sp macro="" textlink="">
          <xdr:nvSpPr>
            <xdr:cNvPr id="6115" name="Line 6621"/>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6116" name="Line 6622"/>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6117" name="Line 6623"/>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6118" name="Line 6624"/>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6114" name="AutoShape 6625"/>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106680</xdr:colOff>
      <xdr:row>272</xdr:row>
      <xdr:rowOff>76200</xdr:rowOff>
    </xdr:from>
    <xdr:to>
      <xdr:col>4</xdr:col>
      <xdr:colOff>342900</xdr:colOff>
      <xdr:row>274</xdr:row>
      <xdr:rowOff>83820</xdr:rowOff>
    </xdr:to>
    <xdr:grpSp>
      <xdr:nvGrpSpPr>
        <xdr:cNvPr id="6127" name="Group 6626"/>
        <xdr:cNvGrpSpPr>
          <a:grpSpLocks/>
        </xdr:cNvGrpSpPr>
      </xdr:nvGrpSpPr>
      <xdr:grpSpPr bwMode="auto">
        <a:xfrm>
          <a:off x="4885509" y="39014400"/>
          <a:ext cx="236220" cy="388620"/>
          <a:chOff x="5163" y="2548"/>
          <a:chExt cx="2109" cy="2909"/>
        </a:xfrm>
      </xdr:grpSpPr>
      <xdr:sp macro="" textlink="">
        <xdr:nvSpPr>
          <xdr:cNvPr id="6128" name="Rectangle 6627"/>
          <xdr:cNvSpPr>
            <a:spLocks noChangeArrowheads="1"/>
          </xdr:cNvSpPr>
        </xdr:nvSpPr>
        <xdr:spPr bwMode="auto">
          <a:xfrm>
            <a:off x="5163" y="2548"/>
            <a:ext cx="1938" cy="2736"/>
          </a:xfrm>
          <a:prstGeom prst="rect">
            <a:avLst/>
          </a:prstGeom>
          <a:solidFill>
            <a:srgbClr val="FFFFFF"/>
          </a:solidFill>
          <a:ln w="9525" algn="ctr">
            <a:solidFill>
              <a:srgbClr val="FF0000"/>
            </a:solidFill>
            <a:miter lim="800000"/>
            <a:headEnd/>
            <a:tailEnd/>
          </a:ln>
        </xdr:spPr>
      </xdr:sp>
      <xdr:sp macro="" textlink="">
        <xdr:nvSpPr>
          <xdr:cNvPr id="6129" name="Line 6628"/>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6130" name="Line 6629"/>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6131" name="Line 6630"/>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6132" name="Line 6631"/>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6133" name="Line 6632"/>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6134" name="Line 6633"/>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6135" name="Line 6634"/>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6136" name="Line 6635"/>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6137" name="Line 6636"/>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6138" name="Line 6637"/>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6139" name="Line 6638"/>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6140" name="Line 6639"/>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6141" name="Line 6640"/>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1173480</xdr:colOff>
      <xdr:row>272</xdr:row>
      <xdr:rowOff>114300</xdr:rowOff>
    </xdr:from>
    <xdr:to>
      <xdr:col>4</xdr:col>
      <xdr:colOff>1478280</xdr:colOff>
      <xdr:row>274</xdr:row>
      <xdr:rowOff>121920</xdr:rowOff>
    </xdr:to>
    <xdr:grpSp>
      <xdr:nvGrpSpPr>
        <xdr:cNvPr id="6142" name="Group 6641"/>
        <xdr:cNvGrpSpPr>
          <a:grpSpLocks/>
        </xdr:cNvGrpSpPr>
      </xdr:nvGrpSpPr>
      <xdr:grpSpPr bwMode="auto">
        <a:xfrm>
          <a:off x="5952309" y="39052500"/>
          <a:ext cx="304800" cy="388620"/>
          <a:chOff x="5238" y="4632"/>
          <a:chExt cx="1597" cy="1311"/>
        </a:xfrm>
      </xdr:grpSpPr>
      <xdr:sp macro="" textlink="">
        <xdr:nvSpPr>
          <xdr:cNvPr id="6143" name="Line 6642"/>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6144" name="Line 6643"/>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6145" name="Line 6644"/>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6146" name="Line 6645"/>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6147" name="Line 6646"/>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6148" name="Line 6647"/>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6149" name="Line 6648"/>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13</xdr:col>
      <xdr:colOff>114300</xdr:colOff>
      <xdr:row>272</xdr:row>
      <xdr:rowOff>28575</xdr:rowOff>
    </xdr:from>
    <xdr:to>
      <xdr:col>13</xdr:col>
      <xdr:colOff>520140</xdr:colOff>
      <xdr:row>274</xdr:row>
      <xdr:rowOff>133350</xdr:rowOff>
    </xdr:to>
    <xdr:sp macro="" textlink="">
      <xdr:nvSpPr>
        <xdr:cNvPr id="6150" name="Rectangle 6587"/>
        <xdr:cNvSpPr>
          <a:spLocks noChangeArrowheads="1"/>
        </xdr:cNvSpPr>
      </xdr:nvSpPr>
      <xdr:spPr bwMode="auto">
        <a:xfrm>
          <a:off x="11231336" y="34536289"/>
          <a:ext cx="405840" cy="431347"/>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clientData/>
  </xdr:twoCellAnchor>
  <xdr:twoCellAnchor>
    <xdr:from>
      <xdr:col>13</xdr:col>
      <xdr:colOff>182880</xdr:colOff>
      <xdr:row>272</xdr:row>
      <xdr:rowOff>68580</xdr:rowOff>
    </xdr:from>
    <xdr:to>
      <xdr:col>13</xdr:col>
      <xdr:colOff>449580</xdr:colOff>
      <xdr:row>274</xdr:row>
      <xdr:rowOff>114300</xdr:rowOff>
    </xdr:to>
    <xdr:pic>
      <xdr:nvPicPr>
        <xdr:cNvPr id="6151" name="Picture 6588"/>
        <xdr:cNvPicPr>
          <a:picLocks noChangeAspect="1" noChangeArrowheads="1"/>
        </xdr:cNvPicPr>
      </xdr:nvPicPr>
      <xdr:blipFill>
        <a:blip xmlns:r="http://schemas.openxmlformats.org/officeDocument/2006/relationships" r:embed="rId1" cstate="print"/>
        <a:srcRect/>
        <a:stretch>
          <a:fillRect/>
        </a:stretch>
      </xdr:blipFill>
      <xdr:spPr bwMode="auto">
        <a:xfrm>
          <a:off x="11299916" y="34576294"/>
          <a:ext cx="266700" cy="372292"/>
        </a:xfrm>
        <a:prstGeom prst="rect">
          <a:avLst/>
        </a:prstGeom>
        <a:noFill/>
        <a:ln w="9525">
          <a:noFill/>
          <a:miter lim="800000"/>
          <a:headEnd/>
          <a:tailEnd/>
        </a:ln>
      </xdr:spPr>
    </xdr:pic>
    <xdr:clientData/>
  </xdr:twoCellAnchor>
  <xdr:twoCellAnchor>
    <xdr:from>
      <xdr:col>20</xdr:col>
      <xdr:colOff>244929</xdr:colOff>
      <xdr:row>24</xdr:row>
      <xdr:rowOff>95249</xdr:rowOff>
    </xdr:from>
    <xdr:to>
      <xdr:col>21</xdr:col>
      <xdr:colOff>190500</xdr:colOff>
      <xdr:row>25</xdr:row>
      <xdr:rowOff>68035</xdr:rowOff>
    </xdr:to>
    <xdr:sp macro="" textlink="">
      <xdr:nvSpPr>
        <xdr:cNvPr id="4122" name="Rektangel 4121"/>
        <xdr:cNvSpPr/>
      </xdr:nvSpPr>
      <xdr:spPr>
        <a:xfrm>
          <a:off x="17784536" y="95249"/>
          <a:ext cx="938893" cy="979715"/>
        </a:xfrm>
        <a:prstGeom prst="rect">
          <a:avLst/>
        </a:prstGeom>
        <a:gradFill>
          <a:gsLst>
            <a:gs pos="0">
              <a:schemeClr val="accent1">
                <a:tint val="66000"/>
                <a:satMod val="160000"/>
                <a:alpha val="33000"/>
              </a:schemeClr>
            </a:gs>
            <a:gs pos="50000">
              <a:schemeClr val="accent1">
                <a:tint val="44500"/>
                <a:satMod val="160000"/>
              </a:schemeClr>
            </a:gs>
            <a:gs pos="100000">
              <a:schemeClr val="accent1">
                <a:tint val="23500"/>
                <a:satMod val="160000"/>
              </a:schemeClr>
            </a:gs>
          </a:gsLst>
          <a:lin ang="5400000" scaled="0"/>
        </a:gra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nb-NO" sz="1100">
              <a:solidFill>
                <a:srgbClr val="FF0000"/>
              </a:solidFill>
            </a:rPr>
            <a:t>BREEAM Desigfase</a:t>
          </a:r>
          <a:r>
            <a:rPr lang="nb-NO" sz="1100" baseline="0">
              <a:solidFill>
                <a:srgbClr val="FF0000"/>
              </a:solidFill>
            </a:rPr>
            <a:t> sertifikat</a:t>
          </a:r>
          <a:endParaRPr lang="nb-NO" sz="1100">
            <a:solidFill>
              <a:srgbClr val="FF0000"/>
            </a:solidFill>
          </a:endParaRPr>
        </a:p>
      </xdr:txBody>
    </xdr:sp>
    <xdr:clientData/>
  </xdr:twoCellAnchor>
  <xdr:twoCellAnchor>
    <xdr:from>
      <xdr:col>4</xdr:col>
      <xdr:colOff>523875</xdr:colOff>
      <xdr:row>138</xdr:row>
      <xdr:rowOff>76200</xdr:rowOff>
    </xdr:from>
    <xdr:to>
      <xdr:col>4</xdr:col>
      <xdr:colOff>628650</xdr:colOff>
      <xdr:row>140</xdr:row>
      <xdr:rowOff>85725</xdr:rowOff>
    </xdr:to>
    <xdr:grpSp>
      <xdr:nvGrpSpPr>
        <xdr:cNvPr id="4189" name="Group 6958"/>
        <xdr:cNvGrpSpPr>
          <a:grpSpLocks/>
        </xdr:cNvGrpSpPr>
      </xdr:nvGrpSpPr>
      <xdr:grpSpPr bwMode="auto">
        <a:xfrm>
          <a:off x="5302704" y="23012400"/>
          <a:ext cx="104775" cy="357868"/>
          <a:chOff x="3771" y="1155"/>
          <a:chExt cx="4759" cy="14934"/>
        </a:xfrm>
      </xdr:grpSpPr>
      <xdr:sp macro="" textlink="">
        <xdr:nvSpPr>
          <xdr:cNvPr id="4190" name="Oval 6959"/>
          <xdr:cNvSpPr>
            <a:spLocks noChangeArrowheads="1"/>
          </xdr:cNvSpPr>
        </xdr:nvSpPr>
        <xdr:spPr bwMode="auto">
          <a:xfrm>
            <a:off x="4643" y="1155"/>
            <a:ext cx="2999" cy="3003"/>
          </a:xfrm>
          <a:prstGeom prst="ellipse">
            <a:avLst/>
          </a:prstGeom>
          <a:solidFill>
            <a:srgbClr val="FFFFFF"/>
          </a:solidFill>
          <a:ln w="9525" algn="ctr">
            <a:solidFill>
              <a:srgbClr val="FF0000"/>
            </a:solidFill>
            <a:round/>
            <a:headEnd/>
            <a:tailEnd/>
          </a:ln>
        </xdr:spPr>
      </xdr:sp>
      <xdr:sp macro="" textlink="">
        <xdr:nvSpPr>
          <xdr:cNvPr id="4191" name="Arc 6960"/>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4192" name="Arc 6961"/>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FF0000"/>
            </a:solidFill>
            <a:round/>
            <a:headEnd/>
            <a:tailEnd/>
          </a:ln>
        </xdr:spPr>
      </xdr:sp>
      <xdr:sp macro="" textlink="">
        <xdr:nvSpPr>
          <xdr:cNvPr id="4193" name="Line 6962"/>
          <xdr:cNvSpPr>
            <a:spLocks noChangeShapeType="1"/>
          </xdr:cNvSpPr>
        </xdr:nvSpPr>
        <xdr:spPr bwMode="auto">
          <a:xfrm>
            <a:off x="3771" y="6471"/>
            <a:ext cx="0" cy="3793"/>
          </a:xfrm>
          <a:prstGeom prst="line">
            <a:avLst/>
          </a:prstGeom>
          <a:noFill/>
          <a:ln w="9525">
            <a:solidFill>
              <a:srgbClr val="FF0000"/>
            </a:solidFill>
            <a:round/>
            <a:headEnd/>
            <a:tailEnd/>
          </a:ln>
        </xdr:spPr>
      </xdr:sp>
      <xdr:sp macro="" textlink="">
        <xdr:nvSpPr>
          <xdr:cNvPr id="4194" name="Line 6963"/>
          <xdr:cNvSpPr>
            <a:spLocks noChangeShapeType="1"/>
          </xdr:cNvSpPr>
        </xdr:nvSpPr>
        <xdr:spPr bwMode="auto">
          <a:xfrm>
            <a:off x="3771" y="10264"/>
            <a:ext cx="861" cy="4"/>
          </a:xfrm>
          <a:prstGeom prst="line">
            <a:avLst/>
          </a:prstGeom>
          <a:noFill/>
          <a:ln w="9525">
            <a:solidFill>
              <a:srgbClr val="FF0000"/>
            </a:solidFill>
            <a:round/>
            <a:headEnd/>
            <a:tailEnd/>
          </a:ln>
        </xdr:spPr>
      </xdr:sp>
      <xdr:sp macro="" textlink="">
        <xdr:nvSpPr>
          <xdr:cNvPr id="4195" name="Line 6964"/>
          <xdr:cNvSpPr>
            <a:spLocks noChangeShapeType="1"/>
          </xdr:cNvSpPr>
        </xdr:nvSpPr>
        <xdr:spPr bwMode="auto">
          <a:xfrm flipV="1">
            <a:off x="4632" y="6384"/>
            <a:ext cx="4" cy="3880"/>
          </a:xfrm>
          <a:prstGeom prst="line">
            <a:avLst/>
          </a:prstGeom>
          <a:noFill/>
          <a:ln w="9525">
            <a:solidFill>
              <a:srgbClr val="FF0000"/>
            </a:solidFill>
            <a:round/>
            <a:headEnd/>
            <a:tailEnd/>
          </a:ln>
        </xdr:spPr>
      </xdr:sp>
      <xdr:sp macro="" textlink="">
        <xdr:nvSpPr>
          <xdr:cNvPr id="4196" name="Line 6965"/>
          <xdr:cNvSpPr>
            <a:spLocks noChangeShapeType="1"/>
          </xdr:cNvSpPr>
        </xdr:nvSpPr>
        <xdr:spPr bwMode="auto">
          <a:xfrm>
            <a:off x="4636" y="6384"/>
            <a:ext cx="211" cy="0"/>
          </a:xfrm>
          <a:prstGeom prst="line">
            <a:avLst/>
          </a:prstGeom>
          <a:noFill/>
          <a:ln w="9525">
            <a:solidFill>
              <a:srgbClr val="FF0000"/>
            </a:solidFill>
            <a:round/>
            <a:headEnd/>
            <a:tailEnd/>
          </a:ln>
        </xdr:spPr>
      </xdr:sp>
      <xdr:sp macro="" textlink="">
        <xdr:nvSpPr>
          <xdr:cNvPr id="4197" name="Line 6966"/>
          <xdr:cNvSpPr>
            <a:spLocks noChangeShapeType="1"/>
          </xdr:cNvSpPr>
        </xdr:nvSpPr>
        <xdr:spPr bwMode="auto">
          <a:xfrm>
            <a:off x="4847" y="6384"/>
            <a:ext cx="0" cy="9701"/>
          </a:xfrm>
          <a:prstGeom prst="line">
            <a:avLst/>
          </a:prstGeom>
          <a:noFill/>
          <a:ln w="9525">
            <a:solidFill>
              <a:srgbClr val="FF0000"/>
            </a:solidFill>
            <a:round/>
            <a:headEnd/>
            <a:tailEnd/>
          </a:ln>
        </xdr:spPr>
      </xdr:sp>
      <xdr:sp macro="" textlink="">
        <xdr:nvSpPr>
          <xdr:cNvPr id="4198" name="Line 6967"/>
          <xdr:cNvSpPr>
            <a:spLocks noChangeShapeType="1"/>
          </xdr:cNvSpPr>
        </xdr:nvSpPr>
        <xdr:spPr bwMode="auto">
          <a:xfrm>
            <a:off x="4847" y="16085"/>
            <a:ext cx="1077" cy="0"/>
          </a:xfrm>
          <a:prstGeom prst="line">
            <a:avLst/>
          </a:prstGeom>
          <a:noFill/>
          <a:ln w="9525">
            <a:solidFill>
              <a:srgbClr val="FF0000"/>
            </a:solidFill>
            <a:round/>
            <a:headEnd/>
            <a:tailEnd/>
          </a:ln>
        </xdr:spPr>
      </xdr:sp>
      <xdr:sp macro="" textlink="">
        <xdr:nvSpPr>
          <xdr:cNvPr id="4199" name="Line 6968"/>
          <xdr:cNvSpPr>
            <a:spLocks noChangeShapeType="1"/>
          </xdr:cNvSpPr>
        </xdr:nvSpPr>
        <xdr:spPr bwMode="auto">
          <a:xfrm flipV="1">
            <a:off x="5924" y="10696"/>
            <a:ext cx="0" cy="5389"/>
          </a:xfrm>
          <a:prstGeom prst="line">
            <a:avLst/>
          </a:prstGeom>
          <a:noFill/>
          <a:ln w="9525">
            <a:solidFill>
              <a:srgbClr val="FF0000"/>
            </a:solidFill>
            <a:round/>
            <a:headEnd/>
            <a:tailEnd/>
          </a:ln>
        </xdr:spPr>
      </xdr:sp>
      <xdr:sp macro="" textlink="">
        <xdr:nvSpPr>
          <xdr:cNvPr id="4200" name="Line 6969"/>
          <xdr:cNvSpPr>
            <a:spLocks noChangeShapeType="1"/>
          </xdr:cNvSpPr>
        </xdr:nvSpPr>
        <xdr:spPr bwMode="auto">
          <a:xfrm>
            <a:off x="5924" y="10696"/>
            <a:ext cx="430" cy="3"/>
          </a:xfrm>
          <a:prstGeom prst="line">
            <a:avLst/>
          </a:prstGeom>
          <a:noFill/>
          <a:ln w="9525">
            <a:solidFill>
              <a:srgbClr val="FF0000"/>
            </a:solidFill>
            <a:round/>
            <a:headEnd/>
            <a:tailEnd/>
          </a:ln>
        </xdr:spPr>
      </xdr:sp>
      <xdr:sp macro="" textlink="">
        <xdr:nvSpPr>
          <xdr:cNvPr id="4201" name="Line 6970"/>
          <xdr:cNvSpPr>
            <a:spLocks noChangeShapeType="1"/>
          </xdr:cNvSpPr>
        </xdr:nvSpPr>
        <xdr:spPr bwMode="auto">
          <a:xfrm flipV="1">
            <a:off x="6354" y="10696"/>
            <a:ext cx="4" cy="5389"/>
          </a:xfrm>
          <a:prstGeom prst="line">
            <a:avLst/>
          </a:prstGeom>
          <a:noFill/>
          <a:ln w="9525">
            <a:solidFill>
              <a:srgbClr val="FF0000"/>
            </a:solidFill>
            <a:round/>
            <a:headEnd/>
            <a:tailEnd/>
          </a:ln>
        </xdr:spPr>
      </xdr:sp>
      <xdr:sp macro="" textlink="">
        <xdr:nvSpPr>
          <xdr:cNvPr id="4202" name="Line 6971"/>
          <xdr:cNvSpPr>
            <a:spLocks noChangeShapeType="1"/>
          </xdr:cNvSpPr>
        </xdr:nvSpPr>
        <xdr:spPr bwMode="auto">
          <a:xfrm>
            <a:off x="6354" y="16085"/>
            <a:ext cx="1077" cy="4"/>
          </a:xfrm>
          <a:prstGeom prst="line">
            <a:avLst/>
          </a:prstGeom>
          <a:noFill/>
          <a:ln w="9525">
            <a:solidFill>
              <a:srgbClr val="FF0000"/>
            </a:solidFill>
            <a:round/>
            <a:headEnd/>
            <a:tailEnd/>
          </a:ln>
        </xdr:spPr>
      </xdr:sp>
      <xdr:sp macro="" textlink="">
        <xdr:nvSpPr>
          <xdr:cNvPr id="4203" name="Line 6972"/>
          <xdr:cNvSpPr>
            <a:spLocks noChangeShapeType="1"/>
          </xdr:cNvSpPr>
        </xdr:nvSpPr>
        <xdr:spPr bwMode="auto">
          <a:xfrm flipV="1">
            <a:off x="7431" y="6384"/>
            <a:ext cx="0" cy="9701"/>
          </a:xfrm>
          <a:prstGeom prst="line">
            <a:avLst/>
          </a:prstGeom>
          <a:noFill/>
          <a:ln w="9525">
            <a:solidFill>
              <a:srgbClr val="FF0000"/>
            </a:solidFill>
            <a:round/>
            <a:headEnd/>
            <a:tailEnd/>
          </a:ln>
        </xdr:spPr>
      </xdr:sp>
      <xdr:sp macro="" textlink="">
        <xdr:nvSpPr>
          <xdr:cNvPr id="4204" name="Line 6973"/>
          <xdr:cNvSpPr>
            <a:spLocks noChangeShapeType="1"/>
          </xdr:cNvSpPr>
        </xdr:nvSpPr>
        <xdr:spPr bwMode="auto">
          <a:xfrm>
            <a:off x="7431" y="6384"/>
            <a:ext cx="211" cy="4"/>
          </a:xfrm>
          <a:prstGeom prst="line">
            <a:avLst/>
          </a:prstGeom>
          <a:noFill/>
          <a:ln w="9525">
            <a:solidFill>
              <a:srgbClr val="FF0000"/>
            </a:solidFill>
            <a:round/>
            <a:headEnd/>
            <a:tailEnd/>
          </a:ln>
        </xdr:spPr>
      </xdr:sp>
      <xdr:sp macro="" textlink="">
        <xdr:nvSpPr>
          <xdr:cNvPr id="4205" name="Line 6974"/>
          <xdr:cNvSpPr>
            <a:spLocks noChangeShapeType="1"/>
          </xdr:cNvSpPr>
        </xdr:nvSpPr>
        <xdr:spPr bwMode="auto">
          <a:xfrm>
            <a:off x="7665" y="6380"/>
            <a:ext cx="4" cy="3881"/>
          </a:xfrm>
          <a:prstGeom prst="line">
            <a:avLst/>
          </a:prstGeom>
          <a:noFill/>
          <a:ln w="9525">
            <a:solidFill>
              <a:srgbClr val="FF0000"/>
            </a:solidFill>
            <a:round/>
            <a:headEnd/>
            <a:tailEnd/>
          </a:ln>
        </xdr:spPr>
      </xdr:sp>
      <xdr:sp macro="" textlink="">
        <xdr:nvSpPr>
          <xdr:cNvPr id="4206" name="Line 6975"/>
          <xdr:cNvSpPr>
            <a:spLocks noChangeShapeType="1"/>
          </xdr:cNvSpPr>
        </xdr:nvSpPr>
        <xdr:spPr bwMode="auto">
          <a:xfrm>
            <a:off x="7665" y="10261"/>
            <a:ext cx="861" cy="3"/>
          </a:xfrm>
          <a:prstGeom prst="line">
            <a:avLst/>
          </a:prstGeom>
          <a:noFill/>
          <a:ln w="9525">
            <a:solidFill>
              <a:srgbClr val="FF0000"/>
            </a:solidFill>
            <a:round/>
            <a:headEnd/>
            <a:tailEnd/>
          </a:ln>
        </xdr:spPr>
      </xdr:sp>
      <xdr:sp macro="" textlink="">
        <xdr:nvSpPr>
          <xdr:cNvPr id="4207" name="Line 6976"/>
          <xdr:cNvSpPr>
            <a:spLocks noChangeShapeType="1"/>
          </xdr:cNvSpPr>
        </xdr:nvSpPr>
        <xdr:spPr bwMode="auto">
          <a:xfrm flipV="1">
            <a:off x="8526" y="6475"/>
            <a:ext cx="4" cy="3786"/>
          </a:xfrm>
          <a:prstGeom prst="line">
            <a:avLst/>
          </a:prstGeom>
          <a:noFill/>
          <a:ln w="9525">
            <a:solidFill>
              <a:srgbClr val="FF0000"/>
            </a:solidFill>
            <a:round/>
            <a:headEnd/>
            <a:tailEnd/>
          </a:ln>
        </xdr:spPr>
      </xdr:sp>
      <xdr:sp macro="" textlink="">
        <xdr:nvSpPr>
          <xdr:cNvPr id="4208" name="Line 6977"/>
          <xdr:cNvSpPr>
            <a:spLocks noChangeShapeType="1"/>
          </xdr:cNvSpPr>
        </xdr:nvSpPr>
        <xdr:spPr bwMode="auto">
          <a:xfrm flipH="1">
            <a:off x="5807" y="4432"/>
            <a:ext cx="683" cy="0"/>
          </a:xfrm>
          <a:prstGeom prst="line">
            <a:avLst/>
          </a:prstGeom>
          <a:noFill/>
          <a:ln w="9525">
            <a:solidFill>
              <a:srgbClr val="FF0000"/>
            </a:solidFill>
            <a:round/>
            <a:headEnd/>
            <a:tailEnd/>
          </a:ln>
        </xdr:spPr>
      </xdr:sp>
    </xdr:grpSp>
    <xdr:clientData/>
  </xdr:twoCellAnchor>
  <xdr:twoCellAnchor>
    <xdr:from>
      <xdr:col>4</xdr:col>
      <xdr:colOff>819150</xdr:colOff>
      <xdr:row>138</xdr:row>
      <xdr:rowOff>57150</xdr:rowOff>
    </xdr:from>
    <xdr:to>
      <xdr:col>4</xdr:col>
      <xdr:colOff>952500</xdr:colOff>
      <xdr:row>140</xdr:row>
      <xdr:rowOff>85725</xdr:rowOff>
    </xdr:to>
    <xdr:grpSp>
      <xdr:nvGrpSpPr>
        <xdr:cNvPr id="4209" name="Group 6978"/>
        <xdr:cNvGrpSpPr>
          <a:grpSpLocks/>
        </xdr:cNvGrpSpPr>
      </xdr:nvGrpSpPr>
      <xdr:grpSpPr bwMode="auto">
        <a:xfrm>
          <a:off x="5597979" y="22993350"/>
          <a:ext cx="133350" cy="376918"/>
          <a:chOff x="1857" y="2993"/>
          <a:chExt cx="4178" cy="10157"/>
        </a:xfrm>
      </xdr:grpSpPr>
      <xdr:grpSp>
        <xdr:nvGrpSpPr>
          <xdr:cNvPr id="4210" name="Group 6979"/>
          <xdr:cNvGrpSpPr>
            <a:grpSpLocks/>
          </xdr:cNvGrpSpPr>
        </xdr:nvGrpSpPr>
        <xdr:grpSpPr bwMode="auto">
          <a:xfrm rot="1441604">
            <a:off x="4764" y="2993"/>
            <a:ext cx="570" cy="2736"/>
            <a:chOff x="4251" y="2947"/>
            <a:chExt cx="570" cy="2736"/>
          </a:xfrm>
        </xdr:grpSpPr>
        <xdr:sp macro="" textlink="">
          <xdr:nvSpPr>
            <xdr:cNvPr id="4222" name="Line 6980"/>
            <xdr:cNvSpPr>
              <a:spLocks noChangeShapeType="1"/>
            </xdr:cNvSpPr>
          </xdr:nvSpPr>
          <xdr:spPr bwMode="auto">
            <a:xfrm flipV="1">
              <a:off x="4251" y="2947"/>
              <a:ext cx="400" cy="1938"/>
            </a:xfrm>
            <a:prstGeom prst="line">
              <a:avLst/>
            </a:prstGeom>
            <a:noFill/>
            <a:ln w="9525">
              <a:solidFill>
                <a:srgbClr val="FF0000"/>
              </a:solidFill>
              <a:round/>
              <a:headEnd/>
              <a:tailEnd/>
            </a:ln>
          </xdr:spPr>
        </xdr:sp>
        <xdr:sp macro="" textlink="">
          <xdr:nvSpPr>
            <xdr:cNvPr id="4223" name="Line 6981"/>
            <xdr:cNvSpPr>
              <a:spLocks noChangeShapeType="1"/>
            </xdr:cNvSpPr>
          </xdr:nvSpPr>
          <xdr:spPr bwMode="auto">
            <a:xfrm>
              <a:off x="4651" y="2947"/>
              <a:ext cx="170" cy="0"/>
            </a:xfrm>
            <a:prstGeom prst="line">
              <a:avLst/>
            </a:prstGeom>
            <a:noFill/>
            <a:ln w="9525">
              <a:solidFill>
                <a:srgbClr val="FF0000"/>
              </a:solidFill>
              <a:round/>
              <a:headEnd/>
              <a:tailEnd/>
            </a:ln>
          </xdr:spPr>
        </xdr:sp>
        <xdr:sp macro="" textlink="">
          <xdr:nvSpPr>
            <xdr:cNvPr id="4224" name="Line 6982"/>
            <xdr:cNvSpPr>
              <a:spLocks noChangeShapeType="1"/>
            </xdr:cNvSpPr>
          </xdr:nvSpPr>
          <xdr:spPr bwMode="auto">
            <a:xfrm>
              <a:off x="4821" y="2947"/>
              <a:ext cx="0" cy="2678"/>
            </a:xfrm>
            <a:prstGeom prst="line">
              <a:avLst/>
            </a:prstGeom>
            <a:noFill/>
            <a:ln w="9525">
              <a:solidFill>
                <a:srgbClr val="FF0000"/>
              </a:solidFill>
              <a:round/>
              <a:headEnd/>
              <a:tailEnd/>
            </a:ln>
          </xdr:spPr>
        </xdr:sp>
        <xdr:sp macro="" textlink="">
          <xdr:nvSpPr>
            <xdr:cNvPr id="4225" name="Line 6983"/>
            <xdr:cNvSpPr>
              <a:spLocks noChangeShapeType="1"/>
            </xdr:cNvSpPr>
          </xdr:nvSpPr>
          <xdr:spPr bwMode="auto">
            <a:xfrm>
              <a:off x="4251" y="4885"/>
              <a:ext cx="400" cy="798"/>
            </a:xfrm>
            <a:prstGeom prst="line">
              <a:avLst/>
            </a:prstGeom>
            <a:noFill/>
            <a:ln w="9525">
              <a:solidFill>
                <a:srgbClr val="FF0000"/>
              </a:solidFill>
              <a:round/>
              <a:headEnd/>
              <a:tailEnd/>
            </a:ln>
          </xdr:spPr>
        </xdr:sp>
      </xdr:grpSp>
      <xdr:grpSp>
        <xdr:nvGrpSpPr>
          <xdr:cNvPr id="4211" name="Group 6984"/>
          <xdr:cNvGrpSpPr>
            <a:grpSpLocks/>
          </xdr:cNvGrpSpPr>
        </xdr:nvGrpSpPr>
        <xdr:grpSpPr bwMode="auto">
          <a:xfrm rot="8464448">
            <a:off x="5468" y="5524"/>
            <a:ext cx="569" cy="2733"/>
            <a:chOff x="4677" y="4047"/>
            <a:chExt cx="495" cy="2386"/>
          </a:xfrm>
        </xdr:grpSpPr>
        <xdr:sp macro="" textlink="">
          <xdr:nvSpPr>
            <xdr:cNvPr id="4218" name="Line 6985"/>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4219" name="Line 6986"/>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4220" name="Line 6987"/>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4221" name="Line 6988"/>
            <xdr:cNvSpPr>
              <a:spLocks noChangeShapeType="1"/>
            </xdr:cNvSpPr>
          </xdr:nvSpPr>
          <xdr:spPr bwMode="auto">
            <a:xfrm>
              <a:off x="4677" y="5737"/>
              <a:ext cx="347" cy="696"/>
            </a:xfrm>
            <a:prstGeom prst="line">
              <a:avLst/>
            </a:prstGeom>
            <a:noFill/>
            <a:ln w="9525">
              <a:solidFill>
                <a:srgbClr val="FF0000"/>
              </a:solidFill>
              <a:round/>
              <a:headEnd/>
              <a:tailEnd/>
            </a:ln>
          </xdr:spPr>
        </xdr:sp>
      </xdr:grpSp>
      <xdr:grpSp>
        <xdr:nvGrpSpPr>
          <xdr:cNvPr id="4212" name="Group 6989"/>
          <xdr:cNvGrpSpPr>
            <a:grpSpLocks/>
          </xdr:cNvGrpSpPr>
        </xdr:nvGrpSpPr>
        <xdr:grpSpPr bwMode="auto">
          <a:xfrm rot="-5905833">
            <a:off x="2936" y="4830"/>
            <a:ext cx="571" cy="2733"/>
            <a:chOff x="4677" y="4047"/>
            <a:chExt cx="495" cy="2386"/>
          </a:xfrm>
        </xdr:grpSpPr>
        <xdr:sp macro="" textlink="">
          <xdr:nvSpPr>
            <xdr:cNvPr id="4214" name="Line 6990"/>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4215" name="Line 6991"/>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4216" name="Line 6992"/>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4217" name="Line 6993"/>
            <xdr:cNvSpPr>
              <a:spLocks noChangeShapeType="1"/>
            </xdr:cNvSpPr>
          </xdr:nvSpPr>
          <xdr:spPr bwMode="auto">
            <a:xfrm>
              <a:off x="4677" y="5737"/>
              <a:ext cx="347" cy="696"/>
            </a:xfrm>
            <a:prstGeom prst="line">
              <a:avLst/>
            </a:prstGeom>
            <a:noFill/>
            <a:ln w="9525">
              <a:solidFill>
                <a:srgbClr val="FF0000"/>
              </a:solidFill>
              <a:round/>
              <a:headEnd/>
              <a:tailEnd/>
            </a:ln>
          </xdr:spPr>
        </xdr:sp>
      </xdr:grpSp>
      <xdr:sp macro="" textlink="">
        <xdr:nvSpPr>
          <xdr:cNvPr id="4213" name="AutoShape 6994"/>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FF0000"/>
            </a:solidFill>
            <a:miter lim="800000"/>
            <a:headEnd/>
            <a:tailEnd/>
          </a:ln>
        </xdr:spPr>
      </xdr:sp>
    </xdr:grpSp>
    <xdr:clientData/>
  </xdr:twoCellAnchor>
  <xdr:twoCellAnchor>
    <xdr:from>
      <xdr:col>4</xdr:col>
      <xdr:colOff>104775</xdr:colOff>
      <xdr:row>138</xdr:row>
      <xdr:rowOff>76200</xdr:rowOff>
    </xdr:from>
    <xdr:to>
      <xdr:col>4</xdr:col>
      <xdr:colOff>333375</xdr:colOff>
      <xdr:row>140</xdr:row>
      <xdr:rowOff>85725</xdr:rowOff>
    </xdr:to>
    <xdr:grpSp>
      <xdr:nvGrpSpPr>
        <xdr:cNvPr id="4226" name="Group 6995"/>
        <xdr:cNvGrpSpPr>
          <a:grpSpLocks/>
        </xdr:cNvGrpSpPr>
      </xdr:nvGrpSpPr>
      <xdr:grpSpPr bwMode="auto">
        <a:xfrm>
          <a:off x="4883604" y="23012400"/>
          <a:ext cx="228600" cy="357868"/>
          <a:chOff x="5163" y="2548"/>
          <a:chExt cx="2109" cy="2909"/>
        </a:xfrm>
      </xdr:grpSpPr>
      <xdr:sp macro="" textlink="">
        <xdr:nvSpPr>
          <xdr:cNvPr id="4227" name="Rectangle 6996"/>
          <xdr:cNvSpPr>
            <a:spLocks noChangeArrowheads="1"/>
          </xdr:cNvSpPr>
        </xdr:nvSpPr>
        <xdr:spPr bwMode="auto">
          <a:xfrm>
            <a:off x="5163" y="2548"/>
            <a:ext cx="1938" cy="2736"/>
          </a:xfrm>
          <a:prstGeom prst="rect">
            <a:avLst/>
          </a:prstGeom>
          <a:solidFill>
            <a:srgbClr val="FFFFFF"/>
          </a:solidFill>
          <a:ln w="9525" algn="ctr">
            <a:solidFill>
              <a:srgbClr val="FF0000"/>
            </a:solidFill>
            <a:miter lim="800000"/>
            <a:headEnd/>
            <a:tailEnd/>
          </a:ln>
        </xdr:spPr>
      </xdr:sp>
      <xdr:sp macro="" textlink="">
        <xdr:nvSpPr>
          <xdr:cNvPr id="4228" name="Line 6997"/>
          <xdr:cNvSpPr>
            <a:spLocks noChangeShapeType="1"/>
          </xdr:cNvSpPr>
        </xdr:nvSpPr>
        <xdr:spPr bwMode="auto">
          <a:xfrm>
            <a:off x="5278" y="5284"/>
            <a:ext cx="1" cy="172"/>
          </a:xfrm>
          <a:prstGeom prst="line">
            <a:avLst/>
          </a:prstGeom>
          <a:noFill/>
          <a:ln w="9525">
            <a:solidFill>
              <a:srgbClr val="FF0000"/>
            </a:solidFill>
            <a:round/>
            <a:headEnd/>
            <a:tailEnd/>
          </a:ln>
        </xdr:spPr>
      </xdr:sp>
      <xdr:sp macro="" textlink="">
        <xdr:nvSpPr>
          <xdr:cNvPr id="4229" name="Line 6998"/>
          <xdr:cNvSpPr>
            <a:spLocks noChangeShapeType="1"/>
          </xdr:cNvSpPr>
        </xdr:nvSpPr>
        <xdr:spPr bwMode="auto">
          <a:xfrm>
            <a:off x="5279" y="5456"/>
            <a:ext cx="1993" cy="1"/>
          </a:xfrm>
          <a:prstGeom prst="line">
            <a:avLst/>
          </a:prstGeom>
          <a:noFill/>
          <a:ln w="9525">
            <a:solidFill>
              <a:srgbClr val="FF0000"/>
            </a:solidFill>
            <a:round/>
            <a:headEnd/>
            <a:tailEnd/>
          </a:ln>
        </xdr:spPr>
      </xdr:sp>
      <xdr:sp macro="" textlink="">
        <xdr:nvSpPr>
          <xdr:cNvPr id="4230" name="Line 6999"/>
          <xdr:cNvSpPr>
            <a:spLocks noChangeShapeType="1"/>
          </xdr:cNvSpPr>
        </xdr:nvSpPr>
        <xdr:spPr bwMode="auto">
          <a:xfrm>
            <a:off x="7101" y="2776"/>
            <a:ext cx="171" cy="1"/>
          </a:xfrm>
          <a:prstGeom prst="line">
            <a:avLst/>
          </a:prstGeom>
          <a:noFill/>
          <a:ln w="9525">
            <a:solidFill>
              <a:srgbClr val="FF0000"/>
            </a:solidFill>
            <a:round/>
            <a:headEnd/>
            <a:tailEnd/>
          </a:ln>
        </xdr:spPr>
      </xdr:sp>
      <xdr:sp macro="" textlink="">
        <xdr:nvSpPr>
          <xdr:cNvPr id="4231" name="Line 7000"/>
          <xdr:cNvSpPr>
            <a:spLocks noChangeShapeType="1"/>
          </xdr:cNvSpPr>
        </xdr:nvSpPr>
        <xdr:spPr bwMode="auto">
          <a:xfrm flipV="1">
            <a:off x="7272" y="2776"/>
            <a:ext cx="0" cy="2680"/>
          </a:xfrm>
          <a:prstGeom prst="line">
            <a:avLst/>
          </a:prstGeom>
          <a:noFill/>
          <a:ln w="9525">
            <a:solidFill>
              <a:srgbClr val="FF0000"/>
            </a:solidFill>
            <a:round/>
            <a:headEnd/>
            <a:tailEnd/>
          </a:ln>
        </xdr:spPr>
      </xdr:sp>
      <xdr:sp macro="" textlink="">
        <xdr:nvSpPr>
          <xdr:cNvPr id="4232" name="Line 7001"/>
          <xdr:cNvSpPr>
            <a:spLocks noChangeShapeType="1"/>
          </xdr:cNvSpPr>
        </xdr:nvSpPr>
        <xdr:spPr bwMode="auto">
          <a:xfrm>
            <a:off x="5448" y="2947"/>
            <a:ext cx="1311" cy="0"/>
          </a:xfrm>
          <a:prstGeom prst="line">
            <a:avLst/>
          </a:prstGeom>
          <a:noFill/>
          <a:ln w="9525">
            <a:solidFill>
              <a:srgbClr val="FF0000"/>
            </a:solidFill>
            <a:round/>
            <a:headEnd/>
            <a:tailEnd/>
          </a:ln>
        </xdr:spPr>
      </xdr:sp>
      <xdr:sp macro="" textlink="">
        <xdr:nvSpPr>
          <xdr:cNvPr id="4233" name="Line 7002"/>
          <xdr:cNvSpPr>
            <a:spLocks noChangeShapeType="1"/>
          </xdr:cNvSpPr>
        </xdr:nvSpPr>
        <xdr:spPr bwMode="auto">
          <a:xfrm>
            <a:off x="5448" y="3187"/>
            <a:ext cx="1311" cy="1"/>
          </a:xfrm>
          <a:prstGeom prst="line">
            <a:avLst/>
          </a:prstGeom>
          <a:noFill/>
          <a:ln w="9525">
            <a:solidFill>
              <a:srgbClr val="FF0000"/>
            </a:solidFill>
            <a:round/>
            <a:headEnd/>
            <a:tailEnd/>
          </a:ln>
        </xdr:spPr>
      </xdr:sp>
      <xdr:sp macro="" textlink="">
        <xdr:nvSpPr>
          <xdr:cNvPr id="4234" name="Line 7003"/>
          <xdr:cNvSpPr>
            <a:spLocks noChangeShapeType="1"/>
          </xdr:cNvSpPr>
        </xdr:nvSpPr>
        <xdr:spPr bwMode="auto">
          <a:xfrm>
            <a:off x="5448" y="3427"/>
            <a:ext cx="1311" cy="1"/>
          </a:xfrm>
          <a:prstGeom prst="line">
            <a:avLst/>
          </a:prstGeom>
          <a:noFill/>
          <a:ln w="9525">
            <a:solidFill>
              <a:srgbClr val="FF0000"/>
            </a:solidFill>
            <a:round/>
            <a:headEnd/>
            <a:tailEnd/>
          </a:ln>
        </xdr:spPr>
      </xdr:sp>
      <xdr:sp macro="" textlink="">
        <xdr:nvSpPr>
          <xdr:cNvPr id="4235" name="Line 7004"/>
          <xdr:cNvSpPr>
            <a:spLocks noChangeShapeType="1"/>
          </xdr:cNvSpPr>
        </xdr:nvSpPr>
        <xdr:spPr bwMode="auto">
          <a:xfrm>
            <a:off x="5448" y="3667"/>
            <a:ext cx="1311" cy="1"/>
          </a:xfrm>
          <a:prstGeom prst="line">
            <a:avLst/>
          </a:prstGeom>
          <a:noFill/>
          <a:ln w="9525">
            <a:solidFill>
              <a:srgbClr val="FF0000"/>
            </a:solidFill>
            <a:round/>
            <a:headEnd/>
            <a:tailEnd/>
          </a:ln>
        </xdr:spPr>
      </xdr:sp>
      <xdr:sp macro="" textlink="">
        <xdr:nvSpPr>
          <xdr:cNvPr id="4236" name="Line 7005"/>
          <xdr:cNvSpPr>
            <a:spLocks noChangeShapeType="1"/>
          </xdr:cNvSpPr>
        </xdr:nvSpPr>
        <xdr:spPr bwMode="auto">
          <a:xfrm>
            <a:off x="5448" y="3907"/>
            <a:ext cx="1311" cy="1"/>
          </a:xfrm>
          <a:prstGeom prst="line">
            <a:avLst/>
          </a:prstGeom>
          <a:noFill/>
          <a:ln w="9525">
            <a:solidFill>
              <a:srgbClr val="FF0000"/>
            </a:solidFill>
            <a:round/>
            <a:headEnd/>
            <a:tailEnd/>
          </a:ln>
        </xdr:spPr>
      </xdr:sp>
      <xdr:sp macro="" textlink="">
        <xdr:nvSpPr>
          <xdr:cNvPr id="4237" name="Line 7006"/>
          <xdr:cNvSpPr>
            <a:spLocks noChangeShapeType="1"/>
          </xdr:cNvSpPr>
        </xdr:nvSpPr>
        <xdr:spPr bwMode="auto">
          <a:xfrm>
            <a:off x="5448" y="4147"/>
            <a:ext cx="1311" cy="1"/>
          </a:xfrm>
          <a:prstGeom prst="line">
            <a:avLst/>
          </a:prstGeom>
          <a:noFill/>
          <a:ln w="9525">
            <a:solidFill>
              <a:srgbClr val="FF0000"/>
            </a:solidFill>
            <a:round/>
            <a:headEnd/>
            <a:tailEnd/>
          </a:ln>
        </xdr:spPr>
      </xdr:sp>
      <xdr:sp macro="" textlink="">
        <xdr:nvSpPr>
          <xdr:cNvPr id="4238" name="Line 7007"/>
          <xdr:cNvSpPr>
            <a:spLocks noChangeShapeType="1"/>
          </xdr:cNvSpPr>
        </xdr:nvSpPr>
        <xdr:spPr bwMode="auto">
          <a:xfrm>
            <a:off x="5448" y="4387"/>
            <a:ext cx="1311" cy="1"/>
          </a:xfrm>
          <a:prstGeom prst="line">
            <a:avLst/>
          </a:prstGeom>
          <a:noFill/>
          <a:ln w="9525">
            <a:solidFill>
              <a:srgbClr val="FF0000"/>
            </a:solidFill>
            <a:round/>
            <a:headEnd/>
            <a:tailEnd/>
          </a:ln>
        </xdr:spPr>
      </xdr:sp>
      <xdr:sp macro="" textlink="">
        <xdr:nvSpPr>
          <xdr:cNvPr id="4239" name="Line 7008"/>
          <xdr:cNvSpPr>
            <a:spLocks noChangeShapeType="1"/>
          </xdr:cNvSpPr>
        </xdr:nvSpPr>
        <xdr:spPr bwMode="auto">
          <a:xfrm>
            <a:off x="5448" y="4627"/>
            <a:ext cx="1311" cy="1"/>
          </a:xfrm>
          <a:prstGeom prst="line">
            <a:avLst/>
          </a:prstGeom>
          <a:noFill/>
          <a:ln w="9525">
            <a:solidFill>
              <a:srgbClr val="FF0000"/>
            </a:solidFill>
            <a:round/>
            <a:headEnd/>
            <a:tailEnd/>
          </a:ln>
        </xdr:spPr>
      </xdr:sp>
      <xdr:sp macro="" textlink="">
        <xdr:nvSpPr>
          <xdr:cNvPr id="4240" name="Line 7009"/>
          <xdr:cNvSpPr>
            <a:spLocks noChangeShapeType="1"/>
          </xdr:cNvSpPr>
        </xdr:nvSpPr>
        <xdr:spPr bwMode="auto">
          <a:xfrm>
            <a:off x="5448" y="4867"/>
            <a:ext cx="1311" cy="1"/>
          </a:xfrm>
          <a:prstGeom prst="line">
            <a:avLst/>
          </a:prstGeom>
          <a:noFill/>
          <a:ln w="9525">
            <a:solidFill>
              <a:srgbClr val="FF0000"/>
            </a:solidFill>
            <a:round/>
            <a:headEnd/>
            <a:tailEnd/>
          </a:ln>
        </xdr:spPr>
      </xdr:sp>
    </xdr:grpSp>
    <xdr:clientData/>
  </xdr:twoCellAnchor>
  <xdr:twoCellAnchor>
    <xdr:from>
      <xdr:col>4</xdr:col>
      <xdr:colOff>1143000</xdr:colOff>
      <xdr:row>138</xdr:row>
      <xdr:rowOff>114300</xdr:rowOff>
    </xdr:from>
    <xdr:to>
      <xdr:col>4</xdr:col>
      <xdr:colOff>1438275</xdr:colOff>
      <xdr:row>140</xdr:row>
      <xdr:rowOff>123825</xdr:rowOff>
    </xdr:to>
    <xdr:grpSp>
      <xdr:nvGrpSpPr>
        <xdr:cNvPr id="4241" name="Group 7010"/>
        <xdr:cNvGrpSpPr>
          <a:grpSpLocks/>
        </xdr:cNvGrpSpPr>
      </xdr:nvGrpSpPr>
      <xdr:grpSpPr bwMode="auto">
        <a:xfrm>
          <a:off x="5921829" y="23050500"/>
          <a:ext cx="295275" cy="357868"/>
          <a:chOff x="5238" y="4632"/>
          <a:chExt cx="1597" cy="1311"/>
        </a:xfrm>
      </xdr:grpSpPr>
      <xdr:sp macro="" textlink="">
        <xdr:nvSpPr>
          <xdr:cNvPr id="4508" name="Line 7011"/>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4509" name="Line 7012"/>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4510" name="Line 7013"/>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4511" name="Line 7014"/>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4512" name="Line 7015"/>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4513" name="Line 7016"/>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4514" name="Line 7017"/>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13</xdr:col>
      <xdr:colOff>85725</xdr:colOff>
      <xdr:row>138</xdr:row>
      <xdr:rowOff>38100</xdr:rowOff>
    </xdr:from>
    <xdr:to>
      <xdr:col>13</xdr:col>
      <xdr:colOff>476250</xdr:colOff>
      <xdr:row>140</xdr:row>
      <xdr:rowOff>142875</xdr:rowOff>
    </xdr:to>
    <xdr:grpSp>
      <xdr:nvGrpSpPr>
        <xdr:cNvPr id="4515" name="Group 6736"/>
        <xdr:cNvGrpSpPr>
          <a:grpSpLocks/>
        </xdr:cNvGrpSpPr>
      </xdr:nvGrpSpPr>
      <xdr:grpSpPr bwMode="auto">
        <a:xfrm>
          <a:off x="11483068" y="22974300"/>
          <a:ext cx="390525" cy="453118"/>
          <a:chOff x="971" y="1233"/>
          <a:chExt cx="41" cy="43"/>
        </a:xfrm>
      </xdr:grpSpPr>
      <xdr:sp macro="" textlink="">
        <xdr:nvSpPr>
          <xdr:cNvPr id="4516" name="Rectangle 6737"/>
          <xdr:cNvSpPr>
            <a:spLocks noChangeArrowheads="1"/>
          </xdr:cNvSpPr>
        </xdr:nvSpPr>
        <xdr:spPr bwMode="auto">
          <a:xfrm>
            <a:off x="971" y="1233"/>
            <a:ext cx="41" cy="43"/>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pic>
        <xdr:nvPicPr>
          <xdr:cNvPr id="4517" name="Picture 6738"/>
          <xdr:cNvPicPr>
            <a:picLocks noChangeAspect="1" noChangeArrowheads="1"/>
          </xdr:cNvPicPr>
        </xdr:nvPicPr>
        <xdr:blipFill>
          <a:blip xmlns:r="http://schemas.openxmlformats.org/officeDocument/2006/relationships" r:embed="rId1" cstate="print"/>
          <a:srcRect/>
          <a:stretch>
            <a:fillRect/>
          </a:stretch>
        </xdr:blipFill>
        <xdr:spPr bwMode="auto">
          <a:xfrm>
            <a:off x="978" y="1237"/>
            <a:ext cx="27" cy="37"/>
          </a:xfrm>
          <a:prstGeom prst="rect">
            <a:avLst/>
          </a:prstGeom>
          <a:noFill/>
          <a:ln w="9525">
            <a:noFill/>
            <a:miter lim="800000"/>
            <a:headEnd/>
            <a:tailEnd/>
          </a:ln>
        </xdr:spPr>
      </xdr:pic>
    </xdr:grpSp>
    <xdr:clientData/>
  </xdr:twoCellAnchor>
  <xdr:twoCellAnchor>
    <xdr:from>
      <xdr:col>4</xdr:col>
      <xdr:colOff>523875</xdr:colOff>
      <xdr:row>123</xdr:row>
      <xdr:rowOff>76200</xdr:rowOff>
    </xdr:from>
    <xdr:to>
      <xdr:col>4</xdr:col>
      <xdr:colOff>628650</xdr:colOff>
      <xdr:row>125</xdr:row>
      <xdr:rowOff>85725</xdr:rowOff>
    </xdr:to>
    <xdr:grpSp>
      <xdr:nvGrpSpPr>
        <xdr:cNvPr id="4518" name="Group 5392"/>
        <xdr:cNvGrpSpPr>
          <a:grpSpLocks/>
        </xdr:cNvGrpSpPr>
      </xdr:nvGrpSpPr>
      <xdr:grpSpPr bwMode="auto">
        <a:xfrm>
          <a:off x="5302704" y="20345400"/>
          <a:ext cx="104775" cy="357868"/>
          <a:chOff x="3771" y="1155"/>
          <a:chExt cx="4759" cy="14934"/>
        </a:xfrm>
      </xdr:grpSpPr>
      <xdr:sp macro="" textlink="">
        <xdr:nvSpPr>
          <xdr:cNvPr id="4519" name="Oval 5393"/>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4520" name="Arc 5394"/>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521" name="Arc 5395"/>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522" name="Line 5396"/>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4523" name="Line 5397"/>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4524" name="Line 5398"/>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4525" name="Line 5399"/>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4526" name="Line 5400"/>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4527" name="Line 5401"/>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4528" name="Line 5402"/>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4529" name="Line 5403"/>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4530" name="Line 5404"/>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4531" name="Line 5405"/>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4532" name="Line 5406"/>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4533" name="Line 5407"/>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4534" name="Line 5408"/>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4535" name="Line 5409"/>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4536" name="Line 5410"/>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4537" name="Line 5411"/>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819150</xdr:colOff>
      <xdr:row>123</xdr:row>
      <xdr:rowOff>57150</xdr:rowOff>
    </xdr:from>
    <xdr:to>
      <xdr:col>4</xdr:col>
      <xdr:colOff>952500</xdr:colOff>
      <xdr:row>125</xdr:row>
      <xdr:rowOff>85725</xdr:rowOff>
    </xdr:to>
    <xdr:grpSp>
      <xdr:nvGrpSpPr>
        <xdr:cNvPr id="4538" name="Group 5412"/>
        <xdr:cNvGrpSpPr>
          <a:grpSpLocks/>
        </xdr:cNvGrpSpPr>
      </xdr:nvGrpSpPr>
      <xdr:grpSpPr bwMode="auto">
        <a:xfrm>
          <a:off x="5597979" y="20326350"/>
          <a:ext cx="133350" cy="376918"/>
          <a:chOff x="1857" y="2993"/>
          <a:chExt cx="4178" cy="10157"/>
        </a:xfrm>
      </xdr:grpSpPr>
      <xdr:grpSp>
        <xdr:nvGrpSpPr>
          <xdr:cNvPr id="4539" name="Group 5413"/>
          <xdr:cNvGrpSpPr>
            <a:grpSpLocks/>
          </xdr:cNvGrpSpPr>
        </xdr:nvGrpSpPr>
        <xdr:grpSpPr bwMode="auto">
          <a:xfrm rot="1441604">
            <a:off x="4764" y="2993"/>
            <a:ext cx="570" cy="2736"/>
            <a:chOff x="4251" y="2947"/>
            <a:chExt cx="570" cy="2736"/>
          </a:xfrm>
        </xdr:grpSpPr>
        <xdr:sp macro="" textlink="">
          <xdr:nvSpPr>
            <xdr:cNvPr id="4551" name="Line 5414"/>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4552" name="Line 5415"/>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4553" name="Line 5416"/>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4554" name="Line 5417"/>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4540" name="Group 5418"/>
          <xdr:cNvGrpSpPr>
            <a:grpSpLocks/>
          </xdr:cNvGrpSpPr>
        </xdr:nvGrpSpPr>
        <xdr:grpSpPr bwMode="auto">
          <a:xfrm rot="8464448">
            <a:off x="5468" y="5524"/>
            <a:ext cx="569" cy="2733"/>
            <a:chOff x="4677" y="4047"/>
            <a:chExt cx="495" cy="2386"/>
          </a:xfrm>
        </xdr:grpSpPr>
        <xdr:sp macro="" textlink="">
          <xdr:nvSpPr>
            <xdr:cNvPr id="4547" name="Line 5419"/>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4548" name="Line 5420"/>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4549" name="Line 5421"/>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4550" name="Line 5422"/>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4541" name="Group 5423"/>
          <xdr:cNvGrpSpPr>
            <a:grpSpLocks/>
          </xdr:cNvGrpSpPr>
        </xdr:nvGrpSpPr>
        <xdr:grpSpPr bwMode="auto">
          <a:xfrm rot="-5905833">
            <a:off x="2936" y="4830"/>
            <a:ext cx="571" cy="2733"/>
            <a:chOff x="4677" y="4047"/>
            <a:chExt cx="495" cy="2386"/>
          </a:xfrm>
        </xdr:grpSpPr>
        <xdr:sp macro="" textlink="">
          <xdr:nvSpPr>
            <xdr:cNvPr id="4543" name="Line 5424"/>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4544" name="Line 5425"/>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4545" name="Line 5426"/>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4546" name="Line 5427"/>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4542" name="AutoShape 5428"/>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104775</xdr:colOff>
      <xdr:row>123</xdr:row>
      <xdr:rowOff>76200</xdr:rowOff>
    </xdr:from>
    <xdr:to>
      <xdr:col>4</xdr:col>
      <xdr:colOff>333375</xdr:colOff>
      <xdr:row>125</xdr:row>
      <xdr:rowOff>85725</xdr:rowOff>
    </xdr:to>
    <xdr:grpSp>
      <xdr:nvGrpSpPr>
        <xdr:cNvPr id="4555" name="Group 5429"/>
        <xdr:cNvGrpSpPr>
          <a:grpSpLocks/>
        </xdr:cNvGrpSpPr>
      </xdr:nvGrpSpPr>
      <xdr:grpSpPr bwMode="auto">
        <a:xfrm>
          <a:off x="4883604" y="20345400"/>
          <a:ext cx="228600" cy="357868"/>
          <a:chOff x="5163" y="2548"/>
          <a:chExt cx="2109" cy="2909"/>
        </a:xfrm>
      </xdr:grpSpPr>
      <xdr:sp macro="" textlink="">
        <xdr:nvSpPr>
          <xdr:cNvPr id="4556" name="Rectangle 5430"/>
          <xdr:cNvSpPr>
            <a:spLocks noChangeArrowheads="1"/>
          </xdr:cNvSpPr>
        </xdr:nvSpPr>
        <xdr:spPr bwMode="auto">
          <a:xfrm>
            <a:off x="5163" y="2548"/>
            <a:ext cx="1938" cy="2736"/>
          </a:xfrm>
          <a:prstGeom prst="rect">
            <a:avLst/>
          </a:prstGeom>
          <a:solidFill>
            <a:srgbClr val="FFFFFF"/>
          </a:solidFill>
          <a:ln w="9525" algn="ctr">
            <a:solidFill>
              <a:srgbClr val="C0C0C0"/>
            </a:solidFill>
            <a:miter lim="800000"/>
            <a:headEnd/>
            <a:tailEnd/>
          </a:ln>
        </xdr:spPr>
      </xdr:sp>
      <xdr:sp macro="" textlink="">
        <xdr:nvSpPr>
          <xdr:cNvPr id="4557" name="Line 5431"/>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4558" name="Line 5432"/>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4559" name="Line 5433"/>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4560" name="Line 5434"/>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4561" name="Line 5435"/>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4562" name="Line 5436"/>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4563" name="Line 5437"/>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4564" name="Line 5438"/>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4565" name="Line 5439"/>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4566" name="Line 5440"/>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4567" name="Line 5441"/>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4568" name="Line 5442"/>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4569" name="Line 5443"/>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1143000</xdr:colOff>
      <xdr:row>123</xdr:row>
      <xdr:rowOff>114300</xdr:rowOff>
    </xdr:from>
    <xdr:to>
      <xdr:col>4</xdr:col>
      <xdr:colOff>1438275</xdr:colOff>
      <xdr:row>125</xdr:row>
      <xdr:rowOff>123825</xdr:rowOff>
    </xdr:to>
    <xdr:grpSp>
      <xdr:nvGrpSpPr>
        <xdr:cNvPr id="4570" name="Group 5444"/>
        <xdr:cNvGrpSpPr>
          <a:grpSpLocks/>
        </xdr:cNvGrpSpPr>
      </xdr:nvGrpSpPr>
      <xdr:grpSpPr bwMode="auto">
        <a:xfrm>
          <a:off x="5921829" y="20383500"/>
          <a:ext cx="295275" cy="357868"/>
          <a:chOff x="5238" y="4632"/>
          <a:chExt cx="1597" cy="1311"/>
        </a:xfrm>
      </xdr:grpSpPr>
      <xdr:sp macro="" textlink="">
        <xdr:nvSpPr>
          <xdr:cNvPr id="4571" name="Line 5445"/>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4572" name="Line 5446"/>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4573" name="Line 5447"/>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4574" name="Line 5448"/>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4575" name="Line 5449"/>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4576" name="Line 5450"/>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4577" name="Line 5451"/>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523875</xdr:colOff>
      <xdr:row>204</xdr:row>
      <xdr:rowOff>76200</xdr:rowOff>
    </xdr:from>
    <xdr:to>
      <xdr:col>4</xdr:col>
      <xdr:colOff>628650</xdr:colOff>
      <xdr:row>206</xdr:row>
      <xdr:rowOff>85725</xdr:rowOff>
    </xdr:to>
    <xdr:grpSp>
      <xdr:nvGrpSpPr>
        <xdr:cNvPr id="4578" name="Group 8590"/>
        <xdr:cNvGrpSpPr>
          <a:grpSpLocks/>
        </xdr:cNvGrpSpPr>
      </xdr:nvGrpSpPr>
      <xdr:grpSpPr bwMode="auto">
        <a:xfrm>
          <a:off x="5302704" y="34747200"/>
          <a:ext cx="104775" cy="357868"/>
          <a:chOff x="3771" y="1155"/>
          <a:chExt cx="4759" cy="14934"/>
        </a:xfrm>
      </xdr:grpSpPr>
      <xdr:sp macro="" textlink="">
        <xdr:nvSpPr>
          <xdr:cNvPr id="4579" name="Oval 859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4580" name="Arc 859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581" name="Arc 859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582" name="Line 859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4583" name="Line 859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4584" name="Line 859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4585" name="Line 859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4586" name="Line 859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4587" name="Line 859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4588" name="Line 860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4589" name="Line 860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4590" name="Line 860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4591" name="Line 860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4592" name="Line 860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4593" name="Line 860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4594" name="Line 860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4595" name="Line 860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4596" name="Line 860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4597" name="Line 860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819150</xdr:colOff>
      <xdr:row>204</xdr:row>
      <xdr:rowOff>57150</xdr:rowOff>
    </xdr:from>
    <xdr:to>
      <xdr:col>4</xdr:col>
      <xdr:colOff>952500</xdr:colOff>
      <xdr:row>206</xdr:row>
      <xdr:rowOff>85725</xdr:rowOff>
    </xdr:to>
    <xdr:grpSp>
      <xdr:nvGrpSpPr>
        <xdr:cNvPr id="4598" name="Group 8610"/>
        <xdr:cNvGrpSpPr>
          <a:grpSpLocks/>
        </xdr:cNvGrpSpPr>
      </xdr:nvGrpSpPr>
      <xdr:grpSpPr bwMode="auto">
        <a:xfrm>
          <a:off x="5597979" y="34728150"/>
          <a:ext cx="133350" cy="376918"/>
          <a:chOff x="1857" y="2993"/>
          <a:chExt cx="4178" cy="10157"/>
        </a:xfrm>
      </xdr:grpSpPr>
      <xdr:grpSp>
        <xdr:nvGrpSpPr>
          <xdr:cNvPr id="4599" name="Group 8611"/>
          <xdr:cNvGrpSpPr>
            <a:grpSpLocks/>
          </xdr:cNvGrpSpPr>
        </xdr:nvGrpSpPr>
        <xdr:grpSpPr bwMode="auto">
          <a:xfrm rot="1441604">
            <a:off x="4764" y="2993"/>
            <a:ext cx="570" cy="2736"/>
            <a:chOff x="4251" y="2947"/>
            <a:chExt cx="570" cy="2736"/>
          </a:xfrm>
        </xdr:grpSpPr>
        <xdr:sp macro="" textlink="">
          <xdr:nvSpPr>
            <xdr:cNvPr id="4611" name="Line 8612"/>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4612" name="Line 8613"/>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4613" name="Line 8614"/>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4614" name="Line 8615"/>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4600" name="Group 8616"/>
          <xdr:cNvGrpSpPr>
            <a:grpSpLocks/>
          </xdr:cNvGrpSpPr>
        </xdr:nvGrpSpPr>
        <xdr:grpSpPr bwMode="auto">
          <a:xfrm rot="8464448">
            <a:off x="5468" y="5524"/>
            <a:ext cx="569" cy="2733"/>
            <a:chOff x="4677" y="4047"/>
            <a:chExt cx="495" cy="2386"/>
          </a:xfrm>
        </xdr:grpSpPr>
        <xdr:sp macro="" textlink="">
          <xdr:nvSpPr>
            <xdr:cNvPr id="4607" name="Line 8617"/>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4608" name="Line 8618"/>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4609" name="Line 8619"/>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4610" name="Line 8620"/>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4601" name="Group 8621"/>
          <xdr:cNvGrpSpPr>
            <a:grpSpLocks/>
          </xdr:cNvGrpSpPr>
        </xdr:nvGrpSpPr>
        <xdr:grpSpPr bwMode="auto">
          <a:xfrm rot="-5905833">
            <a:off x="2936" y="4830"/>
            <a:ext cx="571" cy="2733"/>
            <a:chOff x="4677" y="4047"/>
            <a:chExt cx="495" cy="2386"/>
          </a:xfrm>
        </xdr:grpSpPr>
        <xdr:sp macro="" textlink="">
          <xdr:nvSpPr>
            <xdr:cNvPr id="4603" name="Line 8622"/>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4604" name="Line 8623"/>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4605" name="Line 8624"/>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4606" name="Line 8625"/>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4602" name="AutoShape 862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104775</xdr:colOff>
      <xdr:row>204</xdr:row>
      <xdr:rowOff>76200</xdr:rowOff>
    </xdr:from>
    <xdr:to>
      <xdr:col>4</xdr:col>
      <xdr:colOff>333375</xdr:colOff>
      <xdr:row>206</xdr:row>
      <xdr:rowOff>85725</xdr:rowOff>
    </xdr:to>
    <xdr:grpSp>
      <xdr:nvGrpSpPr>
        <xdr:cNvPr id="4615" name="Group 8627"/>
        <xdr:cNvGrpSpPr>
          <a:grpSpLocks/>
        </xdr:cNvGrpSpPr>
      </xdr:nvGrpSpPr>
      <xdr:grpSpPr bwMode="auto">
        <a:xfrm>
          <a:off x="4883604" y="34747200"/>
          <a:ext cx="228600" cy="357868"/>
          <a:chOff x="5163" y="2548"/>
          <a:chExt cx="2109" cy="2909"/>
        </a:xfrm>
      </xdr:grpSpPr>
      <xdr:sp macro="" textlink="">
        <xdr:nvSpPr>
          <xdr:cNvPr id="4616" name="Rectangle 8628"/>
          <xdr:cNvSpPr>
            <a:spLocks noChangeArrowheads="1"/>
          </xdr:cNvSpPr>
        </xdr:nvSpPr>
        <xdr:spPr bwMode="auto">
          <a:xfrm>
            <a:off x="5163" y="2548"/>
            <a:ext cx="1938" cy="2736"/>
          </a:xfrm>
          <a:prstGeom prst="rect">
            <a:avLst/>
          </a:prstGeom>
          <a:solidFill>
            <a:srgbClr val="FFFFFF"/>
          </a:solidFill>
          <a:ln w="9525" algn="ctr">
            <a:solidFill>
              <a:srgbClr val="C0C0C0"/>
            </a:solidFill>
            <a:miter lim="800000"/>
            <a:headEnd/>
            <a:tailEnd/>
          </a:ln>
        </xdr:spPr>
      </xdr:sp>
      <xdr:sp macro="" textlink="">
        <xdr:nvSpPr>
          <xdr:cNvPr id="4617" name="Line 8629"/>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4618" name="Line 8630"/>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4619" name="Line 8631"/>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4620" name="Line 8632"/>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4621" name="Line 8633"/>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4622" name="Line 8634"/>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4623" name="Line 8635"/>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4624" name="Line 8636"/>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4625" name="Line 8637"/>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4626" name="Line 8638"/>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4627" name="Line 8639"/>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4808" name="Line 8640"/>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4809" name="Line 8641"/>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1143000</xdr:colOff>
      <xdr:row>204</xdr:row>
      <xdr:rowOff>114300</xdr:rowOff>
    </xdr:from>
    <xdr:to>
      <xdr:col>4</xdr:col>
      <xdr:colOff>1438275</xdr:colOff>
      <xdr:row>206</xdr:row>
      <xdr:rowOff>123825</xdr:rowOff>
    </xdr:to>
    <xdr:grpSp>
      <xdr:nvGrpSpPr>
        <xdr:cNvPr id="4810" name="Group 8642"/>
        <xdr:cNvGrpSpPr>
          <a:grpSpLocks/>
        </xdr:cNvGrpSpPr>
      </xdr:nvGrpSpPr>
      <xdr:grpSpPr bwMode="auto">
        <a:xfrm>
          <a:off x="5921829" y="34785300"/>
          <a:ext cx="295275" cy="357868"/>
          <a:chOff x="5238" y="4632"/>
          <a:chExt cx="1597" cy="1311"/>
        </a:xfrm>
      </xdr:grpSpPr>
      <xdr:sp macro="" textlink="">
        <xdr:nvSpPr>
          <xdr:cNvPr id="4811" name="Line 864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4812" name="Line 864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4813" name="Line 864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4814" name="Line 864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4815" name="Line 864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4816" name="Line 864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4817" name="Line 864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523875</xdr:colOff>
      <xdr:row>213</xdr:row>
      <xdr:rowOff>76200</xdr:rowOff>
    </xdr:from>
    <xdr:to>
      <xdr:col>4</xdr:col>
      <xdr:colOff>628650</xdr:colOff>
      <xdr:row>215</xdr:row>
      <xdr:rowOff>85725</xdr:rowOff>
    </xdr:to>
    <xdr:grpSp>
      <xdr:nvGrpSpPr>
        <xdr:cNvPr id="4818" name="Group 10030"/>
        <xdr:cNvGrpSpPr>
          <a:grpSpLocks/>
        </xdr:cNvGrpSpPr>
      </xdr:nvGrpSpPr>
      <xdr:grpSpPr bwMode="auto">
        <a:xfrm>
          <a:off x="5302704" y="36347400"/>
          <a:ext cx="104775" cy="357868"/>
          <a:chOff x="3771" y="1155"/>
          <a:chExt cx="4759" cy="14934"/>
        </a:xfrm>
      </xdr:grpSpPr>
      <xdr:sp macro="" textlink="">
        <xdr:nvSpPr>
          <xdr:cNvPr id="4819" name="Oval 1003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4820" name="Arc 1003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821" name="Arc 1003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4822" name="Line 1003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4823" name="Line 1003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4824" name="Line 1003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4825" name="Line 1003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4826" name="Line 1003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4827" name="Line 1003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4828" name="Line 1004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4829" name="Line 1004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4830" name="Line 1004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4831" name="Line 1004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4832" name="Line 1004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4833" name="Line 1004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4834" name="Line 1004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4835" name="Line 1004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4836" name="Line 1004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4837" name="Line 1004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819150</xdr:colOff>
      <xdr:row>213</xdr:row>
      <xdr:rowOff>57150</xdr:rowOff>
    </xdr:from>
    <xdr:to>
      <xdr:col>4</xdr:col>
      <xdr:colOff>952500</xdr:colOff>
      <xdr:row>215</xdr:row>
      <xdr:rowOff>85725</xdr:rowOff>
    </xdr:to>
    <xdr:grpSp>
      <xdr:nvGrpSpPr>
        <xdr:cNvPr id="4838" name="Group 10050"/>
        <xdr:cNvGrpSpPr>
          <a:grpSpLocks/>
        </xdr:cNvGrpSpPr>
      </xdr:nvGrpSpPr>
      <xdr:grpSpPr bwMode="auto">
        <a:xfrm>
          <a:off x="5597979" y="36328350"/>
          <a:ext cx="133350" cy="376918"/>
          <a:chOff x="1857" y="2993"/>
          <a:chExt cx="4178" cy="10157"/>
        </a:xfrm>
      </xdr:grpSpPr>
      <xdr:grpSp>
        <xdr:nvGrpSpPr>
          <xdr:cNvPr id="4839" name="Group 10051"/>
          <xdr:cNvGrpSpPr>
            <a:grpSpLocks/>
          </xdr:cNvGrpSpPr>
        </xdr:nvGrpSpPr>
        <xdr:grpSpPr bwMode="auto">
          <a:xfrm rot="1441604">
            <a:off x="4764" y="2993"/>
            <a:ext cx="570" cy="2736"/>
            <a:chOff x="4251" y="2947"/>
            <a:chExt cx="570" cy="2736"/>
          </a:xfrm>
        </xdr:grpSpPr>
        <xdr:sp macro="" textlink="">
          <xdr:nvSpPr>
            <xdr:cNvPr id="4851" name="Line 10052"/>
            <xdr:cNvSpPr>
              <a:spLocks noChangeShapeType="1"/>
            </xdr:cNvSpPr>
          </xdr:nvSpPr>
          <xdr:spPr bwMode="auto">
            <a:xfrm flipV="1">
              <a:off x="4251" y="2947"/>
              <a:ext cx="400" cy="1938"/>
            </a:xfrm>
            <a:prstGeom prst="line">
              <a:avLst/>
            </a:prstGeom>
            <a:noFill/>
            <a:ln w="9525">
              <a:solidFill>
                <a:srgbClr val="FF0000"/>
              </a:solidFill>
              <a:round/>
              <a:headEnd/>
              <a:tailEnd/>
            </a:ln>
          </xdr:spPr>
        </xdr:sp>
        <xdr:sp macro="" textlink="">
          <xdr:nvSpPr>
            <xdr:cNvPr id="4852" name="Line 10053"/>
            <xdr:cNvSpPr>
              <a:spLocks noChangeShapeType="1"/>
            </xdr:cNvSpPr>
          </xdr:nvSpPr>
          <xdr:spPr bwMode="auto">
            <a:xfrm>
              <a:off x="4651" y="2947"/>
              <a:ext cx="170" cy="0"/>
            </a:xfrm>
            <a:prstGeom prst="line">
              <a:avLst/>
            </a:prstGeom>
            <a:noFill/>
            <a:ln w="9525">
              <a:solidFill>
                <a:srgbClr val="FF0000"/>
              </a:solidFill>
              <a:round/>
              <a:headEnd/>
              <a:tailEnd/>
            </a:ln>
          </xdr:spPr>
        </xdr:sp>
        <xdr:sp macro="" textlink="">
          <xdr:nvSpPr>
            <xdr:cNvPr id="4853" name="Line 10054"/>
            <xdr:cNvSpPr>
              <a:spLocks noChangeShapeType="1"/>
            </xdr:cNvSpPr>
          </xdr:nvSpPr>
          <xdr:spPr bwMode="auto">
            <a:xfrm>
              <a:off x="4821" y="2947"/>
              <a:ext cx="0" cy="2678"/>
            </a:xfrm>
            <a:prstGeom prst="line">
              <a:avLst/>
            </a:prstGeom>
            <a:noFill/>
            <a:ln w="9525">
              <a:solidFill>
                <a:srgbClr val="FF0000"/>
              </a:solidFill>
              <a:round/>
              <a:headEnd/>
              <a:tailEnd/>
            </a:ln>
          </xdr:spPr>
        </xdr:sp>
        <xdr:sp macro="" textlink="">
          <xdr:nvSpPr>
            <xdr:cNvPr id="4854" name="Line 10055"/>
            <xdr:cNvSpPr>
              <a:spLocks noChangeShapeType="1"/>
            </xdr:cNvSpPr>
          </xdr:nvSpPr>
          <xdr:spPr bwMode="auto">
            <a:xfrm>
              <a:off x="4251" y="4885"/>
              <a:ext cx="400" cy="798"/>
            </a:xfrm>
            <a:prstGeom prst="line">
              <a:avLst/>
            </a:prstGeom>
            <a:noFill/>
            <a:ln w="9525">
              <a:solidFill>
                <a:srgbClr val="FF0000"/>
              </a:solidFill>
              <a:round/>
              <a:headEnd/>
              <a:tailEnd/>
            </a:ln>
          </xdr:spPr>
        </xdr:sp>
      </xdr:grpSp>
      <xdr:grpSp>
        <xdr:nvGrpSpPr>
          <xdr:cNvPr id="4840" name="Group 10056"/>
          <xdr:cNvGrpSpPr>
            <a:grpSpLocks/>
          </xdr:cNvGrpSpPr>
        </xdr:nvGrpSpPr>
        <xdr:grpSpPr bwMode="auto">
          <a:xfrm rot="8464448">
            <a:off x="5468" y="5524"/>
            <a:ext cx="569" cy="2733"/>
            <a:chOff x="4677" y="4047"/>
            <a:chExt cx="495" cy="2386"/>
          </a:xfrm>
        </xdr:grpSpPr>
        <xdr:sp macro="" textlink="">
          <xdr:nvSpPr>
            <xdr:cNvPr id="4847" name="Line 10057"/>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4848" name="Line 10058"/>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4849" name="Line 10059"/>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4850" name="Line 10060"/>
            <xdr:cNvSpPr>
              <a:spLocks noChangeShapeType="1"/>
            </xdr:cNvSpPr>
          </xdr:nvSpPr>
          <xdr:spPr bwMode="auto">
            <a:xfrm>
              <a:off x="4677" y="5737"/>
              <a:ext cx="347" cy="696"/>
            </a:xfrm>
            <a:prstGeom prst="line">
              <a:avLst/>
            </a:prstGeom>
            <a:noFill/>
            <a:ln w="9525">
              <a:solidFill>
                <a:srgbClr val="FF0000"/>
              </a:solidFill>
              <a:round/>
              <a:headEnd/>
              <a:tailEnd/>
            </a:ln>
          </xdr:spPr>
        </xdr:sp>
      </xdr:grpSp>
      <xdr:grpSp>
        <xdr:nvGrpSpPr>
          <xdr:cNvPr id="4841" name="Group 10061"/>
          <xdr:cNvGrpSpPr>
            <a:grpSpLocks/>
          </xdr:cNvGrpSpPr>
        </xdr:nvGrpSpPr>
        <xdr:grpSpPr bwMode="auto">
          <a:xfrm rot="-5905833">
            <a:off x="2936" y="4830"/>
            <a:ext cx="571" cy="2733"/>
            <a:chOff x="4677" y="4047"/>
            <a:chExt cx="495" cy="2386"/>
          </a:xfrm>
        </xdr:grpSpPr>
        <xdr:sp macro="" textlink="">
          <xdr:nvSpPr>
            <xdr:cNvPr id="4843" name="Line 10062"/>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4844" name="Line 10063"/>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4845" name="Line 10064"/>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4846" name="Line 10065"/>
            <xdr:cNvSpPr>
              <a:spLocks noChangeShapeType="1"/>
            </xdr:cNvSpPr>
          </xdr:nvSpPr>
          <xdr:spPr bwMode="auto">
            <a:xfrm>
              <a:off x="4677" y="5737"/>
              <a:ext cx="347" cy="696"/>
            </a:xfrm>
            <a:prstGeom prst="line">
              <a:avLst/>
            </a:prstGeom>
            <a:noFill/>
            <a:ln w="9525">
              <a:solidFill>
                <a:srgbClr val="FF0000"/>
              </a:solidFill>
              <a:round/>
              <a:headEnd/>
              <a:tailEnd/>
            </a:ln>
          </xdr:spPr>
        </xdr:sp>
      </xdr:grpSp>
      <xdr:sp macro="" textlink="">
        <xdr:nvSpPr>
          <xdr:cNvPr id="4842" name="AutoShape 1006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FF0000"/>
            </a:solidFill>
            <a:miter lim="800000"/>
            <a:headEnd/>
            <a:tailEnd/>
          </a:ln>
        </xdr:spPr>
      </xdr:sp>
    </xdr:grpSp>
    <xdr:clientData/>
  </xdr:twoCellAnchor>
  <xdr:twoCellAnchor>
    <xdr:from>
      <xdr:col>4</xdr:col>
      <xdr:colOff>104775</xdr:colOff>
      <xdr:row>213</xdr:row>
      <xdr:rowOff>76200</xdr:rowOff>
    </xdr:from>
    <xdr:to>
      <xdr:col>4</xdr:col>
      <xdr:colOff>333375</xdr:colOff>
      <xdr:row>215</xdr:row>
      <xdr:rowOff>85725</xdr:rowOff>
    </xdr:to>
    <xdr:grpSp>
      <xdr:nvGrpSpPr>
        <xdr:cNvPr id="4855" name="Group 10067"/>
        <xdr:cNvGrpSpPr>
          <a:grpSpLocks/>
        </xdr:cNvGrpSpPr>
      </xdr:nvGrpSpPr>
      <xdr:grpSpPr bwMode="auto">
        <a:xfrm>
          <a:off x="4883604" y="36347400"/>
          <a:ext cx="228600" cy="357868"/>
          <a:chOff x="5163" y="2548"/>
          <a:chExt cx="2109" cy="2909"/>
        </a:xfrm>
      </xdr:grpSpPr>
      <xdr:sp macro="" textlink="">
        <xdr:nvSpPr>
          <xdr:cNvPr id="4856" name="Rectangle 10068"/>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4857" name="Line 10069"/>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4858" name="Line 10070"/>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4859" name="Line 10071"/>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4860" name="Line 10072"/>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4861" name="Line 10073"/>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4862" name="Line 10074"/>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4863" name="Line 10075"/>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4864" name="Line 10076"/>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4865" name="Line 10077"/>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4866" name="Line 10078"/>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4867" name="Line 10079"/>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5048" name="Line 10080"/>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5049" name="Line 10081"/>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1143000</xdr:colOff>
      <xdr:row>213</xdr:row>
      <xdr:rowOff>114300</xdr:rowOff>
    </xdr:from>
    <xdr:to>
      <xdr:col>4</xdr:col>
      <xdr:colOff>1438275</xdr:colOff>
      <xdr:row>215</xdr:row>
      <xdr:rowOff>123825</xdr:rowOff>
    </xdr:to>
    <xdr:grpSp>
      <xdr:nvGrpSpPr>
        <xdr:cNvPr id="5050" name="Group 10082"/>
        <xdr:cNvGrpSpPr>
          <a:grpSpLocks/>
        </xdr:cNvGrpSpPr>
      </xdr:nvGrpSpPr>
      <xdr:grpSpPr bwMode="auto">
        <a:xfrm>
          <a:off x="5921829" y="36385500"/>
          <a:ext cx="295275" cy="357868"/>
          <a:chOff x="5238" y="4632"/>
          <a:chExt cx="1597" cy="1311"/>
        </a:xfrm>
      </xdr:grpSpPr>
      <xdr:sp macro="" textlink="">
        <xdr:nvSpPr>
          <xdr:cNvPr id="5051" name="Line 10083"/>
          <xdr:cNvSpPr>
            <a:spLocks noChangeShapeType="1"/>
          </xdr:cNvSpPr>
        </xdr:nvSpPr>
        <xdr:spPr bwMode="auto">
          <a:xfrm flipV="1">
            <a:off x="5238" y="4632"/>
            <a:ext cx="0" cy="855"/>
          </a:xfrm>
          <a:prstGeom prst="line">
            <a:avLst/>
          </a:prstGeom>
          <a:noFill/>
          <a:ln w="9525">
            <a:solidFill>
              <a:srgbClr val="FF0000"/>
            </a:solidFill>
            <a:round/>
            <a:headEnd/>
            <a:tailEnd/>
          </a:ln>
        </xdr:spPr>
      </xdr:sp>
      <xdr:sp macro="" textlink="">
        <xdr:nvSpPr>
          <xdr:cNvPr id="5052" name="Line 10084"/>
          <xdr:cNvSpPr>
            <a:spLocks noChangeShapeType="1"/>
          </xdr:cNvSpPr>
        </xdr:nvSpPr>
        <xdr:spPr bwMode="auto">
          <a:xfrm>
            <a:off x="5238" y="4632"/>
            <a:ext cx="1597" cy="0"/>
          </a:xfrm>
          <a:prstGeom prst="line">
            <a:avLst/>
          </a:prstGeom>
          <a:noFill/>
          <a:ln w="9525">
            <a:solidFill>
              <a:srgbClr val="FF0000"/>
            </a:solidFill>
            <a:round/>
            <a:headEnd/>
            <a:tailEnd/>
          </a:ln>
        </xdr:spPr>
      </xdr:sp>
      <xdr:sp macro="" textlink="">
        <xdr:nvSpPr>
          <xdr:cNvPr id="5053" name="Line 10085"/>
          <xdr:cNvSpPr>
            <a:spLocks noChangeShapeType="1"/>
          </xdr:cNvSpPr>
        </xdr:nvSpPr>
        <xdr:spPr bwMode="auto">
          <a:xfrm>
            <a:off x="5238" y="5487"/>
            <a:ext cx="342" cy="1"/>
          </a:xfrm>
          <a:prstGeom prst="line">
            <a:avLst/>
          </a:prstGeom>
          <a:noFill/>
          <a:ln w="9525">
            <a:solidFill>
              <a:srgbClr val="FF0000"/>
            </a:solidFill>
            <a:round/>
            <a:headEnd/>
            <a:tailEnd/>
          </a:ln>
        </xdr:spPr>
      </xdr:sp>
      <xdr:sp macro="" textlink="">
        <xdr:nvSpPr>
          <xdr:cNvPr id="5054" name="Line 10086"/>
          <xdr:cNvSpPr>
            <a:spLocks noChangeShapeType="1"/>
          </xdr:cNvSpPr>
        </xdr:nvSpPr>
        <xdr:spPr bwMode="auto">
          <a:xfrm flipH="1">
            <a:off x="5409" y="5487"/>
            <a:ext cx="172" cy="456"/>
          </a:xfrm>
          <a:prstGeom prst="line">
            <a:avLst/>
          </a:prstGeom>
          <a:noFill/>
          <a:ln w="9525">
            <a:solidFill>
              <a:srgbClr val="FF0000"/>
            </a:solidFill>
            <a:round/>
            <a:headEnd/>
            <a:tailEnd/>
          </a:ln>
        </xdr:spPr>
      </xdr:sp>
      <xdr:sp macro="" textlink="">
        <xdr:nvSpPr>
          <xdr:cNvPr id="5055" name="Line 10087"/>
          <xdr:cNvSpPr>
            <a:spLocks noChangeShapeType="1"/>
          </xdr:cNvSpPr>
        </xdr:nvSpPr>
        <xdr:spPr bwMode="auto">
          <a:xfrm flipV="1">
            <a:off x="5409" y="5487"/>
            <a:ext cx="627" cy="456"/>
          </a:xfrm>
          <a:prstGeom prst="line">
            <a:avLst/>
          </a:prstGeom>
          <a:noFill/>
          <a:ln w="9525">
            <a:solidFill>
              <a:srgbClr val="FF0000"/>
            </a:solidFill>
            <a:round/>
            <a:headEnd/>
            <a:tailEnd/>
          </a:ln>
        </xdr:spPr>
      </xdr:sp>
      <xdr:sp macro="" textlink="">
        <xdr:nvSpPr>
          <xdr:cNvPr id="5056" name="Line 10088"/>
          <xdr:cNvSpPr>
            <a:spLocks noChangeShapeType="1"/>
          </xdr:cNvSpPr>
        </xdr:nvSpPr>
        <xdr:spPr bwMode="auto">
          <a:xfrm>
            <a:off x="6036" y="5487"/>
            <a:ext cx="799" cy="1"/>
          </a:xfrm>
          <a:prstGeom prst="line">
            <a:avLst/>
          </a:prstGeom>
          <a:noFill/>
          <a:ln w="9525">
            <a:solidFill>
              <a:srgbClr val="FF0000"/>
            </a:solidFill>
            <a:round/>
            <a:headEnd/>
            <a:tailEnd/>
          </a:ln>
        </xdr:spPr>
      </xdr:sp>
      <xdr:sp macro="" textlink="">
        <xdr:nvSpPr>
          <xdr:cNvPr id="5057" name="Line 10089"/>
          <xdr:cNvSpPr>
            <a:spLocks noChangeShapeType="1"/>
          </xdr:cNvSpPr>
        </xdr:nvSpPr>
        <xdr:spPr bwMode="auto">
          <a:xfrm>
            <a:off x="6835" y="4632"/>
            <a:ext cx="0" cy="856"/>
          </a:xfrm>
          <a:prstGeom prst="line">
            <a:avLst/>
          </a:prstGeom>
          <a:noFill/>
          <a:ln w="9525">
            <a:solidFill>
              <a:srgbClr val="FF0000"/>
            </a:solidFill>
            <a:round/>
            <a:headEnd/>
            <a:tailEnd/>
          </a:ln>
        </xdr:spPr>
      </xdr:sp>
    </xdr:grpSp>
    <xdr:clientData/>
  </xdr:twoCellAnchor>
  <xdr:twoCellAnchor>
    <xdr:from>
      <xdr:col>4</xdr:col>
      <xdr:colOff>523875</xdr:colOff>
      <xdr:row>156</xdr:row>
      <xdr:rowOff>76200</xdr:rowOff>
    </xdr:from>
    <xdr:to>
      <xdr:col>4</xdr:col>
      <xdr:colOff>628650</xdr:colOff>
      <xdr:row>158</xdr:row>
      <xdr:rowOff>85725</xdr:rowOff>
    </xdr:to>
    <xdr:grpSp>
      <xdr:nvGrpSpPr>
        <xdr:cNvPr id="5058" name="Group 9670"/>
        <xdr:cNvGrpSpPr>
          <a:grpSpLocks/>
        </xdr:cNvGrpSpPr>
      </xdr:nvGrpSpPr>
      <xdr:grpSpPr bwMode="auto">
        <a:xfrm>
          <a:off x="5302704" y="26212800"/>
          <a:ext cx="104775" cy="357868"/>
          <a:chOff x="3771" y="1155"/>
          <a:chExt cx="4759" cy="14934"/>
        </a:xfrm>
      </xdr:grpSpPr>
      <xdr:sp macro="" textlink="">
        <xdr:nvSpPr>
          <xdr:cNvPr id="5059" name="Oval 967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5060" name="Arc 967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5061" name="Arc 967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5062" name="Line 967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5063" name="Line 967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5064" name="Line 967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5065" name="Line 967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5066" name="Line 967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5067" name="Line 967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5068" name="Line 968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5069" name="Line 968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5070" name="Line 968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5071" name="Line 968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5072" name="Line 968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5073" name="Line 968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5074" name="Line 968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5075" name="Line 968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5076" name="Line 968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5077" name="Line 968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819150</xdr:colOff>
      <xdr:row>156</xdr:row>
      <xdr:rowOff>57150</xdr:rowOff>
    </xdr:from>
    <xdr:to>
      <xdr:col>4</xdr:col>
      <xdr:colOff>952500</xdr:colOff>
      <xdr:row>158</xdr:row>
      <xdr:rowOff>85725</xdr:rowOff>
    </xdr:to>
    <xdr:grpSp>
      <xdr:nvGrpSpPr>
        <xdr:cNvPr id="5078" name="Group 9690"/>
        <xdr:cNvGrpSpPr>
          <a:grpSpLocks/>
        </xdr:cNvGrpSpPr>
      </xdr:nvGrpSpPr>
      <xdr:grpSpPr bwMode="auto">
        <a:xfrm>
          <a:off x="5597979" y="26193750"/>
          <a:ext cx="133350" cy="376918"/>
          <a:chOff x="1857" y="2993"/>
          <a:chExt cx="4178" cy="10157"/>
        </a:xfrm>
      </xdr:grpSpPr>
      <xdr:grpSp>
        <xdr:nvGrpSpPr>
          <xdr:cNvPr id="5079" name="Group 9691"/>
          <xdr:cNvGrpSpPr>
            <a:grpSpLocks/>
          </xdr:cNvGrpSpPr>
        </xdr:nvGrpSpPr>
        <xdr:grpSpPr bwMode="auto">
          <a:xfrm rot="1441604">
            <a:off x="4764" y="2993"/>
            <a:ext cx="570" cy="2736"/>
            <a:chOff x="4251" y="2947"/>
            <a:chExt cx="570" cy="2736"/>
          </a:xfrm>
        </xdr:grpSpPr>
        <xdr:sp macro="" textlink="">
          <xdr:nvSpPr>
            <xdr:cNvPr id="5091" name="Line 9692"/>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5092" name="Line 9693"/>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5093" name="Line 9694"/>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5094" name="Line 9695"/>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5080" name="Group 9696"/>
          <xdr:cNvGrpSpPr>
            <a:grpSpLocks/>
          </xdr:cNvGrpSpPr>
        </xdr:nvGrpSpPr>
        <xdr:grpSpPr bwMode="auto">
          <a:xfrm rot="8464448">
            <a:off x="5468" y="5524"/>
            <a:ext cx="569" cy="2733"/>
            <a:chOff x="4677" y="4047"/>
            <a:chExt cx="495" cy="2386"/>
          </a:xfrm>
        </xdr:grpSpPr>
        <xdr:sp macro="" textlink="">
          <xdr:nvSpPr>
            <xdr:cNvPr id="5087" name="Line 9697"/>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088" name="Line 9698"/>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089" name="Line 9699"/>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090" name="Line 9700"/>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5081" name="Group 9701"/>
          <xdr:cNvGrpSpPr>
            <a:grpSpLocks/>
          </xdr:cNvGrpSpPr>
        </xdr:nvGrpSpPr>
        <xdr:grpSpPr bwMode="auto">
          <a:xfrm rot="-5905833">
            <a:off x="2936" y="4830"/>
            <a:ext cx="571" cy="2733"/>
            <a:chOff x="4677" y="4047"/>
            <a:chExt cx="495" cy="2386"/>
          </a:xfrm>
        </xdr:grpSpPr>
        <xdr:sp macro="" textlink="">
          <xdr:nvSpPr>
            <xdr:cNvPr id="5083" name="Line 9702"/>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084" name="Line 9703"/>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085" name="Line 9704"/>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086" name="Line 9705"/>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5082" name="AutoShape 970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104775</xdr:colOff>
      <xdr:row>156</xdr:row>
      <xdr:rowOff>76200</xdr:rowOff>
    </xdr:from>
    <xdr:to>
      <xdr:col>4</xdr:col>
      <xdr:colOff>333375</xdr:colOff>
      <xdr:row>158</xdr:row>
      <xdr:rowOff>85725</xdr:rowOff>
    </xdr:to>
    <xdr:grpSp>
      <xdr:nvGrpSpPr>
        <xdr:cNvPr id="5095" name="Group 9707"/>
        <xdr:cNvGrpSpPr>
          <a:grpSpLocks/>
        </xdr:cNvGrpSpPr>
      </xdr:nvGrpSpPr>
      <xdr:grpSpPr bwMode="auto">
        <a:xfrm>
          <a:off x="4883604" y="26212800"/>
          <a:ext cx="228600" cy="357868"/>
          <a:chOff x="5163" y="2548"/>
          <a:chExt cx="2109" cy="2909"/>
        </a:xfrm>
      </xdr:grpSpPr>
      <xdr:sp macro="" textlink="">
        <xdr:nvSpPr>
          <xdr:cNvPr id="5096" name="Rectangle 9708"/>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5097" name="Line 9709"/>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5098" name="Line 9710"/>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5099" name="Line 9711"/>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5100" name="Line 9712"/>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5101" name="Line 9713"/>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5102" name="Line 9714"/>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5103" name="Line 9715"/>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5104" name="Line 9716"/>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5105" name="Line 9717"/>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5106" name="Line 9718"/>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5107" name="Line 9719"/>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5108" name="Line 9720"/>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5109" name="Line 9721"/>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1143000</xdr:colOff>
      <xdr:row>156</xdr:row>
      <xdr:rowOff>114300</xdr:rowOff>
    </xdr:from>
    <xdr:to>
      <xdr:col>4</xdr:col>
      <xdr:colOff>1438275</xdr:colOff>
      <xdr:row>158</xdr:row>
      <xdr:rowOff>123825</xdr:rowOff>
    </xdr:to>
    <xdr:grpSp>
      <xdr:nvGrpSpPr>
        <xdr:cNvPr id="5110" name="Group 9722"/>
        <xdr:cNvGrpSpPr>
          <a:grpSpLocks/>
        </xdr:cNvGrpSpPr>
      </xdr:nvGrpSpPr>
      <xdr:grpSpPr bwMode="auto">
        <a:xfrm>
          <a:off x="5921829" y="26250900"/>
          <a:ext cx="295275" cy="357868"/>
          <a:chOff x="5238" y="4632"/>
          <a:chExt cx="1597" cy="1311"/>
        </a:xfrm>
      </xdr:grpSpPr>
      <xdr:sp macro="" textlink="">
        <xdr:nvSpPr>
          <xdr:cNvPr id="5111" name="Line 972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5112" name="Line 972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5113" name="Line 972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5114" name="Line 972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5115" name="Line 972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5116" name="Line 972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5117" name="Line 972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541020</xdr:colOff>
      <xdr:row>78</xdr:row>
      <xdr:rowOff>76200</xdr:rowOff>
    </xdr:from>
    <xdr:to>
      <xdr:col>4</xdr:col>
      <xdr:colOff>647700</xdr:colOff>
      <xdr:row>80</xdr:row>
      <xdr:rowOff>83820</xdr:rowOff>
    </xdr:to>
    <xdr:grpSp>
      <xdr:nvGrpSpPr>
        <xdr:cNvPr id="5118" name="Group 5526"/>
        <xdr:cNvGrpSpPr>
          <a:grpSpLocks/>
        </xdr:cNvGrpSpPr>
      </xdr:nvGrpSpPr>
      <xdr:grpSpPr bwMode="auto">
        <a:xfrm>
          <a:off x="5319849" y="12344400"/>
          <a:ext cx="106680" cy="355963"/>
          <a:chOff x="3771" y="1155"/>
          <a:chExt cx="4759" cy="14934"/>
        </a:xfrm>
      </xdr:grpSpPr>
      <xdr:sp macro="" textlink="">
        <xdr:nvSpPr>
          <xdr:cNvPr id="5119" name="Oval 5527"/>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5120" name="Arc 5528"/>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5121" name="Arc 5529"/>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5122" name="Line 5530"/>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5123" name="Line 5531"/>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5124" name="Line 5532"/>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5125" name="Line 5533"/>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5126" name="Line 5534"/>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5127" name="Line 5535"/>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5128" name="Line 5536"/>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5129" name="Line 5537"/>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5130" name="Line 5538"/>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5131" name="Line 5539"/>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5132" name="Line 5540"/>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5133" name="Line 5541"/>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5134" name="Line 5542"/>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5135" name="Line 5543"/>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5136" name="Line 5544"/>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5137" name="Line 5545"/>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838200</xdr:colOff>
      <xdr:row>78</xdr:row>
      <xdr:rowOff>60960</xdr:rowOff>
    </xdr:from>
    <xdr:to>
      <xdr:col>4</xdr:col>
      <xdr:colOff>975360</xdr:colOff>
      <xdr:row>80</xdr:row>
      <xdr:rowOff>83820</xdr:rowOff>
    </xdr:to>
    <xdr:grpSp>
      <xdr:nvGrpSpPr>
        <xdr:cNvPr id="5138" name="Group 5546"/>
        <xdr:cNvGrpSpPr>
          <a:grpSpLocks/>
        </xdr:cNvGrpSpPr>
      </xdr:nvGrpSpPr>
      <xdr:grpSpPr bwMode="auto">
        <a:xfrm>
          <a:off x="5617029" y="12329160"/>
          <a:ext cx="137160" cy="371203"/>
          <a:chOff x="1857" y="2993"/>
          <a:chExt cx="4178" cy="10157"/>
        </a:xfrm>
      </xdr:grpSpPr>
      <xdr:grpSp>
        <xdr:nvGrpSpPr>
          <xdr:cNvPr id="5139" name="Group 5547"/>
          <xdr:cNvGrpSpPr>
            <a:grpSpLocks/>
          </xdr:cNvGrpSpPr>
        </xdr:nvGrpSpPr>
        <xdr:grpSpPr bwMode="auto">
          <a:xfrm rot="1441604">
            <a:off x="4764" y="2993"/>
            <a:ext cx="570" cy="2736"/>
            <a:chOff x="4251" y="2947"/>
            <a:chExt cx="570" cy="2736"/>
          </a:xfrm>
        </xdr:grpSpPr>
        <xdr:sp macro="" textlink="">
          <xdr:nvSpPr>
            <xdr:cNvPr id="5151" name="Line 5548"/>
            <xdr:cNvSpPr>
              <a:spLocks noChangeShapeType="1"/>
            </xdr:cNvSpPr>
          </xdr:nvSpPr>
          <xdr:spPr bwMode="auto">
            <a:xfrm flipV="1">
              <a:off x="4251" y="2947"/>
              <a:ext cx="400" cy="1938"/>
            </a:xfrm>
            <a:prstGeom prst="line">
              <a:avLst/>
            </a:prstGeom>
            <a:noFill/>
            <a:ln w="9525">
              <a:solidFill>
                <a:srgbClr val="FF0000"/>
              </a:solidFill>
              <a:round/>
              <a:headEnd/>
              <a:tailEnd/>
            </a:ln>
          </xdr:spPr>
        </xdr:sp>
        <xdr:sp macro="" textlink="">
          <xdr:nvSpPr>
            <xdr:cNvPr id="5152" name="Line 5549"/>
            <xdr:cNvSpPr>
              <a:spLocks noChangeShapeType="1"/>
            </xdr:cNvSpPr>
          </xdr:nvSpPr>
          <xdr:spPr bwMode="auto">
            <a:xfrm>
              <a:off x="4651" y="2947"/>
              <a:ext cx="170" cy="0"/>
            </a:xfrm>
            <a:prstGeom prst="line">
              <a:avLst/>
            </a:prstGeom>
            <a:noFill/>
            <a:ln w="9525">
              <a:solidFill>
                <a:srgbClr val="FF0000"/>
              </a:solidFill>
              <a:round/>
              <a:headEnd/>
              <a:tailEnd/>
            </a:ln>
          </xdr:spPr>
        </xdr:sp>
        <xdr:sp macro="" textlink="">
          <xdr:nvSpPr>
            <xdr:cNvPr id="5153" name="Line 5550"/>
            <xdr:cNvSpPr>
              <a:spLocks noChangeShapeType="1"/>
            </xdr:cNvSpPr>
          </xdr:nvSpPr>
          <xdr:spPr bwMode="auto">
            <a:xfrm>
              <a:off x="4821" y="2947"/>
              <a:ext cx="0" cy="2678"/>
            </a:xfrm>
            <a:prstGeom prst="line">
              <a:avLst/>
            </a:prstGeom>
            <a:noFill/>
            <a:ln w="9525">
              <a:solidFill>
                <a:srgbClr val="FF0000"/>
              </a:solidFill>
              <a:round/>
              <a:headEnd/>
              <a:tailEnd/>
            </a:ln>
          </xdr:spPr>
        </xdr:sp>
        <xdr:sp macro="" textlink="">
          <xdr:nvSpPr>
            <xdr:cNvPr id="5154" name="Line 5551"/>
            <xdr:cNvSpPr>
              <a:spLocks noChangeShapeType="1"/>
            </xdr:cNvSpPr>
          </xdr:nvSpPr>
          <xdr:spPr bwMode="auto">
            <a:xfrm>
              <a:off x="4251" y="4885"/>
              <a:ext cx="400" cy="798"/>
            </a:xfrm>
            <a:prstGeom prst="line">
              <a:avLst/>
            </a:prstGeom>
            <a:noFill/>
            <a:ln w="9525">
              <a:solidFill>
                <a:srgbClr val="FF0000"/>
              </a:solidFill>
              <a:round/>
              <a:headEnd/>
              <a:tailEnd/>
            </a:ln>
          </xdr:spPr>
        </xdr:sp>
      </xdr:grpSp>
      <xdr:grpSp>
        <xdr:nvGrpSpPr>
          <xdr:cNvPr id="5140" name="Group 5552"/>
          <xdr:cNvGrpSpPr>
            <a:grpSpLocks/>
          </xdr:cNvGrpSpPr>
        </xdr:nvGrpSpPr>
        <xdr:grpSpPr bwMode="auto">
          <a:xfrm rot="8464448">
            <a:off x="5468" y="5524"/>
            <a:ext cx="569" cy="2733"/>
            <a:chOff x="4677" y="4047"/>
            <a:chExt cx="495" cy="2386"/>
          </a:xfrm>
        </xdr:grpSpPr>
        <xdr:sp macro="" textlink="">
          <xdr:nvSpPr>
            <xdr:cNvPr id="5147" name="Line 5553"/>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5148" name="Line 5554"/>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5149" name="Line 5555"/>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5150" name="Line 5556"/>
            <xdr:cNvSpPr>
              <a:spLocks noChangeShapeType="1"/>
            </xdr:cNvSpPr>
          </xdr:nvSpPr>
          <xdr:spPr bwMode="auto">
            <a:xfrm>
              <a:off x="4677" y="5737"/>
              <a:ext cx="347" cy="696"/>
            </a:xfrm>
            <a:prstGeom prst="line">
              <a:avLst/>
            </a:prstGeom>
            <a:noFill/>
            <a:ln w="9525">
              <a:solidFill>
                <a:srgbClr val="FF0000"/>
              </a:solidFill>
              <a:round/>
              <a:headEnd/>
              <a:tailEnd/>
            </a:ln>
          </xdr:spPr>
        </xdr:sp>
      </xdr:grpSp>
      <xdr:grpSp>
        <xdr:nvGrpSpPr>
          <xdr:cNvPr id="5141" name="Group 5557"/>
          <xdr:cNvGrpSpPr>
            <a:grpSpLocks/>
          </xdr:cNvGrpSpPr>
        </xdr:nvGrpSpPr>
        <xdr:grpSpPr bwMode="auto">
          <a:xfrm rot="-5905833">
            <a:off x="2936" y="4830"/>
            <a:ext cx="571" cy="2733"/>
            <a:chOff x="4677" y="4047"/>
            <a:chExt cx="495" cy="2386"/>
          </a:xfrm>
        </xdr:grpSpPr>
        <xdr:sp macro="" textlink="">
          <xdr:nvSpPr>
            <xdr:cNvPr id="5143" name="Line 5558"/>
            <xdr:cNvSpPr>
              <a:spLocks noChangeShapeType="1"/>
            </xdr:cNvSpPr>
          </xdr:nvSpPr>
          <xdr:spPr bwMode="auto">
            <a:xfrm flipV="1">
              <a:off x="4677" y="4047"/>
              <a:ext cx="347" cy="1690"/>
            </a:xfrm>
            <a:prstGeom prst="line">
              <a:avLst/>
            </a:prstGeom>
            <a:noFill/>
            <a:ln w="9525">
              <a:solidFill>
                <a:srgbClr val="FF0000"/>
              </a:solidFill>
              <a:round/>
              <a:headEnd/>
              <a:tailEnd/>
            </a:ln>
          </xdr:spPr>
        </xdr:sp>
        <xdr:sp macro="" textlink="">
          <xdr:nvSpPr>
            <xdr:cNvPr id="5144" name="Line 5559"/>
            <xdr:cNvSpPr>
              <a:spLocks noChangeShapeType="1"/>
            </xdr:cNvSpPr>
          </xdr:nvSpPr>
          <xdr:spPr bwMode="auto">
            <a:xfrm>
              <a:off x="5024" y="4047"/>
              <a:ext cx="148" cy="0"/>
            </a:xfrm>
            <a:prstGeom prst="line">
              <a:avLst/>
            </a:prstGeom>
            <a:noFill/>
            <a:ln w="9525">
              <a:solidFill>
                <a:srgbClr val="FF0000"/>
              </a:solidFill>
              <a:round/>
              <a:headEnd/>
              <a:tailEnd/>
            </a:ln>
          </xdr:spPr>
        </xdr:sp>
        <xdr:sp macro="" textlink="">
          <xdr:nvSpPr>
            <xdr:cNvPr id="5145" name="Line 5560"/>
            <xdr:cNvSpPr>
              <a:spLocks noChangeShapeType="1"/>
            </xdr:cNvSpPr>
          </xdr:nvSpPr>
          <xdr:spPr bwMode="auto">
            <a:xfrm>
              <a:off x="5172" y="4047"/>
              <a:ext cx="0" cy="2336"/>
            </a:xfrm>
            <a:prstGeom prst="line">
              <a:avLst/>
            </a:prstGeom>
            <a:noFill/>
            <a:ln w="9525">
              <a:solidFill>
                <a:srgbClr val="FF0000"/>
              </a:solidFill>
              <a:round/>
              <a:headEnd/>
              <a:tailEnd/>
            </a:ln>
          </xdr:spPr>
        </xdr:sp>
        <xdr:sp macro="" textlink="">
          <xdr:nvSpPr>
            <xdr:cNvPr id="5146" name="Line 5561"/>
            <xdr:cNvSpPr>
              <a:spLocks noChangeShapeType="1"/>
            </xdr:cNvSpPr>
          </xdr:nvSpPr>
          <xdr:spPr bwMode="auto">
            <a:xfrm>
              <a:off x="4677" y="5737"/>
              <a:ext cx="347" cy="696"/>
            </a:xfrm>
            <a:prstGeom prst="line">
              <a:avLst/>
            </a:prstGeom>
            <a:noFill/>
            <a:ln w="9525">
              <a:solidFill>
                <a:srgbClr val="FF0000"/>
              </a:solidFill>
              <a:round/>
              <a:headEnd/>
              <a:tailEnd/>
            </a:ln>
          </xdr:spPr>
        </xdr:sp>
      </xdr:grpSp>
      <xdr:sp macro="" textlink="">
        <xdr:nvSpPr>
          <xdr:cNvPr id="5142" name="AutoShape 5562"/>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FF0000"/>
            </a:solidFill>
            <a:miter lim="800000"/>
            <a:headEnd/>
            <a:tailEnd/>
          </a:ln>
        </xdr:spPr>
      </xdr:sp>
    </xdr:grpSp>
    <xdr:clientData/>
  </xdr:twoCellAnchor>
  <xdr:twoCellAnchor>
    <xdr:from>
      <xdr:col>4</xdr:col>
      <xdr:colOff>106680</xdr:colOff>
      <xdr:row>78</xdr:row>
      <xdr:rowOff>76200</xdr:rowOff>
    </xdr:from>
    <xdr:to>
      <xdr:col>4</xdr:col>
      <xdr:colOff>342900</xdr:colOff>
      <xdr:row>80</xdr:row>
      <xdr:rowOff>83820</xdr:rowOff>
    </xdr:to>
    <xdr:grpSp>
      <xdr:nvGrpSpPr>
        <xdr:cNvPr id="5155" name="Group 5563"/>
        <xdr:cNvGrpSpPr>
          <a:grpSpLocks/>
        </xdr:cNvGrpSpPr>
      </xdr:nvGrpSpPr>
      <xdr:grpSpPr bwMode="auto">
        <a:xfrm>
          <a:off x="4885509" y="12344400"/>
          <a:ext cx="236220" cy="355963"/>
          <a:chOff x="5163" y="2548"/>
          <a:chExt cx="2109" cy="2909"/>
        </a:xfrm>
      </xdr:grpSpPr>
      <xdr:sp macro="" textlink="">
        <xdr:nvSpPr>
          <xdr:cNvPr id="5156" name="Rectangle 5564"/>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5157" name="Line 5565"/>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5158" name="Line 5566"/>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5159" name="Line 5567"/>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5160" name="Line 5568"/>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5161" name="Line 5569"/>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5162" name="Line 5570"/>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5163" name="Line 5571"/>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5164" name="Line 5572"/>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5165" name="Line 5573"/>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5166" name="Line 5574"/>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5167" name="Line 5575"/>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5168" name="Line 5576"/>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5169" name="Line 5577"/>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1173480</xdr:colOff>
      <xdr:row>78</xdr:row>
      <xdr:rowOff>114300</xdr:rowOff>
    </xdr:from>
    <xdr:to>
      <xdr:col>4</xdr:col>
      <xdr:colOff>1478280</xdr:colOff>
      <xdr:row>80</xdr:row>
      <xdr:rowOff>121920</xdr:rowOff>
    </xdr:to>
    <xdr:grpSp>
      <xdr:nvGrpSpPr>
        <xdr:cNvPr id="5170" name="Group 5578"/>
        <xdr:cNvGrpSpPr>
          <a:grpSpLocks/>
        </xdr:cNvGrpSpPr>
      </xdr:nvGrpSpPr>
      <xdr:grpSpPr bwMode="auto">
        <a:xfrm>
          <a:off x="5952309" y="12382500"/>
          <a:ext cx="304800" cy="355963"/>
          <a:chOff x="5238" y="4632"/>
          <a:chExt cx="1597" cy="1311"/>
        </a:xfrm>
      </xdr:grpSpPr>
      <xdr:sp macro="" textlink="">
        <xdr:nvSpPr>
          <xdr:cNvPr id="5171" name="Line 5579"/>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5172" name="Line 5580"/>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5173" name="Line 5581"/>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5174" name="Line 5582"/>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5175" name="Line 5583"/>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5176" name="Line 5584"/>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5177" name="Line 5585"/>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13</xdr:col>
      <xdr:colOff>114300</xdr:colOff>
      <xdr:row>78</xdr:row>
      <xdr:rowOff>30480</xdr:rowOff>
    </xdr:from>
    <xdr:to>
      <xdr:col>13</xdr:col>
      <xdr:colOff>518160</xdr:colOff>
      <xdr:row>80</xdr:row>
      <xdr:rowOff>137160</xdr:rowOff>
    </xdr:to>
    <xdr:grpSp>
      <xdr:nvGrpSpPr>
        <xdr:cNvPr id="5178" name="Group 10285"/>
        <xdr:cNvGrpSpPr>
          <a:grpSpLocks/>
        </xdr:cNvGrpSpPr>
      </xdr:nvGrpSpPr>
      <xdr:grpSpPr bwMode="auto">
        <a:xfrm>
          <a:off x="11511643" y="12298680"/>
          <a:ext cx="403860" cy="455023"/>
          <a:chOff x="971" y="1233"/>
          <a:chExt cx="41" cy="43"/>
        </a:xfrm>
      </xdr:grpSpPr>
      <xdr:sp macro="" textlink="">
        <xdr:nvSpPr>
          <xdr:cNvPr id="5179" name="Rectangle 10286"/>
          <xdr:cNvSpPr>
            <a:spLocks noChangeArrowheads="1"/>
          </xdr:cNvSpPr>
        </xdr:nvSpPr>
        <xdr:spPr bwMode="auto">
          <a:xfrm>
            <a:off x="971" y="1233"/>
            <a:ext cx="41" cy="43"/>
          </a:xfrm>
          <a:prstGeom prst="rect">
            <a:avLst/>
          </a:prstGeom>
          <a:solidFill>
            <a:srgbClr val="99CC00"/>
          </a:solidFill>
          <a:ln w="9525" algn="ctr">
            <a:noFill/>
            <a:miter lim="800000"/>
            <a:headEnd/>
            <a:tailEnd/>
          </a:ln>
          <a:effectLst>
            <a:outerShdw dist="107763" dir="8100000" algn="ctr" rotWithShape="0">
              <a:srgbClr val="808080">
                <a:alpha val="50000"/>
              </a:srgbClr>
            </a:outerShdw>
          </a:effectLst>
        </xdr:spPr>
      </xdr:sp>
      <xdr:pic>
        <xdr:nvPicPr>
          <xdr:cNvPr id="5180" name="Picture 10287"/>
          <xdr:cNvPicPr>
            <a:picLocks noChangeAspect="1" noChangeArrowheads="1"/>
          </xdr:cNvPicPr>
        </xdr:nvPicPr>
        <xdr:blipFill>
          <a:blip xmlns:r="http://schemas.openxmlformats.org/officeDocument/2006/relationships" r:embed="rId1" cstate="print"/>
          <a:srcRect/>
          <a:stretch>
            <a:fillRect/>
          </a:stretch>
        </xdr:blipFill>
        <xdr:spPr bwMode="auto">
          <a:xfrm>
            <a:off x="978" y="1237"/>
            <a:ext cx="27" cy="37"/>
          </a:xfrm>
          <a:prstGeom prst="rect">
            <a:avLst/>
          </a:prstGeom>
          <a:noFill/>
          <a:ln w="9525">
            <a:noFill/>
            <a:miter lim="800000"/>
            <a:headEnd/>
            <a:tailEnd/>
          </a:ln>
        </xdr:spPr>
      </xdr:pic>
    </xdr:grpSp>
    <xdr:clientData/>
  </xdr:twoCellAnchor>
  <xdr:twoCellAnchor>
    <xdr:from>
      <xdr:col>4</xdr:col>
      <xdr:colOff>523875</xdr:colOff>
      <xdr:row>81</xdr:row>
      <xdr:rowOff>76200</xdr:rowOff>
    </xdr:from>
    <xdr:to>
      <xdr:col>4</xdr:col>
      <xdr:colOff>628650</xdr:colOff>
      <xdr:row>83</xdr:row>
      <xdr:rowOff>85725</xdr:rowOff>
    </xdr:to>
    <xdr:grpSp>
      <xdr:nvGrpSpPr>
        <xdr:cNvPr id="5181" name="Group 9010"/>
        <xdr:cNvGrpSpPr>
          <a:grpSpLocks/>
        </xdr:cNvGrpSpPr>
      </xdr:nvGrpSpPr>
      <xdr:grpSpPr bwMode="auto">
        <a:xfrm>
          <a:off x="5302704" y="12877800"/>
          <a:ext cx="104775" cy="357868"/>
          <a:chOff x="3771" y="1155"/>
          <a:chExt cx="4759" cy="14934"/>
        </a:xfrm>
      </xdr:grpSpPr>
      <xdr:sp macro="" textlink="">
        <xdr:nvSpPr>
          <xdr:cNvPr id="5182" name="Oval 901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5183" name="Arc 901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5184" name="Arc 901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5185" name="Line 901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5186" name="Line 901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5187" name="Line 901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5188" name="Line 901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5189" name="Line 901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5190" name="Line 901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5191" name="Line 902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5192" name="Line 902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5193" name="Line 902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5194" name="Line 902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5195" name="Line 902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5196" name="Line 902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5197" name="Line 902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5198" name="Line 902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5199" name="Line 902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5200" name="Line 902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819150</xdr:colOff>
      <xdr:row>81</xdr:row>
      <xdr:rowOff>57150</xdr:rowOff>
    </xdr:from>
    <xdr:to>
      <xdr:col>4</xdr:col>
      <xdr:colOff>952500</xdr:colOff>
      <xdr:row>83</xdr:row>
      <xdr:rowOff>85725</xdr:rowOff>
    </xdr:to>
    <xdr:grpSp>
      <xdr:nvGrpSpPr>
        <xdr:cNvPr id="5201" name="Group 9030"/>
        <xdr:cNvGrpSpPr>
          <a:grpSpLocks/>
        </xdr:cNvGrpSpPr>
      </xdr:nvGrpSpPr>
      <xdr:grpSpPr bwMode="auto">
        <a:xfrm>
          <a:off x="5597979" y="12858750"/>
          <a:ext cx="133350" cy="376918"/>
          <a:chOff x="1857" y="2993"/>
          <a:chExt cx="4178" cy="10157"/>
        </a:xfrm>
      </xdr:grpSpPr>
      <xdr:grpSp>
        <xdr:nvGrpSpPr>
          <xdr:cNvPr id="5202" name="Group 9031"/>
          <xdr:cNvGrpSpPr>
            <a:grpSpLocks/>
          </xdr:cNvGrpSpPr>
        </xdr:nvGrpSpPr>
        <xdr:grpSpPr bwMode="auto">
          <a:xfrm rot="1441604">
            <a:off x="4764" y="2993"/>
            <a:ext cx="570" cy="2736"/>
            <a:chOff x="4251" y="2947"/>
            <a:chExt cx="570" cy="2736"/>
          </a:xfrm>
        </xdr:grpSpPr>
        <xdr:sp macro="" textlink="">
          <xdr:nvSpPr>
            <xdr:cNvPr id="5214" name="Line 9032"/>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5215" name="Line 9033"/>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5216" name="Line 9034"/>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5217" name="Line 9035"/>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5203" name="Group 9036"/>
          <xdr:cNvGrpSpPr>
            <a:grpSpLocks/>
          </xdr:cNvGrpSpPr>
        </xdr:nvGrpSpPr>
        <xdr:grpSpPr bwMode="auto">
          <a:xfrm rot="8464448">
            <a:off x="5468" y="5524"/>
            <a:ext cx="569" cy="2733"/>
            <a:chOff x="4677" y="4047"/>
            <a:chExt cx="495" cy="2386"/>
          </a:xfrm>
        </xdr:grpSpPr>
        <xdr:sp macro="" textlink="">
          <xdr:nvSpPr>
            <xdr:cNvPr id="5210" name="Line 9037"/>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211" name="Line 9038"/>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212" name="Line 9039"/>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213" name="Line 9040"/>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5204" name="Group 9041"/>
          <xdr:cNvGrpSpPr>
            <a:grpSpLocks/>
          </xdr:cNvGrpSpPr>
        </xdr:nvGrpSpPr>
        <xdr:grpSpPr bwMode="auto">
          <a:xfrm rot="-5905833">
            <a:off x="2936" y="4830"/>
            <a:ext cx="571" cy="2733"/>
            <a:chOff x="4677" y="4047"/>
            <a:chExt cx="495" cy="2386"/>
          </a:xfrm>
        </xdr:grpSpPr>
        <xdr:sp macro="" textlink="">
          <xdr:nvSpPr>
            <xdr:cNvPr id="5206" name="Line 9042"/>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207" name="Line 9043"/>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208" name="Line 9044"/>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209" name="Line 9045"/>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5205" name="AutoShape 904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104775</xdr:colOff>
      <xdr:row>81</xdr:row>
      <xdr:rowOff>76200</xdr:rowOff>
    </xdr:from>
    <xdr:to>
      <xdr:col>4</xdr:col>
      <xdr:colOff>333375</xdr:colOff>
      <xdr:row>83</xdr:row>
      <xdr:rowOff>85725</xdr:rowOff>
    </xdr:to>
    <xdr:grpSp>
      <xdr:nvGrpSpPr>
        <xdr:cNvPr id="5218" name="Group 9047"/>
        <xdr:cNvGrpSpPr>
          <a:grpSpLocks/>
        </xdr:cNvGrpSpPr>
      </xdr:nvGrpSpPr>
      <xdr:grpSpPr bwMode="auto">
        <a:xfrm>
          <a:off x="4883604" y="12877800"/>
          <a:ext cx="228600" cy="357868"/>
          <a:chOff x="5163" y="2548"/>
          <a:chExt cx="2109" cy="2909"/>
        </a:xfrm>
      </xdr:grpSpPr>
      <xdr:sp macro="" textlink="">
        <xdr:nvSpPr>
          <xdr:cNvPr id="5219" name="Rectangle 9048"/>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5220" name="Line 9049"/>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5221" name="Line 9050"/>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5222" name="Line 9051"/>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5223" name="Line 9052"/>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5224" name="Line 9053"/>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5225" name="Line 9054"/>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5226" name="Line 9055"/>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5227" name="Line 9056"/>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5477" name="Line 9057"/>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5478" name="Line 9058"/>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5479" name="Line 9059"/>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5480" name="Line 9060"/>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5481" name="Line 9061"/>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1143000</xdr:colOff>
      <xdr:row>81</xdr:row>
      <xdr:rowOff>114300</xdr:rowOff>
    </xdr:from>
    <xdr:to>
      <xdr:col>4</xdr:col>
      <xdr:colOff>1438275</xdr:colOff>
      <xdr:row>83</xdr:row>
      <xdr:rowOff>123825</xdr:rowOff>
    </xdr:to>
    <xdr:grpSp>
      <xdr:nvGrpSpPr>
        <xdr:cNvPr id="5482" name="Group 9062"/>
        <xdr:cNvGrpSpPr>
          <a:grpSpLocks/>
        </xdr:cNvGrpSpPr>
      </xdr:nvGrpSpPr>
      <xdr:grpSpPr bwMode="auto">
        <a:xfrm>
          <a:off x="5921829" y="12915900"/>
          <a:ext cx="295275" cy="357868"/>
          <a:chOff x="5238" y="4632"/>
          <a:chExt cx="1597" cy="1311"/>
        </a:xfrm>
      </xdr:grpSpPr>
      <xdr:sp macro="" textlink="">
        <xdr:nvSpPr>
          <xdr:cNvPr id="5483" name="Line 906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5484" name="Line 906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5485" name="Line 906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5486" name="Line 906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5487" name="Line 906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5488" name="Line 906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5489" name="Line 906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523875</xdr:colOff>
      <xdr:row>69</xdr:row>
      <xdr:rowOff>76200</xdr:rowOff>
    </xdr:from>
    <xdr:to>
      <xdr:col>4</xdr:col>
      <xdr:colOff>628650</xdr:colOff>
      <xdr:row>71</xdr:row>
      <xdr:rowOff>85725</xdr:rowOff>
    </xdr:to>
    <xdr:grpSp>
      <xdr:nvGrpSpPr>
        <xdr:cNvPr id="5490" name="Group 10531"/>
        <xdr:cNvGrpSpPr>
          <a:grpSpLocks/>
        </xdr:cNvGrpSpPr>
      </xdr:nvGrpSpPr>
      <xdr:grpSpPr bwMode="auto">
        <a:xfrm>
          <a:off x="5302704" y="10744200"/>
          <a:ext cx="104775" cy="357868"/>
          <a:chOff x="3771" y="1155"/>
          <a:chExt cx="4759" cy="14934"/>
        </a:xfrm>
      </xdr:grpSpPr>
      <xdr:sp macro="" textlink="">
        <xdr:nvSpPr>
          <xdr:cNvPr id="5491" name="Oval 10532"/>
          <xdr:cNvSpPr>
            <a:spLocks noChangeArrowheads="1"/>
          </xdr:cNvSpPr>
        </xdr:nvSpPr>
        <xdr:spPr bwMode="auto">
          <a:xfrm>
            <a:off x="4643" y="1155"/>
            <a:ext cx="2999" cy="3003"/>
          </a:xfrm>
          <a:prstGeom prst="ellipse">
            <a:avLst/>
          </a:prstGeom>
          <a:solidFill>
            <a:srgbClr val="FFFFFF"/>
          </a:solidFill>
          <a:ln w="9525" algn="ctr">
            <a:solidFill>
              <a:srgbClr val="C0C0C0"/>
            </a:solidFill>
            <a:round/>
            <a:headEnd/>
            <a:tailEnd/>
          </a:ln>
        </xdr:spPr>
      </xdr:sp>
      <xdr:sp macro="" textlink="">
        <xdr:nvSpPr>
          <xdr:cNvPr id="5492" name="Arc 10533"/>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5493" name="Arc 10534"/>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5494" name="Line 10535"/>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5495" name="Line 10536"/>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5496" name="Line 10537"/>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5497" name="Line 10538"/>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5498" name="Line 10539"/>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5499" name="Line 10540"/>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5500" name="Line 10541"/>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5501" name="Line 10542"/>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5502" name="Line 10543"/>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5503" name="Line 10544"/>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5504" name="Line 10545"/>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5505" name="Line 10546"/>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5506" name="Line 10547"/>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5507" name="Line 10548"/>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5508" name="Line 10549"/>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5509" name="Line 10550"/>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819150</xdr:colOff>
      <xdr:row>69</xdr:row>
      <xdr:rowOff>57150</xdr:rowOff>
    </xdr:from>
    <xdr:to>
      <xdr:col>4</xdr:col>
      <xdr:colOff>952500</xdr:colOff>
      <xdr:row>71</xdr:row>
      <xdr:rowOff>85725</xdr:rowOff>
    </xdr:to>
    <xdr:grpSp>
      <xdr:nvGrpSpPr>
        <xdr:cNvPr id="5510" name="Group 10551"/>
        <xdr:cNvGrpSpPr>
          <a:grpSpLocks/>
        </xdr:cNvGrpSpPr>
      </xdr:nvGrpSpPr>
      <xdr:grpSpPr bwMode="auto">
        <a:xfrm>
          <a:off x="5597979" y="10725150"/>
          <a:ext cx="133350" cy="376918"/>
          <a:chOff x="1857" y="2993"/>
          <a:chExt cx="4178" cy="10157"/>
        </a:xfrm>
      </xdr:grpSpPr>
      <xdr:grpSp>
        <xdr:nvGrpSpPr>
          <xdr:cNvPr id="5511" name="Group 10552"/>
          <xdr:cNvGrpSpPr>
            <a:grpSpLocks/>
          </xdr:cNvGrpSpPr>
        </xdr:nvGrpSpPr>
        <xdr:grpSpPr bwMode="auto">
          <a:xfrm rot="1441604">
            <a:off x="4764" y="2993"/>
            <a:ext cx="570" cy="2736"/>
            <a:chOff x="4251" y="2947"/>
            <a:chExt cx="570" cy="2736"/>
          </a:xfrm>
        </xdr:grpSpPr>
        <xdr:sp macro="" textlink="">
          <xdr:nvSpPr>
            <xdr:cNvPr id="5523" name="Line 10553"/>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5524" name="Line 10554"/>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5525" name="Line 10555"/>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5526" name="Line 10556"/>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5512" name="Group 10557"/>
          <xdr:cNvGrpSpPr>
            <a:grpSpLocks/>
          </xdr:cNvGrpSpPr>
        </xdr:nvGrpSpPr>
        <xdr:grpSpPr bwMode="auto">
          <a:xfrm rot="8464448">
            <a:off x="5468" y="5524"/>
            <a:ext cx="569" cy="2733"/>
            <a:chOff x="4677" y="4047"/>
            <a:chExt cx="495" cy="2386"/>
          </a:xfrm>
        </xdr:grpSpPr>
        <xdr:sp macro="" textlink="">
          <xdr:nvSpPr>
            <xdr:cNvPr id="5519" name="Line 10558"/>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520" name="Line 10559"/>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521" name="Line 10560"/>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522" name="Line 10561"/>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5513" name="Group 10562"/>
          <xdr:cNvGrpSpPr>
            <a:grpSpLocks/>
          </xdr:cNvGrpSpPr>
        </xdr:nvGrpSpPr>
        <xdr:grpSpPr bwMode="auto">
          <a:xfrm rot="-5905833">
            <a:off x="2936" y="4830"/>
            <a:ext cx="571" cy="2733"/>
            <a:chOff x="4677" y="4047"/>
            <a:chExt cx="495" cy="2386"/>
          </a:xfrm>
        </xdr:grpSpPr>
        <xdr:sp macro="" textlink="">
          <xdr:nvSpPr>
            <xdr:cNvPr id="5515" name="Line 10563"/>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516" name="Line 10564"/>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517" name="Line 10565"/>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518" name="Line 10566"/>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5514" name="AutoShape 10567"/>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lgn="ctr">
            <a:solidFill>
              <a:srgbClr val="C0C0C0"/>
            </a:solidFill>
            <a:miter lim="800000"/>
            <a:headEnd/>
            <a:tailEnd/>
          </a:ln>
        </xdr:spPr>
      </xdr:sp>
    </xdr:grpSp>
    <xdr:clientData/>
  </xdr:twoCellAnchor>
  <xdr:twoCellAnchor>
    <xdr:from>
      <xdr:col>4</xdr:col>
      <xdr:colOff>104775</xdr:colOff>
      <xdr:row>69</xdr:row>
      <xdr:rowOff>76200</xdr:rowOff>
    </xdr:from>
    <xdr:to>
      <xdr:col>4</xdr:col>
      <xdr:colOff>333375</xdr:colOff>
      <xdr:row>71</xdr:row>
      <xdr:rowOff>85725</xdr:rowOff>
    </xdr:to>
    <xdr:grpSp>
      <xdr:nvGrpSpPr>
        <xdr:cNvPr id="5527" name="Group 10568"/>
        <xdr:cNvGrpSpPr>
          <a:grpSpLocks/>
        </xdr:cNvGrpSpPr>
      </xdr:nvGrpSpPr>
      <xdr:grpSpPr bwMode="auto">
        <a:xfrm>
          <a:off x="4883604" y="10744200"/>
          <a:ext cx="228600" cy="357868"/>
          <a:chOff x="5163" y="2548"/>
          <a:chExt cx="2109" cy="2909"/>
        </a:xfrm>
      </xdr:grpSpPr>
      <xdr:sp macro="" textlink="">
        <xdr:nvSpPr>
          <xdr:cNvPr id="5528" name="Rectangle 10569"/>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5529" name="Line 10570"/>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5530" name="Line 10571"/>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5531" name="Line 10572"/>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5532" name="Line 10573"/>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5533" name="Line 10574"/>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5534" name="Line 10575"/>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5535" name="Line 10576"/>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5536" name="Line 10577"/>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5537" name="Line 10578"/>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5538" name="Line 10579"/>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5539" name="Line 10580"/>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5540" name="Line 10581"/>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5541" name="Line 10582"/>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1143000</xdr:colOff>
      <xdr:row>69</xdr:row>
      <xdr:rowOff>104775</xdr:rowOff>
    </xdr:from>
    <xdr:to>
      <xdr:col>4</xdr:col>
      <xdr:colOff>1438275</xdr:colOff>
      <xdr:row>71</xdr:row>
      <xdr:rowOff>114300</xdr:rowOff>
    </xdr:to>
    <xdr:grpSp>
      <xdr:nvGrpSpPr>
        <xdr:cNvPr id="5542" name="Group 10583"/>
        <xdr:cNvGrpSpPr>
          <a:grpSpLocks/>
        </xdr:cNvGrpSpPr>
      </xdr:nvGrpSpPr>
      <xdr:grpSpPr bwMode="auto">
        <a:xfrm>
          <a:off x="5921829" y="10772775"/>
          <a:ext cx="295275" cy="357868"/>
          <a:chOff x="5238" y="4632"/>
          <a:chExt cx="1597" cy="1311"/>
        </a:xfrm>
      </xdr:grpSpPr>
      <xdr:sp macro="" textlink="">
        <xdr:nvSpPr>
          <xdr:cNvPr id="5543" name="Line 10584"/>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5544" name="Line 10585"/>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5545" name="Line 10586"/>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5546" name="Line 10587"/>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5547" name="Line 10588"/>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5548" name="Line 10589"/>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5549" name="Line 10590"/>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twoCellAnchor>
    <xdr:from>
      <xdr:col>4</xdr:col>
      <xdr:colOff>523875</xdr:colOff>
      <xdr:row>114</xdr:row>
      <xdr:rowOff>76200</xdr:rowOff>
    </xdr:from>
    <xdr:to>
      <xdr:col>4</xdr:col>
      <xdr:colOff>628650</xdr:colOff>
      <xdr:row>116</xdr:row>
      <xdr:rowOff>85725</xdr:rowOff>
    </xdr:to>
    <xdr:grpSp>
      <xdr:nvGrpSpPr>
        <xdr:cNvPr id="5550" name="Group 9430"/>
        <xdr:cNvGrpSpPr>
          <a:grpSpLocks/>
        </xdr:cNvGrpSpPr>
      </xdr:nvGrpSpPr>
      <xdr:grpSpPr bwMode="auto">
        <a:xfrm>
          <a:off x="5302704" y="18745200"/>
          <a:ext cx="104775" cy="357868"/>
          <a:chOff x="3771" y="1155"/>
          <a:chExt cx="4759" cy="14934"/>
        </a:xfrm>
      </xdr:grpSpPr>
      <xdr:sp macro="" textlink="">
        <xdr:nvSpPr>
          <xdr:cNvPr id="5551" name="Oval 9431"/>
          <xdr:cNvSpPr>
            <a:spLocks noChangeArrowheads="1"/>
          </xdr:cNvSpPr>
        </xdr:nvSpPr>
        <xdr:spPr bwMode="auto">
          <a:xfrm>
            <a:off x="4643" y="1155"/>
            <a:ext cx="2999" cy="3003"/>
          </a:xfrm>
          <a:prstGeom prst="ellipse">
            <a:avLst/>
          </a:prstGeom>
          <a:solidFill>
            <a:srgbClr val="FFFFFF"/>
          </a:solidFill>
          <a:ln w="9525">
            <a:solidFill>
              <a:srgbClr val="C0C0C0"/>
            </a:solidFill>
            <a:round/>
            <a:headEnd/>
            <a:tailEnd/>
          </a:ln>
        </xdr:spPr>
      </xdr:sp>
      <xdr:sp macro="" textlink="">
        <xdr:nvSpPr>
          <xdr:cNvPr id="5552" name="Arc 9432"/>
          <xdr:cNvSpPr>
            <a:spLocks/>
          </xdr:cNvSpPr>
        </xdr:nvSpPr>
        <xdr:spPr bwMode="auto">
          <a:xfrm flipH="1">
            <a:off x="3771" y="4432"/>
            <a:ext cx="2036" cy="204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5553" name="Arc 9433"/>
          <xdr:cNvSpPr>
            <a:spLocks/>
          </xdr:cNvSpPr>
        </xdr:nvSpPr>
        <xdr:spPr bwMode="auto">
          <a:xfrm rot="5400000" flipH="1">
            <a:off x="6490" y="4432"/>
            <a:ext cx="2039" cy="204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val="C0C0C0"/>
            </a:solidFill>
            <a:round/>
            <a:headEnd/>
            <a:tailEnd/>
          </a:ln>
        </xdr:spPr>
      </xdr:sp>
      <xdr:sp macro="" textlink="">
        <xdr:nvSpPr>
          <xdr:cNvPr id="5554" name="Line 9434"/>
          <xdr:cNvSpPr>
            <a:spLocks noChangeShapeType="1"/>
          </xdr:cNvSpPr>
        </xdr:nvSpPr>
        <xdr:spPr bwMode="auto">
          <a:xfrm>
            <a:off x="3771" y="6471"/>
            <a:ext cx="0" cy="3793"/>
          </a:xfrm>
          <a:prstGeom prst="line">
            <a:avLst/>
          </a:prstGeom>
          <a:noFill/>
          <a:ln w="9525">
            <a:solidFill>
              <a:srgbClr val="C0C0C0"/>
            </a:solidFill>
            <a:round/>
            <a:headEnd/>
            <a:tailEnd/>
          </a:ln>
        </xdr:spPr>
      </xdr:sp>
      <xdr:sp macro="" textlink="">
        <xdr:nvSpPr>
          <xdr:cNvPr id="5555" name="Line 9435"/>
          <xdr:cNvSpPr>
            <a:spLocks noChangeShapeType="1"/>
          </xdr:cNvSpPr>
        </xdr:nvSpPr>
        <xdr:spPr bwMode="auto">
          <a:xfrm>
            <a:off x="3771" y="10264"/>
            <a:ext cx="861" cy="4"/>
          </a:xfrm>
          <a:prstGeom prst="line">
            <a:avLst/>
          </a:prstGeom>
          <a:noFill/>
          <a:ln w="9525">
            <a:solidFill>
              <a:srgbClr val="C0C0C0"/>
            </a:solidFill>
            <a:round/>
            <a:headEnd/>
            <a:tailEnd/>
          </a:ln>
        </xdr:spPr>
      </xdr:sp>
      <xdr:sp macro="" textlink="">
        <xdr:nvSpPr>
          <xdr:cNvPr id="5556" name="Line 9436"/>
          <xdr:cNvSpPr>
            <a:spLocks noChangeShapeType="1"/>
          </xdr:cNvSpPr>
        </xdr:nvSpPr>
        <xdr:spPr bwMode="auto">
          <a:xfrm flipV="1">
            <a:off x="4632" y="6384"/>
            <a:ext cx="4" cy="3880"/>
          </a:xfrm>
          <a:prstGeom prst="line">
            <a:avLst/>
          </a:prstGeom>
          <a:noFill/>
          <a:ln w="9525">
            <a:solidFill>
              <a:srgbClr val="C0C0C0"/>
            </a:solidFill>
            <a:round/>
            <a:headEnd/>
            <a:tailEnd/>
          </a:ln>
        </xdr:spPr>
      </xdr:sp>
      <xdr:sp macro="" textlink="">
        <xdr:nvSpPr>
          <xdr:cNvPr id="5557" name="Line 9437"/>
          <xdr:cNvSpPr>
            <a:spLocks noChangeShapeType="1"/>
          </xdr:cNvSpPr>
        </xdr:nvSpPr>
        <xdr:spPr bwMode="auto">
          <a:xfrm>
            <a:off x="4636" y="6384"/>
            <a:ext cx="211" cy="0"/>
          </a:xfrm>
          <a:prstGeom prst="line">
            <a:avLst/>
          </a:prstGeom>
          <a:noFill/>
          <a:ln w="9525">
            <a:solidFill>
              <a:srgbClr val="C0C0C0"/>
            </a:solidFill>
            <a:round/>
            <a:headEnd/>
            <a:tailEnd/>
          </a:ln>
        </xdr:spPr>
      </xdr:sp>
      <xdr:sp macro="" textlink="">
        <xdr:nvSpPr>
          <xdr:cNvPr id="5558" name="Line 9438"/>
          <xdr:cNvSpPr>
            <a:spLocks noChangeShapeType="1"/>
          </xdr:cNvSpPr>
        </xdr:nvSpPr>
        <xdr:spPr bwMode="auto">
          <a:xfrm>
            <a:off x="4847" y="6384"/>
            <a:ext cx="0" cy="9701"/>
          </a:xfrm>
          <a:prstGeom prst="line">
            <a:avLst/>
          </a:prstGeom>
          <a:noFill/>
          <a:ln w="9525">
            <a:solidFill>
              <a:srgbClr val="C0C0C0"/>
            </a:solidFill>
            <a:round/>
            <a:headEnd/>
            <a:tailEnd/>
          </a:ln>
        </xdr:spPr>
      </xdr:sp>
      <xdr:sp macro="" textlink="">
        <xdr:nvSpPr>
          <xdr:cNvPr id="5559" name="Line 9439"/>
          <xdr:cNvSpPr>
            <a:spLocks noChangeShapeType="1"/>
          </xdr:cNvSpPr>
        </xdr:nvSpPr>
        <xdr:spPr bwMode="auto">
          <a:xfrm>
            <a:off x="4847" y="16085"/>
            <a:ext cx="1077" cy="0"/>
          </a:xfrm>
          <a:prstGeom prst="line">
            <a:avLst/>
          </a:prstGeom>
          <a:noFill/>
          <a:ln w="9525">
            <a:solidFill>
              <a:srgbClr val="C0C0C0"/>
            </a:solidFill>
            <a:round/>
            <a:headEnd/>
            <a:tailEnd/>
          </a:ln>
        </xdr:spPr>
      </xdr:sp>
      <xdr:sp macro="" textlink="">
        <xdr:nvSpPr>
          <xdr:cNvPr id="5560" name="Line 9440"/>
          <xdr:cNvSpPr>
            <a:spLocks noChangeShapeType="1"/>
          </xdr:cNvSpPr>
        </xdr:nvSpPr>
        <xdr:spPr bwMode="auto">
          <a:xfrm flipV="1">
            <a:off x="5924" y="10696"/>
            <a:ext cx="0" cy="5389"/>
          </a:xfrm>
          <a:prstGeom prst="line">
            <a:avLst/>
          </a:prstGeom>
          <a:noFill/>
          <a:ln w="9525">
            <a:solidFill>
              <a:srgbClr val="C0C0C0"/>
            </a:solidFill>
            <a:round/>
            <a:headEnd/>
            <a:tailEnd/>
          </a:ln>
        </xdr:spPr>
      </xdr:sp>
      <xdr:sp macro="" textlink="">
        <xdr:nvSpPr>
          <xdr:cNvPr id="5561" name="Line 9441"/>
          <xdr:cNvSpPr>
            <a:spLocks noChangeShapeType="1"/>
          </xdr:cNvSpPr>
        </xdr:nvSpPr>
        <xdr:spPr bwMode="auto">
          <a:xfrm>
            <a:off x="5924" y="10696"/>
            <a:ext cx="430" cy="3"/>
          </a:xfrm>
          <a:prstGeom prst="line">
            <a:avLst/>
          </a:prstGeom>
          <a:noFill/>
          <a:ln w="9525">
            <a:solidFill>
              <a:srgbClr val="C0C0C0"/>
            </a:solidFill>
            <a:round/>
            <a:headEnd/>
            <a:tailEnd/>
          </a:ln>
        </xdr:spPr>
      </xdr:sp>
      <xdr:sp macro="" textlink="">
        <xdr:nvSpPr>
          <xdr:cNvPr id="5562" name="Line 9442"/>
          <xdr:cNvSpPr>
            <a:spLocks noChangeShapeType="1"/>
          </xdr:cNvSpPr>
        </xdr:nvSpPr>
        <xdr:spPr bwMode="auto">
          <a:xfrm flipV="1">
            <a:off x="6354" y="10696"/>
            <a:ext cx="4" cy="5389"/>
          </a:xfrm>
          <a:prstGeom prst="line">
            <a:avLst/>
          </a:prstGeom>
          <a:noFill/>
          <a:ln w="9525">
            <a:solidFill>
              <a:srgbClr val="C0C0C0"/>
            </a:solidFill>
            <a:round/>
            <a:headEnd/>
            <a:tailEnd/>
          </a:ln>
        </xdr:spPr>
      </xdr:sp>
      <xdr:sp macro="" textlink="">
        <xdr:nvSpPr>
          <xdr:cNvPr id="5563" name="Line 9443"/>
          <xdr:cNvSpPr>
            <a:spLocks noChangeShapeType="1"/>
          </xdr:cNvSpPr>
        </xdr:nvSpPr>
        <xdr:spPr bwMode="auto">
          <a:xfrm>
            <a:off x="6354" y="16085"/>
            <a:ext cx="1077" cy="4"/>
          </a:xfrm>
          <a:prstGeom prst="line">
            <a:avLst/>
          </a:prstGeom>
          <a:noFill/>
          <a:ln w="9525">
            <a:solidFill>
              <a:srgbClr val="C0C0C0"/>
            </a:solidFill>
            <a:round/>
            <a:headEnd/>
            <a:tailEnd/>
          </a:ln>
        </xdr:spPr>
      </xdr:sp>
      <xdr:sp macro="" textlink="">
        <xdr:nvSpPr>
          <xdr:cNvPr id="5564" name="Line 9444"/>
          <xdr:cNvSpPr>
            <a:spLocks noChangeShapeType="1"/>
          </xdr:cNvSpPr>
        </xdr:nvSpPr>
        <xdr:spPr bwMode="auto">
          <a:xfrm flipV="1">
            <a:off x="7431" y="6384"/>
            <a:ext cx="0" cy="9701"/>
          </a:xfrm>
          <a:prstGeom prst="line">
            <a:avLst/>
          </a:prstGeom>
          <a:noFill/>
          <a:ln w="9525">
            <a:solidFill>
              <a:srgbClr val="C0C0C0"/>
            </a:solidFill>
            <a:round/>
            <a:headEnd/>
            <a:tailEnd/>
          </a:ln>
        </xdr:spPr>
      </xdr:sp>
      <xdr:sp macro="" textlink="">
        <xdr:nvSpPr>
          <xdr:cNvPr id="5565" name="Line 9445"/>
          <xdr:cNvSpPr>
            <a:spLocks noChangeShapeType="1"/>
          </xdr:cNvSpPr>
        </xdr:nvSpPr>
        <xdr:spPr bwMode="auto">
          <a:xfrm>
            <a:off x="7431" y="6384"/>
            <a:ext cx="211" cy="4"/>
          </a:xfrm>
          <a:prstGeom prst="line">
            <a:avLst/>
          </a:prstGeom>
          <a:noFill/>
          <a:ln w="9525">
            <a:solidFill>
              <a:srgbClr val="C0C0C0"/>
            </a:solidFill>
            <a:round/>
            <a:headEnd/>
            <a:tailEnd/>
          </a:ln>
        </xdr:spPr>
      </xdr:sp>
      <xdr:sp macro="" textlink="">
        <xdr:nvSpPr>
          <xdr:cNvPr id="5566" name="Line 9446"/>
          <xdr:cNvSpPr>
            <a:spLocks noChangeShapeType="1"/>
          </xdr:cNvSpPr>
        </xdr:nvSpPr>
        <xdr:spPr bwMode="auto">
          <a:xfrm>
            <a:off x="7665" y="6380"/>
            <a:ext cx="4" cy="3881"/>
          </a:xfrm>
          <a:prstGeom prst="line">
            <a:avLst/>
          </a:prstGeom>
          <a:noFill/>
          <a:ln w="9525">
            <a:solidFill>
              <a:srgbClr val="C0C0C0"/>
            </a:solidFill>
            <a:round/>
            <a:headEnd/>
            <a:tailEnd/>
          </a:ln>
        </xdr:spPr>
      </xdr:sp>
      <xdr:sp macro="" textlink="">
        <xdr:nvSpPr>
          <xdr:cNvPr id="5567" name="Line 9447"/>
          <xdr:cNvSpPr>
            <a:spLocks noChangeShapeType="1"/>
          </xdr:cNvSpPr>
        </xdr:nvSpPr>
        <xdr:spPr bwMode="auto">
          <a:xfrm>
            <a:off x="7665" y="10261"/>
            <a:ext cx="861" cy="3"/>
          </a:xfrm>
          <a:prstGeom prst="line">
            <a:avLst/>
          </a:prstGeom>
          <a:noFill/>
          <a:ln w="9525">
            <a:solidFill>
              <a:srgbClr val="C0C0C0"/>
            </a:solidFill>
            <a:round/>
            <a:headEnd/>
            <a:tailEnd/>
          </a:ln>
        </xdr:spPr>
      </xdr:sp>
      <xdr:sp macro="" textlink="">
        <xdr:nvSpPr>
          <xdr:cNvPr id="5568" name="Line 9448"/>
          <xdr:cNvSpPr>
            <a:spLocks noChangeShapeType="1"/>
          </xdr:cNvSpPr>
        </xdr:nvSpPr>
        <xdr:spPr bwMode="auto">
          <a:xfrm flipV="1">
            <a:off x="8526" y="6475"/>
            <a:ext cx="4" cy="3786"/>
          </a:xfrm>
          <a:prstGeom prst="line">
            <a:avLst/>
          </a:prstGeom>
          <a:noFill/>
          <a:ln w="9525">
            <a:solidFill>
              <a:srgbClr val="C0C0C0"/>
            </a:solidFill>
            <a:round/>
            <a:headEnd/>
            <a:tailEnd/>
          </a:ln>
        </xdr:spPr>
      </xdr:sp>
      <xdr:sp macro="" textlink="">
        <xdr:nvSpPr>
          <xdr:cNvPr id="5569" name="Line 9449"/>
          <xdr:cNvSpPr>
            <a:spLocks noChangeShapeType="1"/>
          </xdr:cNvSpPr>
        </xdr:nvSpPr>
        <xdr:spPr bwMode="auto">
          <a:xfrm flipH="1">
            <a:off x="5807" y="4432"/>
            <a:ext cx="683" cy="0"/>
          </a:xfrm>
          <a:prstGeom prst="line">
            <a:avLst/>
          </a:prstGeom>
          <a:noFill/>
          <a:ln w="9525">
            <a:solidFill>
              <a:srgbClr val="C0C0C0"/>
            </a:solidFill>
            <a:round/>
            <a:headEnd/>
            <a:tailEnd/>
          </a:ln>
        </xdr:spPr>
      </xdr:sp>
    </xdr:grpSp>
    <xdr:clientData/>
  </xdr:twoCellAnchor>
  <xdr:twoCellAnchor>
    <xdr:from>
      <xdr:col>4</xdr:col>
      <xdr:colOff>819150</xdr:colOff>
      <xdr:row>114</xdr:row>
      <xdr:rowOff>57150</xdr:rowOff>
    </xdr:from>
    <xdr:to>
      <xdr:col>4</xdr:col>
      <xdr:colOff>952500</xdr:colOff>
      <xdr:row>116</xdr:row>
      <xdr:rowOff>85725</xdr:rowOff>
    </xdr:to>
    <xdr:grpSp>
      <xdr:nvGrpSpPr>
        <xdr:cNvPr id="5570" name="Group 9450"/>
        <xdr:cNvGrpSpPr>
          <a:grpSpLocks/>
        </xdr:cNvGrpSpPr>
      </xdr:nvGrpSpPr>
      <xdr:grpSpPr bwMode="auto">
        <a:xfrm>
          <a:off x="5597979" y="18726150"/>
          <a:ext cx="133350" cy="376918"/>
          <a:chOff x="1857" y="2993"/>
          <a:chExt cx="4178" cy="10157"/>
        </a:xfrm>
      </xdr:grpSpPr>
      <xdr:grpSp>
        <xdr:nvGrpSpPr>
          <xdr:cNvPr id="5571" name="Group 9451"/>
          <xdr:cNvGrpSpPr>
            <a:grpSpLocks/>
          </xdr:cNvGrpSpPr>
        </xdr:nvGrpSpPr>
        <xdr:grpSpPr bwMode="auto">
          <a:xfrm rot="1441604">
            <a:off x="4764" y="2993"/>
            <a:ext cx="570" cy="2736"/>
            <a:chOff x="4251" y="2947"/>
            <a:chExt cx="570" cy="2736"/>
          </a:xfrm>
        </xdr:grpSpPr>
        <xdr:sp macro="" textlink="">
          <xdr:nvSpPr>
            <xdr:cNvPr id="5583" name="Line 9452"/>
            <xdr:cNvSpPr>
              <a:spLocks noChangeShapeType="1"/>
            </xdr:cNvSpPr>
          </xdr:nvSpPr>
          <xdr:spPr bwMode="auto">
            <a:xfrm flipV="1">
              <a:off x="4251" y="2947"/>
              <a:ext cx="400" cy="1938"/>
            </a:xfrm>
            <a:prstGeom prst="line">
              <a:avLst/>
            </a:prstGeom>
            <a:noFill/>
            <a:ln w="9525">
              <a:solidFill>
                <a:srgbClr val="C0C0C0"/>
              </a:solidFill>
              <a:round/>
              <a:headEnd/>
              <a:tailEnd/>
            </a:ln>
          </xdr:spPr>
        </xdr:sp>
        <xdr:sp macro="" textlink="">
          <xdr:nvSpPr>
            <xdr:cNvPr id="5584" name="Line 9453"/>
            <xdr:cNvSpPr>
              <a:spLocks noChangeShapeType="1"/>
            </xdr:cNvSpPr>
          </xdr:nvSpPr>
          <xdr:spPr bwMode="auto">
            <a:xfrm>
              <a:off x="4651" y="2947"/>
              <a:ext cx="170" cy="0"/>
            </a:xfrm>
            <a:prstGeom prst="line">
              <a:avLst/>
            </a:prstGeom>
            <a:noFill/>
            <a:ln w="9525">
              <a:solidFill>
                <a:srgbClr val="C0C0C0"/>
              </a:solidFill>
              <a:round/>
              <a:headEnd/>
              <a:tailEnd/>
            </a:ln>
          </xdr:spPr>
        </xdr:sp>
        <xdr:sp macro="" textlink="">
          <xdr:nvSpPr>
            <xdr:cNvPr id="5585" name="Line 9454"/>
            <xdr:cNvSpPr>
              <a:spLocks noChangeShapeType="1"/>
            </xdr:cNvSpPr>
          </xdr:nvSpPr>
          <xdr:spPr bwMode="auto">
            <a:xfrm>
              <a:off x="4821" y="2947"/>
              <a:ext cx="0" cy="2678"/>
            </a:xfrm>
            <a:prstGeom prst="line">
              <a:avLst/>
            </a:prstGeom>
            <a:noFill/>
            <a:ln w="9525">
              <a:solidFill>
                <a:srgbClr val="C0C0C0"/>
              </a:solidFill>
              <a:round/>
              <a:headEnd/>
              <a:tailEnd/>
            </a:ln>
          </xdr:spPr>
        </xdr:sp>
        <xdr:sp macro="" textlink="">
          <xdr:nvSpPr>
            <xdr:cNvPr id="5586" name="Line 9455"/>
            <xdr:cNvSpPr>
              <a:spLocks noChangeShapeType="1"/>
            </xdr:cNvSpPr>
          </xdr:nvSpPr>
          <xdr:spPr bwMode="auto">
            <a:xfrm>
              <a:off x="4251" y="4885"/>
              <a:ext cx="400" cy="798"/>
            </a:xfrm>
            <a:prstGeom prst="line">
              <a:avLst/>
            </a:prstGeom>
            <a:noFill/>
            <a:ln w="9525">
              <a:solidFill>
                <a:srgbClr val="C0C0C0"/>
              </a:solidFill>
              <a:round/>
              <a:headEnd/>
              <a:tailEnd/>
            </a:ln>
          </xdr:spPr>
        </xdr:sp>
      </xdr:grpSp>
      <xdr:grpSp>
        <xdr:nvGrpSpPr>
          <xdr:cNvPr id="5572" name="Group 9456"/>
          <xdr:cNvGrpSpPr>
            <a:grpSpLocks/>
          </xdr:cNvGrpSpPr>
        </xdr:nvGrpSpPr>
        <xdr:grpSpPr bwMode="auto">
          <a:xfrm rot="8464448">
            <a:off x="5468" y="5524"/>
            <a:ext cx="569" cy="2733"/>
            <a:chOff x="4677" y="4047"/>
            <a:chExt cx="495" cy="2386"/>
          </a:xfrm>
        </xdr:grpSpPr>
        <xdr:sp macro="" textlink="">
          <xdr:nvSpPr>
            <xdr:cNvPr id="5579" name="Line 9457"/>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580" name="Line 9458"/>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581" name="Line 9459"/>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582" name="Line 9460"/>
            <xdr:cNvSpPr>
              <a:spLocks noChangeShapeType="1"/>
            </xdr:cNvSpPr>
          </xdr:nvSpPr>
          <xdr:spPr bwMode="auto">
            <a:xfrm>
              <a:off x="4677" y="5737"/>
              <a:ext cx="347" cy="696"/>
            </a:xfrm>
            <a:prstGeom prst="line">
              <a:avLst/>
            </a:prstGeom>
            <a:noFill/>
            <a:ln w="9525">
              <a:solidFill>
                <a:srgbClr val="C0C0C0"/>
              </a:solidFill>
              <a:round/>
              <a:headEnd/>
              <a:tailEnd/>
            </a:ln>
          </xdr:spPr>
        </xdr:sp>
      </xdr:grpSp>
      <xdr:grpSp>
        <xdr:nvGrpSpPr>
          <xdr:cNvPr id="5573" name="Group 9461"/>
          <xdr:cNvGrpSpPr>
            <a:grpSpLocks/>
          </xdr:cNvGrpSpPr>
        </xdr:nvGrpSpPr>
        <xdr:grpSpPr bwMode="auto">
          <a:xfrm rot="-5905833">
            <a:off x="2936" y="4830"/>
            <a:ext cx="571" cy="2733"/>
            <a:chOff x="4677" y="4047"/>
            <a:chExt cx="495" cy="2386"/>
          </a:xfrm>
        </xdr:grpSpPr>
        <xdr:sp macro="" textlink="">
          <xdr:nvSpPr>
            <xdr:cNvPr id="5575" name="Line 9462"/>
            <xdr:cNvSpPr>
              <a:spLocks noChangeShapeType="1"/>
            </xdr:cNvSpPr>
          </xdr:nvSpPr>
          <xdr:spPr bwMode="auto">
            <a:xfrm flipV="1">
              <a:off x="4677" y="4047"/>
              <a:ext cx="347" cy="1690"/>
            </a:xfrm>
            <a:prstGeom prst="line">
              <a:avLst/>
            </a:prstGeom>
            <a:noFill/>
            <a:ln w="9525">
              <a:solidFill>
                <a:srgbClr val="C0C0C0"/>
              </a:solidFill>
              <a:round/>
              <a:headEnd/>
              <a:tailEnd/>
            </a:ln>
          </xdr:spPr>
        </xdr:sp>
        <xdr:sp macro="" textlink="">
          <xdr:nvSpPr>
            <xdr:cNvPr id="5576" name="Line 9463"/>
            <xdr:cNvSpPr>
              <a:spLocks noChangeShapeType="1"/>
            </xdr:cNvSpPr>
          </xdr:nvSpPr>
          <xdr:spPr bwMode="auto">
            <a:xfrm>
              <a:off x="5024" y="4047"/>
              <a:ext cx="148" cy="0"/>
            </a:xfrm>
            <a:prstGeom prst="line">
              <a:avLst/>
            </a:prstGeom>
            <a:noFill/>
            <a:ln w="9525">
              <a:solidFill>
                <a:srgbClr val="C0C0C0"/>
              </a:solidFill>
              <a:round/>
              <a:headEnd/>
              <a:tailEnd/>
            </a:ln>
          </xdr:spPr>
        </xdr:sp>
        <xdr:sp macro="" textlink="">
          <xdr:nvSpPr>
            <xdr:cNvPr id="5577" name="Line 9464"/>
            <xdr:cNvSpPr>
              <a:spLocks noChangeShapeType="1"/>
            </xdr:cNvSpPr>
          </xdr:nvSpPr>
          <xdr:spPr bwMode="auto">
            <a:xfrm>
              <a:off x="5172" y="4047"/>
              <a:ext cx="0" cy="2336"/>
            </a:xfrm>
            <a:prstGeom prst="line">
              <a:avLst/>
            </a:prstGeom>
            <a:noFill/>
            <a:ln w="9525">
              <a:solidFill>
                <a:srgbClr val="C0C0C0"/>
              </a:solidFill>
              <a:round/>
              <a:headEnd/>
              <a:tailEnd/>
            </a:ln>
          </xdr:spPr>
        </xdr:sp>
        <xdr:sp macro="" textlink="">
          <xdr:nvSpPr>
            <xdr:cNvPr id="5578" name="Line 9465"/>
            <xdr:cNvSpPr>
              <a:spLocks noChangeShapeType="1"/>
            </xdr:cNvSpPr>
          </xdr:nvSpPr>
          <xdr:spPr bwMode="auto">
            <a:xfrm>
              <a:off x="4677" y="5737"/>
              <a:ext cx="347" cy="696"/>
            </a:xfrm>
            <a:prstGeom prst="line">
              <a:avLst/>
            </a:prstGeom>
            <a:noFill/>
            <a:ln w="9525">
              <a:solidFill>
                <a:srgbClr val="C0C0C0"/>
              </a:solidFill>
              <a:round/>
              <a:headEnd/>
              <a:tailEnd/>
            </a:ln>
          </xdr:spPr>
        </xdr:sp>
      </xdr:grpSp>
      <xdr:sp macro="" textlink="">
        <xdr:nvSpPr>
          <xdr:cNvPr id="5574" name="AutoShape 9466"/>
          <xdr:cNvSpPr>
            <a:spLocks noChangeArrowheads="1"/>
          </xdr:cNvSpPr>
        </xdr:nvSpPr>
        <xdr:spPr bwMode="auto">
          <a:xfrm rot="10800000">
            <a:off x="4365" y="5682"/>
            <a:ext cx="529" cy="746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91 w 21600"/>
              <a:gd name="T13" fmla="*/ 4500 h 21600"/>
              <a:gd name="T14" fmla="*/ 17109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C0C0C0"/>
            </a:solidFill>
            <a:miter lim="800000"/>
            <a:headEnd/>
            <a:tailEnd/>
          </a:ln>
        </xdr:spPr>
      </xdr:sp>
    </xdr:grpSp>
    <xdr:clientData/>
  </xdr:twoCellAnchor>
  <xdr:twoCellAnchor>
    <xdr:from>
      <xdr:col>4</xdr:col>
      <xdr:colOff>104775</xdr:colOff>
      <xdr:row>114</xdr:row>
      <xdr:rowOff>76200</xdr:rowOff>
    </xdr:from>
    <xdr:to>
      <xdr:col>4</xdr:col>
      <xdr:colOff>333375</xdr:colOff>
      <xdr:row>116</xdr:row>
      <xdr:rowOff>85725</xdr:rowOff>
    </xdr:to>
    <xdr:grpSp>
      <xdr:nvGrpSpPr>
        <xdr:cNvPr id="5587" name="Group 9467"/>
        <xdr:cNvGrpSpPr>
          <a:grpSpLocks/>
        </xdr:cNvGrpSpPr>
      </xdr:nvGrpSpPr>
      <xdr:grpSpPr bwMode="auto">
        <a:xfrm>
          <a:off x="4883604" y="18745200"/>
          <a:ext cx="228600" cy="357868"/>
          <a:chOff x="5163" y="2548"/>
          <a:chExt cx="2109" cy="2909"/>
        </a:xfrm>
      </xdr:grpSpPr>
      <xdr:sp macro="" textlink="">
        <xdr:nvSpPr>
          <xdr:cNvPr id="5588" name="Rectangle 9468"/>
          <xdr:cNvSpPr>
            <a:spLocks noChangeArrowheads="1"/>
          </xdr:cNvSpPr>
        </xdr:nvSpPr>
        <xdr:spPr bwMode="auto">
          <a:xfrm>
            <a:off x="5163" y="2548"/>
            <a:ext cx="1938" cy="2736"/>
          </a:xfrm>
          <a:prstGeom prst="rect">
            <a:avLst/>
          </a:prstGeom>
          <a:solidFill>
            <a:srgbClr val="FFFFFF"/>
          </a:solidFill>
          <a:ln w="9525">
            <a:solidFill>
              <a:srgbClr val="C0C0C0"/>
            </a:solidFill>
            <a:miter lim="800000"/>
            <a:headEnd/>
            <a:tailEnd/>
          </a:ln>
        </xdr:spPr>
      </xdr:sp>
      <xdr:sp macro="" textlink="">
        <xdr:nvSpPr>
          <xdr:cNvPr id="5589" name="Line 9469"/>
          <xdr:cNvSpPr>
            <a:spLocks noChangeShapeType="1"/>
          </xdr:cNvSpPr>
        </xdr:nvSpPr>
        <xdr:spPr bwMode="auto">
          <a:xfrm>
            <a:off x="5278" y="5284"/>
            <a:ext cx="1" cy="172"/>
          </a:xfrm>
          <a:prstGeom prst="line">
            <a:avLst/>
          </a:prstGeom>
          <a:noFill/>
          <a:ln w="9525">
            <a:solidFill>
              <a:srgbClr val="C0C0C0"/>
            </a:solidFill>
            <a:round/>
            <a:headEnd/>
            <a:tailEnd/>
          </a:ln>
        </xdr:spPr>
      </xdr:sp>
      <xdr:sp macro="" textlink="">
        <xdr:nvSpPr>
          <xdr:cNvPr id="5590" name="Line 9470"/>
          <xdr:cNvSpPr>
            <a:spLocks noChangeShapeType="1"/>
          </xdr:cNvSpPr>
        </xdr:nvSpPr>
        <xdr:spPr bwMode="auto">
          <a:xfrm>
            <a:off x="5279" y="5456"/>
            <a:ext cx="1993" cy="1"/>
          </a:xfrm>
          <a:prstGeom prst="line">
            <a:avLst/>
          </a:prstGeom>
          <a:noFill/>
          <a:ln w="9525">
            <a:solidFill>
              <a:srgbClr val="C0C0C0"/>
            </a:solidFill>
            <a:round/>
            <a:headEnd/>
            <a:tailEnd/>
          </a:ln>
        </xdr:spPr>
      </xdr:sp>
      <xdr:sp macro="" textlink="">
        <xdr:nvSpPr>
          <xdr:cNvPr id="5591" name="Line 9471"/>
          <xdr:cNvSpPr>
            <a:spLocks noChangeShapeType="1"/>
          </xdr:cNvSpPr>
        </xdr:nvSpPr>
        <xdr:spPr bwMode="auto">
          <a:xfrm>
            <a:off x="7101" y="2776"/>
            <a:ext cx="171" cy="1"/>
          </a:xfrm>
          <a:prstGeom prst="line">
            <a:avLst/>
          </a:prstGeom>
          <a:noFill/>
          <a:ln w="9525">
            <a:solidFill>
              <a:srgbClr val="C0C0C0"/>
            </a:solidFill>
            <a:round/>
            <a:headEnd/>
            <a:tailEnd/>
          </a:ln>
        </xdr:spPr>
      </xdr:sp>
      <xdr:sp macro="" textlink="">
        <xdr:nvSpPr>
          <xdr:cNvPr id="5592" name="Line 9472"/>
          <xdr:cNvSpPr>
            <a:spLocks noChangeShapeType="1"/>
          </xdr:cNvSpPr>
        </xdr:nvSpPr>
        <xdr:spPr bwMode="auto">
          <a:xfrm flipV="1">
            <a:off x="7272" y="2776"/>
            <a:ext cx="0" cy="2680"/>
          </a:xfrm>
          <a:prstGeom prst="line">
            <a:avLst/>
          </a:prstGeom>
          <a:noFill/>
          <a:ln w="9525">
            <a:solidFill>
              <a:srgbClr val="C0C0C0"/>
            </a:solidFill>
            <a:round/>
            <a:headEnd/>
            <a:tailEnd/>
          </a:ln>
        </xdr:spPr>
      </xdr:sp>
      <xdr:sp macro="" textlink="">
        <xdr:nvSpPr>
          <xdr:cNvPr id="5593" name="Line 9473"/>
          <xdr:cNvSpPr>
            <a:spLocks noChangeShapeType="1"/>
          </xdr:cNvSpPr>
        </xdr:nvSpPr>
        <xdr:spPr bwMode="auto">
          <a:xfrm>
            <a:off x="5448" y="2947"/>
            <a:ext cx="1311" cy="0"/>
          </a:xfrm>
          <a:prstGeom prst="line">
            <a:avLst/>
          </a:prstGeom>
          <a:noFill/>
          <a:ln w="9525">
            <a:solidFill>
              <a:srgbClr val="C0C0C0"/>
            </a:solidFill>
            <a:round/>
            <a:headEnd/>
            <a:tailEnd/>
          </a:ln>
        </xdr:spPr>
      </xdr:sp>
      <xdr:sp macro="" textlink="">
        <xdr:nvSpPr>
          <xdr:cNvPr id="5594" name="Line 9474"/>
          <xdr:cNvSpPr>
            <a:spLocks noChangeShapeType="1"/>
          </xdr:cNvSpPr>
        </xdr:nvSpPr>
        <xdr:spPr bwMode="auto">
          <a:xfrm>
            <a:off x="5448" y="3187"/>
            <a:ext cx="1311" cy="1"/>
          </a:xfrm>
          <a:prstGeom prst="line">
            <a:avLst/>
          </a:prstGeom>
          <a:noFill/>
          <a:ln w="9525">
            <a:solidFill>
              <a:srgbClr val="C0C0C0"/>
            </a:solidFill>
            <a:round/>
            <a:headEnd/>
            <a:tailEnd/>
          </a:ln>
        </xdr:spPr>
      </xdr:sp>
      <xdr:sp macro="" textlink="">
        <xdr:nvSpPr>
          <xdr:cNvPr id="5595" name="Line 9475"/>
          <xdr:cNvSpPr>
            <a:spLocks noChangeShapeType="1"/>
          </xdr:cNvSpPr>
        </xdr:nvSpPr>
        <xdr:spPr bwMode="auto">
          <a:xfrm>
            <a:off x="5448" y="3427"/>
            <a:ext cx="1311" cy="1"/>
          </a:xfrm>
          <a:prstGeom prst="line">
            <a:avLst/>
          </a:prstGeom>
          <a:noFill/>
          <a:ln w="9525">
            <a:solidFill>
              <a:srgbClr val="C0C0C0"/>
            </a:solidFill>
            <a:round/>
            <a:headEnd/>
            <a:tailEnd/>
          </a:ln>
        </xdr:spPr>
      </xdr:sp>
      <xdr:sp macro="" textlink="">
        <xdr:nvSpPr>
          <xdr:cNvPr id="5596" name="Line 9476"/>
          <xdr:cNvSpPr>
            <a:spLocks noChangeShapeType="1"/>
          </xdr:cNvSpPr>
        </xdr:nvSpPr>
        <xdr:spPr bwMode="auto">
          <a:xfrm>
            <a:off x="5448" y="3667"/>
            <a:ext cx="1311" cy="1"/>
          </a:xfrm>
          <a:prstGeom prst="line">
            <a:avLst/>
          </a:prstGeom>
          <a:noFill/>
          <a:ln w="9525">
            <a:solidFill>
              <a:srgbClr val="C0C0C0"/>
            </a:solidFill>
            <a:round/>
            <a:headEnd/>
            <a:tailEnd/>
          </a:ln>
        </xdr:spPr>
      </xdr:sp>
      <xdr:sp macro="" textlink="">
        <xdr:nvSpPr>
          <xdr:cNvPr id="5657" name="Line 9477"/>
          <xdr:cNvSpPr>
            <a:spLocks noChangeShapeType="1"/>
          </xdr:cNvSpPr>
        </xdr:nvSpPr>
        <xdr:spPr bwMode="auto">
          <a:xfrm>
            <a:off x="5448" y="3907"/>
            <a:ext cx="1311" cy="1"/>
          </a:xfrm>
          <a:prstGeom prst="line">
            <a:avLst/>
          </a:prstGeom>
          <a:noFill/>
          <a:ln w="9525">
            <a:solidFill>
              <a:srgbClr val="C0C0C0"/>
            </a:solidFill>
            <a:round/>
            <a:headEnd/>
            <a:tailEnd/>
          </a:ln>
        </xdr:spPr>
      </xdr:sp>
      <xdr:sp macro="" textlink="">
        <xdr:nvSpPr>
          <xdr:cNvPr id="5658" name="Line 9478"/>
          <xdr:cNvSpPr>
            <a:spLocks noChangeShapeType="1"/>
          </xdr:cNvSpPr>
        </xdr:nvSpPr>
        <xdr:spPr bwMode="auto">
          <a:xfrm>
            <a:off x="5448" y="4147"/>
            <a:ext cx="1311" cy="1"/>
          </a:xfrm>
          <a:prstGeom prst="line">
            <a:avLst/>
          </a:prstGeom>
          <a:noFill/>
          <a:ln w="9525">
            <a:solidFill>
              <a:srgbClr val="C0C0C0"/>
            </a:solidFill>
            <a:round/>
            <a:headEnd/>
            <a:tailEnd/>
          </a:ln>
        </xdr:spPr>
      </xdr:sp>
      <xdr:sp macro="" textlink="">
        <xdr:nvSpPr>
          <xdr:cNvPr id="5659" name="Line 9479"/>
          <xdr:cNvSpPr>
            <a:spLocks noChangeShapeType="1"/>
          </xdr:cNvSpPr>
        </xdr:nvSpPr>
        <xdr:spPr bwMode="auto">
          <a:xfrm>
            <a:off x="5448" y="4387"/>
            <a:ext cx="1311" cy="1"/>
          </a:xfrm>
          <a:prstGeom prst="line">
            <a:avLst/>
          </a:prstGeom>
          <a:noFill/>
          <a:ln w="9525">
            <a:solidFill>
              <a:srgbClr val="C0C0C0"/>
            </a:solidFill>
            <a:round/>
            <a:headEnd/>
            <a:tailEnd/>
          </a:ln>
        </xdr:spPr>
      </xdr:sp>
      <xdr:sp macro="" textlink="">
        <xdr:nvSpPr>
          <xdr:cNvPr id="5660" name="Line 9480"/>
          <xdr:cNvSpPr>
            <a:spLocks noChangeShapeType="1"/>
          </xdr:cNvSpPr>
        </xdr:nvSpPr>
        <xdr:spPr bwMode="auto">
          <a:xfrm>
            <a:off x="5448" y="4627"/>
            <a:ext cx="1311" cy="1"/>
          </a:xfrm>
          <a:prstGeom prst="line">
            <a:avLst/>
          </a:prstGeom>
          <a:noFill/>
          <a:ln w="9525">
            <a:solidFill>
              <a:srgbClr val="C0C0C0"/>
            </a:solidFill>
            <a:round/>
            <a:headEnd/>
            <a:tailEnd/>
          </a:ln>
        </xdr:spPr>
      </xdr:sp>
      <xdr:sp macro="" textlink="">
        <xdr:nvSpPr>
          <xdr:cNvPr id="5661" name="Line 9481"/>
          <xdr:cNvSpPr>
            <a:spLocks noChangeShapeType="1"/>
          </xdr:cNvSpPr>
        </xdr:nvSpPr>
        <xdr:spPr bwMode="auto">
          <a:xfrm>
            <a:off x="5448" y="4867"/>
            <a:ext cx="1311" cy="1"/>
          </a:xfrm>
          <a:prstGeom prst="line">
            <a:avLst/>
          </a:prstGeom>
          <a:noFill/>
          <a:ln w="9525">
            <a:solidFill>
              <a:srgbClr val="C0C0C0"/>
            </a:solidFill>
            <a:round/>
            <a:headEnd/>
            <a:tailEnd/>
          </a:ln>
        </xdr:spPr>
      </xdr:sp>
    </xdr:grpSp>
    <xdr:clientData/>
  </xdr:twoCellAnchor>
  <xdr:twoCellAnchor>
    <xdr:from>
      <xdr:col>4</xdr:col>
      <xdr:colOff>1143000</xdr:colOff>
      <xdr:row>114</xdr:row>
      <xdr:rowOff>114300</xdr:rowOff>
    </xdr:from>
    <xdr:to>
      <xdr:col>4</xdr:col>
      <xdr:colOff>1438275</xdr:colOff>
      <xdr:row>116</xdr:row>
      <xdr:rowOff>123825</xdr:rowOff>
    </xdr:to>
    <xdr:grpSp>
      <xdr:nvGrpSpPr>
        <xdr:cNvPr id="5662" name="Group 9482"/>
        <xdr:cNvGrpSpPr>
          <a:grpSpLocks/>
        </xdr:cNvGrpSpPr>
      </xdr:nvGrpSpPr>
      <xdr:grpSpPr bwMode="auto">
        <a:xfrm>
          <a:off x="5921829" y="18783300"/>
          <a:ext cx="295275" cy="357868"/>
          <a:chOff x="5238" y="4632"/>
          <a:chExt cx="1597" cy="1311"/>
        </a:xfrm>
      </xdr:grpSpPr>
      <xdr:sp macro="" textlink="">
        <xdr:nvSpPr>
          <xdr:cNvPr id="5663" name="Line 9483"/>
          <xdr:cNvSpPr>
            <a:spLocks noChangeShapeType="1"/>
          </xdr:cNvSpPr>
        </xdr:nvSpPr>
        <xdr:spPr bwMode="auto">
          <a:xfrm flipV="1">
            <a:off x="5238" y="4632"/>
            <a:ext cx="0" cy="855"/>
          </a:xfrm>
          <a:prstGeom prst="line">
            <a:avLst/>
          </a:prstGeom>
          <a:noFill/>
          <a:ln w="19050">
            <a:solidFill>
              <a:srgbClr val="C0C0C0"/>
            </a:solidFill>
            <a:round/>
            <a:headEnd/>
            <a:tailEnd/>
          </a:ln>
        </xdr:spPr>
      </xdr:sp>
      <xdr:sp macro="" textlink="">
        <xdr:nvSpPr>
          <xdr:cNvPr id="5664" name="Line 9484"/>
          <xdr:cNvSpPr>
            <a:spLocks noChangeShapeType="1"/>
          </xdr:cNvSpPr>
        </xdr:nvSpPr>
        <xdr:spPr bwMode="auto">
          <a:xfrm>
            <a:off x="5238" y="4632"/>
            <a:ext cx="1597" cy="0"/>
          </a:xfrm>
          <a:prstGeom prst="line">
            <a:avLst/>
          </a:prstGeom>
          <a:noFill/>
          <a:ln w="19050">
            <a:solidFill>
              <a:srgbClr val="C0C0C0"/>
            </a:solidFill>
            <a:round/>
            <a:headEnd/>
            <a:tailEnd/>
          </a:ln>
        </xdr:spPr>
      </xdr:sp>
      <xdr:sp macro="" textlink="">
        <xdr:nvSpPr>
          <xdr:cNvPr id="5665" name="Line 9485"/>
          <xdr:cNvSpPr>
            <a:spLocks noChangeShapeType="1"/>
          </xdr:cNvSpPr>
        </xdr:nvSpPr>
        <xdr:spPr bwMode="auto">
          <a:xfrm>
            <a:off x="5238" y="5487"/>
            <a:ext cx="342" cy="1"/>
          </a:xfrm>
          <a:prstGeom prst="line">
            <a:avLst/>
          </a:prstGeom>
          <a:noFill/>
          <a:ln w="19050">
            <a:solidFill>
              <a:srgbClr val="C0C0C0"/>
            </a:solidFill>
            <a:round/>
            <a:headEnd/>
            <a:tailEnd/>
          </a:ln>
        </xdr:spPr>
      </xdr:sp>
      <xdr:sp macro="" textlink="">
        <xdr:nvSpPr>
          <xdr:cNvPr id="5666" name="Line 9486"/>
          <xdr:cNvSpPr>
            <a:spLocks noChangeShapeType="1"/>
          </xdr:cNvSpPr>
        </xdr:nvSpPr>
        <xdr:spPr bwMode="auto">
          <a:xfrm flipH="1">
            <a:off x="5409" y="5487"/>
            <a:ext cx="172" cy="456"/>
          </a:xfrm>
          <a:prstGeom prst="line">
            <a:avLst/>
          </a:prstGeom>
          <a:noFill/>
          <a:ln w="19050">
            <a:solidFill>
              <a:srgbClr val="C0C0C0"/>
            </a:solidFill>
            <a:round/>
            <a:headEnd/>
            <a:tailEnd/>
          </a:ln>
        </xdr:spPr>
      </xdr:sp>
      <xdr:sp macro="" textlink="">
        <xdr:nvSpPr>
          <xdr:cNvPr id="5667" name="Line 9487"/>
          <xdr:cNvSpPr>
            <a:spLocks noChangeShapeType="1"/>
          </xdr:cNvSpPr>
        </xdr:nvSpPr>
        <xdr:spPr bwMode="auto">
          <a:xfrm flipV="1">
            <a:off x="5409" y="5487"/>
            <a:ext cx="627" cy="456"/>
          </a:xfrm>
          <a:prstGeom prst="line">
            <a:avLst/>
          </a:prstGeom>
          <a:noFill/>
          <a:ln w="19050">
            <a:solidFill>
              <a:srgbClr val="C0C0C0"/>
            </a:solidFill>
            <a:round/>
            <a:headEnd/>
            <a:tailEnd/>
          </a:ln>
        </xdr:spPr>
      </xdr:sp>
      <xdr:sp macro="" textlink="">
        <xdr:nvSpPr>
          <xdr:cNvPr id="5668" name="Line 9488"/>
          <xdr:cNvSpPr>
            <a:spLocks noChangeShapeType="1"/>
          </xdr:cNvSpPr>
        </xdr:nvSpPr>
        <xdr:spPr bwMode="auto">
          <a:xfrm>
            <a:off x="6036" y="5487"/>
            <a:ext cx="799" cy="1"/>
          </a:xfrm>
          <a:prstGeom prst="line">
            <a:avLst/>
          </a:prstGeom>
          <a:noFill/>
          <a:ln w="19050">
            <a:solidFill>
              <a:srgbClr val="C0C0C0"/>
            </a:solidFill>
            <a:round/>
            <a:headEnd/>
            <a:tailEnd/>
          </a:ln>
        </xdr:spPr>
      </xdr:sp>
      <xdr:sp macro="" textlink="">
        <xdr:nvSpPr>
          <xdr:cNvPr id="5669" name="Line 9489"/>
          <xdr:cNvSpPr>
            <a:spLocks noChangeShapeType="1"/>
          </xdr:cNvSpPr>
        </xdr:nvSpPr>
        <xdr:spPr bwMode="auto">
          <a:xfrm>
            <a:off x="6835" y="4632"/>
            <a:ext cx="0" cy="856"/>
          </a:xfrm>
          <a:prstGeom prst="line">
            <a:avLst/>
          </a:prstGeom>
          <a:noFill/>
          <a:ln w="19050">
            <a:solidFill>
              <a:srgbClr val="C0C0C0"/>
            </a:solidFill>
            <a:round/>
            <a:headEnd/>
            <a:tailEnd/>
          </a:ln>
        </xdr:spPr>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11905</xdr:colOff>
      <xdr:row>5</xdr:row>
      <xdr:rowOff>33876</xdr:rowOff>
    </xdr:from>
    <xdr:to>
      <xdr:col>2</xdr:col>
      <xdr:colOff>1285872</xdr:colOff>
      <xdr:row>5</xdr:row>
      <xdr:rowOff>262851</xdr:rowOff>
    </xdr:to>
    <xdr:pic>
      <xdr:nvPicPr>
        <xdr:cNvPr id="2" name="Bild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8624" y="33876"/>
          <a:ext cx="1273967" cy="228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44824</xdr:colOff>
      <xdr:row>0</xdr:row>
      <xdr:rowOff>44823</xdr:rowOff>
    </xdr:from>
    <xdr:to>
      <xdr:col>3</xdr:col>
      <xdr:colOff>511968</xdr:colOff>
      <xdr:row>0</xdr:row>
      <xdr:rowOff>273798</xdr:rowOff>
    </xdr:to>
    <xdr:pic>
      <xdr:nvPicPr>
        <xdr:cNvPr id="3" name="Bild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736" y="44823"/>
          <a:ext cx="1273967" cy="228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3726659</xdr:colOff>
      <xdr:row>53</xdr:row>
      <xdr:rowOff>99723</xdr:rowOff>
    </xdr:from>
    <xdr:to>
      <xdr:col>4</xdr:col>
      <xdr:colOff>6174586</xdr:colOff>
      <xdr:row>57</xdr:row>
      <xdr:rowOff>71434</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60334" y="8014998"/>
          <a:ext cx="2447927" cy="733711"/>
        </a:xfrm>
        <a:prstGeom prst="rect">
          <a:avLst/>
        </a:prstGeom>
      </xdr:spPr>
    </xdr:pic>
    <xdr:clientData/>
  </xdr:twoCellAnchor>
  <xdr:twoCellAnchor editAs="oneCell">
    <xdr:from>
      <xdr:col>4</xdr:col>
      <xdr:colOff>6246374</xdr:colOff>
      <xdr:row>54</xdr:row>
      <xdr:rowOff>130630</xdr:rowOff>
    </xdr:from>
    <xdr:to>
      <xdr:col>5</xdr:col>
      <xdr:colOff>159081</xdr:colOff>
      <xdr:row>57</xdr:row>
      <xdr:rowOff>119064</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80049" y="8236405"/>
          <a:ext cx="2113732" cy="559934"/>
        </a:xfrm>
        <a:prstGeom prst="rect">
          <a:avLst/>
        </a:prstGeom>
      </xdr:spPr>
    </xdr:pic>
    <xdr:clientData/>
  </xdr:twoCellAnchor>
  <xdr:twoCellAnchor editAs="oneCell">
    <xdr:from>
      <xdr:col>4</xdr:col>
      <xdr:colOff>1322349</xdr:colOff>
      <xdr:row>54</xdr:row>
      <xdr:rowOff>9698</xdr:rowOff>
    </xdr:from>
    <xdr:to>
      <xdr:col>4</xdr:col>
      <xdr:colOff>3454859</xdr:colOff>
      <xdr:row>59</xdr:row>
      <xdr:rowOff>47624</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6024" y="7734473"/>
          <a:ext cx="2132510" cy="999951"/>
        </a:xfrm>
        <a:prstGeom prst="rect">
          <a:avLst/>
        </a:prstGeom>
      </xdr:spPr>
    </xdr:pic>
    <xdr:clientData/>
  </xdr:twoCellAnchor>
  <xdr:twoCellAnchor editAs="oneCell">
    <xdr:from>
      <xdr:col>0</xdr:col>
      <xdr:colOff>214591</xdr:colOff>
      <xdr:row>0</xdr:row>
      <xdr:rowOff>33618</xdr:rowOff>
    </xdr:from>
    <xdr:to>
      <xdr:col>3</xdr:col>
      <xdr:colOff>892965</xdr:colOff>
      <xdr:row>0</xdr:row>
      <xdr:rowOff>262593</xdr:rowOff>
    </xdr:to>
    <xdr:pic>
      <xdr:nvPicPr>
        <xdr:cNvPr id="6" name="Bild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4591" y="33618"/>
          <a:ext cx="1283492" cy="228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ervice.projectplacedocs.com/C/Users/anders.nohrewallden/AppData/Roaming/Microsoft/Excel/BREEAM%20integration%20tabl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lossary"/>
      <sheetName val="Assessment details"/>
      <sheetName val="Integration table"/>
    </sheetNames>
    <sheetDataSet>
      <sheetData sheetId="0" refreshError="1"/>
      <sheetData sheetId="1" refreshError="1"/>
      <sheetData sheetId="2" refreshError="1"/>
      <sheetData sheetId="3" refreshError="1">
        <row r="30">
          <cell r="BJ30" t="str">
            <v>y</v>
          </cell>
        </row>
      </sheetData>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AC59"/>
  <sheetViews>
    <sheetView showGridLines="0" zoomScale="85" zoomScaleNormal="85" workbookViewId="0">
      <selection activeCell="AG25" sqref="AG25"/>
    </sheetView>
  </sheetViews>
  <sheetFormatPr baseColWidth="10" defaultColWidth="11.42578125" defaultRowHeight="15" x14ac:dyDescent="0.25"/>
  <cols>
    <col min="1" max="1" width="3.28515625" style="480" customWidth="1"/>
    <col min="2" max="2" width="2.85546875" style="480" customWidth="1"/>
    <col min="3" max="3" width="2.85546875" style="529" customWidth="1"/>
    <col min="4" max="4" width="32" style="529" customWidth="1"/>
    <col min="5" max="5" width="123" style="529" customWidth="1"/>
    <col min="6" max="6" width="3.42578125" style="529" customWidth="1"/>
    <col min="7" max="7" width="3.140625" style="484" customWidth="1"/>
    <col min="8" max="8" width="39" style="480" hidden="1" customWidth="1"/>
    <col min="9" max="9" width="28.7109375" style="480" hidden="1" customWidth="1"/>
    <col min="10" max="10" width="5.7109375" style="480" hidden="1" customWidth="1"/>
    <col min="11" max="11" width="39.85546875" style="480" hidden="1" customWidth="1"/>
    <col min="12" max="12" width="26.85546875" style="480" hidden="1" customWidth="1"/>
    <col min="13" max="13" width="5.7109375" style="480" hidden="1" customWidth="1"/>
    <col min="14" max="14" width="46" style="480" hidden="1" customWidth="1"/>
    <col min="15" max="15" width="35.42578125" style="480" hidden="1" customWidth="1"/>
    <col min="16" max="16" width="3" style="480" hidden="1" customWidth="1"/>
    <col min="17" max="17" width="52.7109375" style="480" hidden="1" customWidth="1"/>
    <col min="18" max="18" width="36.7109375" style="480" hidden="1" customWidth="1"/>
    <col min="19" max="19" width="3.28515625" style="480" hidden="1" customWidth="1"/>
    <col min="20" max="20" width="37" style="480" hidden="1" customWidth="1"/>
    <col min="21" max="21" width="30.28515625" style="480" hidden="1" customWidth="1"/>
    <col min="22" max="22" width="5.7109375" style="480" hidden="1" customWidth="1"/>
    <col min="23" max="23" width="37.85546875" style="480" hidden="1" customWidth="1"/>
    <col min="24" max="24" width="30.42578125" style="480" hidden="1" customWidth="1"/>
    <col min="25" max="25" width="4.42578125" style="480" hidden="1" customWidth="1"/>
    <col min="26" max="26" width="37.85546875" style="465" hidden="1" customWidth="1"/>
    <col min="27" max="27" width="31.140625" style="480" hidden="1" customWidth="1"/>
    <col min="28" max="28" width="3.85546875" style="480" hidden="1" customWidth="1"/>
    <col min="29" max="29" width="3.140625" style="480" customWidth="1"/>
    <col min="30" max="16384" width="11.42578125" style="271"/>
  </cols>
  <sheetData>
    <row r="1" spans="1:29" ht="22.5" customHeight="1" thickBot="1" x14ac:dyDescent="0.4">
      <c r="A1" s="460"/>
      <c r="B1" s="460"/>
      <c r="C1" s="485"/>
      <c r="D1" s="485"/>
      <c r="E1" s="986" t="s">
        <v>810</v>
      </c>
      <c r="F1" s="485"/>
      <c r="G1" s="461"/>
      <c r="H1" s="460"/>
      <c r="I1" s="460"/>
      <c r="J1" s="460"/>
      <c r="K1" s="460"/>
      <c r="L1" s="460"/>
      <c r="M1" s="460"/>
      <c r="N1" s="460"/>
      <c r="O1" s="460"/>
      <c r="P1" s="460"/>
      <c r="Q1" s="460"/>
      <c r="R1" s="460"/>
      <c r="S1" s="460"/>
      <c r="T1" s="460"/>
      <c r="U1" s="460"/>
      <c r="V1" s="460"/>
      <c r="W1" s="460"/>
      <c r="X1" s="460"/>
      <c r="Y1" s="460"/>
      <c r="Z1" s="462"/>
      <c r="AA1" s="463"/>
      <c r="AB1" s="463"/>
      <c r="AC1" s="460"/>
    </row>
    <row r="2" spans="1:29" ht="16.5" thickTop="1" thickBot="1" x14ac:dyDescent="0.3">
      <c r="A2" s="460"/>
      <c r="B2" s="486"/>
      <c r="C2" s="487"/>
      <c r="D2" s="487"/>
      <c r="E2" s="487"/>
      <c r="F2" s="487"/>
      <c r="G2" s="493"/>
      <c r="H2" s="464"/>
      <c r="I2" s="464"/>
      <c r="J2" s="464"/>
      <c r="K2" s="464"/>
      <c r="L2" s="464"/>
      <c r="M2" s="464"/>
      <c r="N2" s="464"/>
      <c r="O2" s="464"/>
      <c r="P2" s="464"/>
      <c r="Q2" s="464"/>
      <c r="R2" s="464"/>
      <c r="S2" s="464"/>
      <c r="T2" s="464"/>
      <c r="U2" s="464"/>
      <c r="V2" s="464"/>
      <c r="W2" s="464"/>
      <c r="X2" s="464"/>
      <c r="Y2" s="464"/>
      <c r="Z2" s="464"/>
      <c r="AA2" s="465"/>
      <c r="AB2" s="465"/>
      <c r="AC2" s="460"/>
    </row>
    <row r="3" spans="1:29" ht="18.600000000000001" hidden="1" customHeight="1" x14ac:dyDescent="0.25">
      <c r="A3" s="466"/>
      <c r="B3" s="467"/>
      <c r="C3" s="1049" t="s">
        <v>739</v>
      </c>
      <c r="D3" s="1050"/>
      <c r="E3" s="1050"/>
      <c r="F3" s="1051"/>
      <c r="G3" s="608"/>
      <c r="H3" s="605" t="s">
        <v>12</v>
      </c>
      <c r="I3" s="468"/>
      <c r="J3" s="469"/>
      <c r="K3" s="488" t="s">
        <v>13</v>
      </c>
      <c r="L3" s="468"/>
      <c r="M3" s="469"/>
      <c r="N3" s="488" t="s">
        <v>14</v>
      </c>
      <c r="O3" s="468"/>
      <c r="P3" s="469"/>
      <c r="Q3" s="488" t="s">
        <v>15</v>
      </c>
      <c r="R3" s="468"/>
      <c r="S3" s="469"/>
      <c r="T3" s="488" t="s">
        <v>16</v>
      </c>
      <c r="U3" s="468"/>
      <c r="V3" s="469"/>
      <c r="W3" s="488" t="s">
        <v>17</v>
      </c>
      <c r="X3" s="468"/>
      <c r="Y3" s="469"/>
      <c r="Z3" s="488" t="s">
        <v>18</v>
      </c>
      <c r="AA3" s="468"/>
      <c r="AB3" s="469"/>
      <c r="AC3" s="466"/>
    </row>
    <row r="4" spans="1:29" ht="15.75" hidden="1" thickBot="1" x14ac:dyDescent="0.3">
      <c r="A4" s="466"/>
      <c r="B4" s="467"/>
      <c r="C4" s="489"/>
      <c r="D4" s="489"/>
      <c r="E4" s="489"/>
      <c r="F4" s="489"/>
      <c r="G4" s="608"/>
      <c r="H4" s="490"/>
      <c r="I4" s="470"/>
      <c r="J4" s="470"/>
      <c r="K4" s="490"/>
      <c r="L4" s="470"/>
      <c r="M4" s="470"/>
      <c r="N4" s="490"/>
      <c r="O4" s="470"/>
      <c r="P4" s="470"/>
      <c r="Q4" s="490"/>
      <c r="R4" s="470"/>
      <c r="S4" s="470"/>
      <c r="T4" s="490"/>
      <c r="U4" s="470"/>
      <c r="V4" s="470"/>
      <c r="W4" s="490"/>
      <c r="X4" s="470"/>
      <c r="Y4" s="470"/>
      <c r="Z4" s="471"/>
      <c r="AA4" s="471"/>
      <c r="AB4" s="471"/>
      <c r="AC4" s="466"/>
    </row>
    <row r="5" spans="1:29" ht="15.75" thickTop="1" x14ac:dyDescent="0.25">
      <c r="A5" s="460"/>
      <c r="B5" s="472"/>
      <c r="C5" s="491"/>
      <c r="D5" s="492"/>
      <c r="E5" s="492"/>
      <c r="F5" s="493"/>
      <c r="G5" s="609"/>
      <c r="H5" s="474"/>
      <c r="I5" s="474"/>
      <c r="J5" s="475"/>
      <c r="K5" s="473"/>
      <c r="L5" s="474"/>
      <c r="M5" s="475"/>
      <c r="N5" s="473"/>
      <c r="O5" s="474"/>
      <c r="P5" s="475"/>
      <c r="Q5" s="473"/>
      <c r="R5" s="474"/>
      <c r="S5" s="475"/>
      <c r="T5" s="473"/>
      <c r="U5" s="474"/>
      <c r="V5" s="475"/>
      <c r="W5" s="473"/>
      <c r="X5" s="474"/>
      <c r="Y5" s="475"/>
      <c r="Z5" s="473"/>
      <c r="AA5" s="474"/>
      <c r="AB5" s="475"/>
      <c r="AC5" s="460"/>
    </row>
    <row r="6" spans="1:29" x14ac:dyDescent="0.25">
      <c r="A6" s="460"/>
      <c r="B6" s="472"/>
      <c r="C6" s="494"/>
      <c r="D6" s="495" t="s">
        <v>63</v>
      </c>
      <c r="E6" s="495"/>
      <c r="F6" s="496"/>
      <c r="G6" s="610"/>
      <c r="H6" s="505" t="s">
        <v>19</v>
      </c>
      <c r="I6" s="498"/>
      <c r="J6" s="499"/>
      <c r="K6" s="497" t="s">
        <v>20</v>
      </c>
      <c r="L6" s="498"/>
      <c r="M6" s="476"/>
      <c r="N6" s="497" t="s">
        <v>20</v>
      </c>
      <c r="O6" s="500"/>
      <c r="P6" s="499"/>
      <c r="Q6" s="497" t="s">
        <v>19</v>
      </c>
      <c r="R6" s="498"/>
      <c r="S6" s="499"/>
      <c r="T6" s="497" t="s">
        <v>21</v>
      </c>
      <c r="U6" s="498" t="e">
        <f>IF(blah="y","Yes","No")</f>
        <v>#NAME?</v>
      </c>
      <c r="V6" s="499"/>
      <c r="W6" s="497" t="s">
        <v>22</v>
      </c>
      <c r="X6" s="500"/>
      <c r="Y6" s="499"/>
      <c r="Z6" s="497" t="s">
        <v>23</v>
      </c>
      <c r="AA6" s="498"/>
      <c r="AB6" s="499"/>
      <c r="AC6" s="460"/>
    </row>
    <row r="7" spans="1:29" ht="24.75" customHeight="1" x14ac:dyDescent="0.25">
      <c r="A7" s="460"/>
      <c r="B7" s="472"/>
      <c r="C7" s="494"/>
      <c r="D7" s="1055" t="s">
        <v>856</v>
      </c>
      <c r="E7" s="1055"/>
      <c r="F7" s="496"/>
      <c r="G7" s="611"/>
      <c r="H7" s="505" t="s">
        <v>24</v>
      </c>
      <c r="I7" s="498"/>
      <c r="J7" s="499"/>
      <c r="K7" s="497" t="s">
        <v>21</v>
      </c>
      <c r="L7" s="498" t="e">
        <f>IF(blah3="y","Yes","No")</f>
        <v>#NAME?</v>
      </c>
      <c r="M7" s="499"/>
      <c r="N7" s="497" t="s">
        <v>25</v>
      </c>
      <c r="O7" s="500" t="e">
        <v>#REF!</v>
      </c>
      <c r="P7" s="499"/>
      <c r="Q7" s="497" t="s">
        <v>21</v>
      </c>
      <c r="R7" s="500" t="e">
        <v>#REF!</v>
      </c>
      <c r="S7" s="499"/>
      <c r="T7" s="497" t="s">
        <v>26</v>
      </c>
      <c r="U7" s="501" t="s">
        <v>27</v>
      </c>
      <c r="V7" s="499"/>
      <c r="W7" s="497" t="s">
        <v>28</v>
      </c>
      <c r="X7" s="500" t="e">
        <v>#REF!</v>
      </c>
      <c r="Y7" s="499"/>
      <c r="Z7" s="502"/>
      <c r="AA7" s="503"/>
      <c r="AB7" s="504"/>
      <c r="AC7" s="460"/>
    </row>
    <row r="8" spans="1:29" x14ac:dyDescent="0.25">
      <c r="A8" s="460"/>
      <c r="B8" s="472"/>
      <c r="C8" s="494"/>
      <c r="D8" s="1055"/>
      <c r="E8" s="1055"/>
      <c r="F8" s="496"/>
      <c r="G8" s="611"/>
      <c r="H8" s="505" t="s">
        <v>29</v>
      </c>
      <c r="I8" s="498"/>
      <c r="J8" s="499"/>
      <c r="K8" s="497" t="s">
        <v>30</v>
      </c>
      <c r="L8" s="498" t="e">
        <v>#REF!</v>
      </c>
      <c r="M8" s="499"/>
      <c r="N8" s="497" t="s">
        <v>31</v>
      </c>
      <c r="O8" s="500" t="e">
        <v>#REF!</v>
      </c>
      <c r="P8" s="499"/>
      <c r="Q8" s="497" t="s">
        <v>32</v>
      </c>
      <c r="R8" s="500" t="e">
        <v>#REF!</v>
      </c>
      <c r="S8" s="499"/>
      <c r="T8" s="497"/>
      <c r="U8" s="505"/>
      <c r="V8" s="499"/>
      <c r="W8" s="497" t="s">
        <v>33</v>
      </c>
      <c r="X8" s="500" t="e">
        <v>#REF!</v>
      </c>
      <c r="Y8" s="499"/>
      <c r="Z8" s="506"/>
      <c r="AA8" s="506"/>
      <c r="AB8" s="506"/>
      <c r="AC8" s="460"/>
    </row>
    <row r="9" spans="1:29" x14ac:dyDescent="0.25">
      <c r="A9" s="460"/>
      <c r="B9" s="472"/>
      <c r="C9" s="494"/>
      <c r="D9" s="1055"/>
      <c r="E9" s="1055"/>
      <c r="F9" s="496"/>
      <c r="G9" s="610"/>
      <c r="H9" s="478"/>
      <c r="I9" s="478"/>
      <c r="J9" s="479"/>
      <c r="K9" s="477"/>
      <c r="L9" s="478"/>
      <c r="M9" s="479"/>
      <c r="N9" s="497" t="s">
        <v>34</v>
      </c>
      <c r="O9" s="500" t="e">
        <v>#REF!</v>
      </c>
      <c r="P9" s="499"/>
      <c r="Q9" s="497" t="s">
        <v>35</v>
      </c>
      <c r="R9" s="500" t="e">
        <v>#REF!</v>
      </c>
      <c r="S9" s="499"/>
      <c r="T9" s="477"/>
      <c r="U9" s="478"/>
      <c r="V9" s="479"/>
      <c r="W9" s="497" t="s">
        <v>36</v>
      </c>
      <c r="X9" s="500" t="e">
        <v>#REF!</v>
      </c>
      <c r="Y9" s="499"/>
      <c r="Z9" s="507"/>
      <c r="AA9" s="508"/>
      <c r="AB9" s="509"/>
      <c r="AC9" s="460"/>
    </row>
    <row r="10" spans="1:29" ht="30" x14ac:dyDescent="0.25">
      <c r="A10" s="460"/>
      <c r="B10" s="472"/>
      <c r="C10" s="494"/>
      <c r="D10" s="1055"/>
      <c r="E10" s="1055"/>
      <c r="F10" s="496"/>
      <c r="G10" s="610"/>
      <c r="K10" s="506"/>
      <c r="L10" s="506"/>
      <c r="M10" s="506"/>
      <c r="N10" s="497" t="s">
        <v>37</v>
      </c>
      <c r="O10" s="500" t="e">
        <v>#REF!</v>
      </c>
      <c r="P10" s="499"/>
      <c r="Q10" s="497" t="s">
        <v>38</v>
      </c>
      <c r="R10" s="500" t="e">
        <v>#REF!</v>
      </c>
      <c r="S10" s="499"/>
      <c r="T10" s="506"/>
      <c r="U10" s="506"/>
      <c r="V10" s="506"/>
      <c r="W10" s="497" t="s">
        <v>21</v>
      </c>
      <c r="X10" s="500" t="e">
        <v>#REF!</v>
      </c>
      <c r="Y10" s="499"/>
      <c r="Z10" s="510" t="s">
        <v>26</v>
      </c>
      <c r="AA10" s="511"/>
      <c r="AB10" s="512"/>
      <c r="AC10" s="460"/>
    </row>
    <row r="11" spans="1:29" x14ac:dyDescent="0.25">
      <c r="A11" s="460"/>
      <c r="B11" s="472"/>
      <c r="C11" s="494"/>
      <c r="D11" s="1055"/>
      <c r="E11" s="1055"/>
      <c r="F11" s="496"/>
      <c r="G11" s="610"/>
      <c r="H11" s="606"/>
      <c r="I11" s="508"/>
      <c r="J11" s="509"/>
      <c r="K11" s="465"/>
      <c r="L11" s="465"/>
      <c r="M11" s="465"/>
      <c r="N11" s="497" t="s">
        <v>39</v>
      </c>
      <c r="O11" s="500" t="e">
        <v>#REF!</v>
      </c>
      <c r="P11" s="499"/>
      <c r="Q11" s="497" t="s">
        <v>40</v>
      </c>
      <c r="R11" s="500" t="e">
        <v>#REF!</v>
      </c>
      <c r="S11" s="499"/>
      <c r="T11" s="465"/>
      <c r="U11" s="465"/>
      <c r="V11" s="465"/>
      <c r="W11" s="1052" t="s">
        <v>41</v>
      </c>
      <c r="X11" s="1053" t="e">
        <v>#REF!</v>
      </c>
      <c r="Y11" s="499"/>
      <c r="Z11" s="477"/>
      <c r="AA11" s="478"/>
      <c r="AB11" s="479"/>
      <c r="AC11" s="460"/>
    </row>
    <row r="12" spans="1:29" x14ac:dyDescent="0.25">
      <c r="A12" s="460"/>
      <c r="B12" s="472"/>
      <c r="C12" s="494"/>
      <c r="D12" s="1055"/>
      <c r="E12" s="1055"/>
      <c r="F12" s="496"/>
      <c r="G12" s="610"/>
      <c r="H12" s="505" t="s">
        <v>21</v>
      </c>
      <c r="I12" s="511" t="s">
        <v>27</v>
      </c>
      <c r="J12" s="512"/>
      <c r="K12" s="506"/>
      <c r="L12" s="506"/>
      <c r="M12" s="506"/>
      <c r="N12" s="497" t="s">
        <v>33</v>
      </c>
      <c r="O12" s="500" t="e">
        <v>#REF!</v>
      </c>
      <c r="P12" s="499"/>
      <c r="Q12" s="497" t="s">
        <v>26</v>
      </c>
      <c r="R12" s="500" t="e">
        <v>#REF!</v>
      </c>
      <c r="S12" s="499"/>
      <c r="T12" s="506"/>
      <c r="U12" s="506"/>
      <c r="V12" s="506"/>
      <c r="W12" s="1052"/>
      <c r="X12" s="1054"/>
      <c r="Y12" s="499"/>
      <c r="Z12" s="506"/>
      <c r="AA12" s="506"/>
      <c r="AB12" s="506"/>
      <c r="AC12" s="460"/>
    </row>
    <row r="13" spans="1:29" ht="30" x14ac:dyDescent="0.25">
      <c r="A13" s="460"/>
      <c r="B13" s="472"/>
      <c r="C13" s="494"/>
      <c r="D13" s="1055"/>
      <c r="E13" s="1055"/>
      <c r="F13" s="496"/>
      <c r="G13" s="610"/>
      <c r="H13" s="505" t="s">
        <v>42</v>
      </c>
      <c r="I13" s="511" t="s">
        <v>27</v>
      </c>
      <c r="J13" s="512"/>
      <c r="K13" s="506"/>
      <c r="L13" s="506"/>
      <c r="M13" s="506"/>
      <c r="N13" s="497" t="s">
        <v>21</v>
      </c>
      <c r="O13" s="500" t="e">
        <v>#REF!</v>
      </c>
      <c r="P13" s="499"/>
      <c r="Q13" s="513" t="s">
        <v>0</v>
      </c>
      <c r="R13" s="500" t="e">
        <v>#REF!</v>
      </c>
      <c r="S13" s="481"/>
      <c r="T13" s="506"/>
      <c r="U13" s="506"/>
      <c r="V13" s="506"/>
      <c r="W13" s="497" t="s">
        <v>40</v>
      </c>
      <c r="X13" s="500" t="e">
        <v>#REF!</v>
      </c>
      <c r="Y13" s="499"/>
      <c r="Z13" s="506"/>
      <c r="AA13" s="506"/>
      <c r="AB13" s="506"/>
      <c r="AC13" s="460"/>
    </row>
    <row r="14" spans="1:29" x14ac:dyDescent="0.25">
      <c r="A14" s="460"/>
      <c r="B14" s="472"/>
      <c r="C14" s="494"/>
      <c r="D14" s="1055"/>
      <c r="E14" s="1055"/>
      <c r="F14" s="496"/>
      <c r="G14" s="610"/>
      <c r="H14" s="607" t="s">
        <v>33</v>
      </c>
      <c r="I14" s="511" t="s">
        <v>27</v>
      </c>
      <c r="J14" s="512"/>
      <c r="K14" s="506"/>
      <c r="L14" s="506"/>
      <c r="M14" s="506"/>
      <c r="N14" s="477"/>
      <c r="O14" s="478"/>
      <c r="P14" s="479"/>
      <c r="Q14" s="513" t="s">
        <v>1</v>
      </c>
      <c r="R14" s="500" t="e">
        <v>#REF!</v>
      </c>
      <c r="S14" s="514"/>
      <c r="T14" s="506"/>
      <c r="U14" s="506"/>
      <c r="V14" s="506"/>
      <c r="W14" s="515" t="s">
        <v>2</v>
      </c>
      <c r="X14" s="500" t="e">
        <v>#REF!</v>
      </c>
      <c r="Y14" s="499"/>
      <c r="Z14" s="506"/>
      <c r="AA14" s="506"/>
      <c r="AB14" s="506"/>
      <c r="AC14" s="460"/>
    </row>
    <row r="15" spans="1:29" x14ac:dyDescent="0.25">
      <c r="A15" s="460"/>
      <c r="B15" s="472"/>
      <c r="C15" s="494"/>
      <c r="D15" s="1055"/>
      <c r="E15" s="1055"/>
      <c r="F15" s="496"/>
      <c r="G15" s="610"/>
      <c r="H15" s="607" t="s">
        <v>26</v>
      </c>
      <c r="I15" s="516" t="e">
        <v>#REF!</v>
      </c>
      <c r="J15" s="481"/>
      <c r="K15" s="506"/>
      <c r="L15" s="506"/>
      <c r="M15" s="506"/>
      <c r="N15" s="506"/>
      <c r="O15" s="506"/>
      <c r="P15" s="506"/>
      <c r="Q15" s="513" t="s">
        <v>3</v>
      </c>
      <c r="R15" s="517" t="e">
        <f>IF(EDUwastefacility="y","Yes","No")</f>
        <v>#NAME?</v>
      </c>
      <c r="S15" s="518"/>
      <c r="T15" s="506"/>
      <c r="U15" s="506"/>
      <c r="V15" s="506"/>
      <c r="W15" s="477"/>
      <c r="X15" s="478"/>
      <c r="Y15" s="479"/>
      <c r="Z15" s="506"/>
      <c r="AA15" s="506"/>
      <c r="AB15" s="506"/>
      <c r="AC15" s="460"/>
    </row>
    <row r="16" spans="1:29" x14ac:dyDescent="0.25">
      <c r="A16" s="460"/>
      <c r="B16" s="472"/>
      <c r="C16" s="494"/>
      <c r="D16" s="1055"/>
      <c r="E16" s="1055"/>
      <c r="F16" s="496"/>
      <c r="G16" s="610"/>
      <c r="H16" s="478"/>
      <c r="I16" s="478"/>
      <c r="J16" s="479"/>
      <c r="K16" s="506"/>
      <c r="L16" s="506"/>
      <c r="M16" s="506"/>
      <c r="N16" s="506"/>
      <c r="O16" s="506"/>
      <c r="P16" s="506"/>
      <c r="Q16" s="513" t="s">
        <v>4</v>
      </c>
      <c r="R16" s="517" t="e">
        <v>#REF!</v>
      </c>
      <c r="S16" s="518"/>
      <c r="T16" s="506"/>
      <c r="U16" s="506"/>
      <c r="V16" s="506"/>
      <c r="Z16" s="506"/>
      <c r="AA16" s="506"/>
      <c r="AB16" s="506"/>
      <c r="AC16" s="460"/>
    </row>
    <row r="17" spans="1:29" x14ac:dyDescent="0.25">
      <c r="A17" s="460"/>
      <c r="B17" s="472"/>
      <c r="C17" s="494"/>
      <c r="D17" s="1055"/>
      <c r="E17" s="1055"/>
      <c r="F17" s="496"/>
      <c r="G17" s="610"/>
      <c r="H17" s="519"/>
      <c r="I17" s="506"/>
      <c r="J17" s="506"/>
      <c r="K17" s="506"/>
      <c r="L17" s="506"/>
      <c r="M17" s="506"/>
      <c r="N17" s="506"/>
      <c r="O17" s="506"/>
      <c r="P17" s="506"/>
      <c r="Q17" s="513" t="s">
        <v>5</v>
      </c>
      <c r="R17" s="517" t="e">
        <v>#REF!</v>
      </c>
      <c r="S17" s="518"/>
      <c r="T17" s="506"/>
      <c r="U17" s="506"/>
      <c r="V17" s="506"/>
      <c r="W17" s="506"/>
      <c r="X17" s="506"/>
      <c r="Y17" s="506"/>
      <c r="Z17" s="506"/>
      <c r="AA17" s="506"/>
      <c r="AB17" s="506"/>
      <c r="AC17" s="460"/>
    </row>
    <row r="18" spans="1:29" x14ac:dyDescent="0.25">
      <c r="A18" s="460"/>
      <c r="B18" s="472"/>
      <c r="C18" s="494"/>
      <c r="D18" s="1055"/>
      <c r="E18" s="1055"/>
      <c r="F18" s="496"/>
      <c r="G18" s="610"/>
      <c r="H18" s="520"/>
      <c r="I18" s="506"/>
      <c r="J18" s="506"/>
      <c r="K18" s="506"/>
      <c r="L18" s="506"/>
      <c r="M18" s="506"/>
      <c r="N18" s="506"/>
      <c r="O18" s="506"/>
      <c r="P18" s="506"/>
      <c r="Q18" s="513" t="s">
        <v>6</v>
      </c>
      <c r="R18" s="517" t="e">
        <v>#REF!</v>
      </c>
      <c r="S18" s="518"/>
      <c r="T18" s="506"/>
      <c r="U18" s="506"/>
      <c r="V18" s="506"/>
      <c r="W18" s="506"/>
      <c r="X18" s="506"/>
      <c r="Y18" s="506"/>
      <c r="Z18" s="506"/>
      <c r="AA18" s="506"/>
      <c r="AB18" s="506"/>
      <c r="AC18" s="460"/>
    </row>
    <row r="19" spans="1:29" x14ac:dyDescent="0.25">
      <c r="A19" s="460"/>
      <c r="B19" s="472"/>
      <c r="C19" s="494"/>
      <c r="D19" s="1055"/>
      <c r="E19" s="1055"/>
      <c r="F19" s="496"/>
      <c r="G19" s="610"/>
      <c r="H19" s="465"/>
      <c r="I19" s="506"/>
      <c r="J19" s="506"/>
      <c r="K19" s="506"/>
      <c r="L19" s="506"/>
      <c r="M19" s="506"/>
      <c r="N19" s="506"/>
      <c r="O19" s="506"/>
      <c r="P19" s="506"/>
      <c r="Q19" s="513" t="s">
        <v>7</v>
      </c>
      <c r="R19" s="517" t="e">
        <f>IF(EDUdatacentres="y","Yes","No")</f>
        <v>#NAME?</v>
      </c>
      <c r="S19" s="518"/>
      <c r="T19" s="506"/>
      <c r="U19" s="506"/>
      <c r="V19" s="506"/>
      <c r="W19" s="506"/>
      <c r="X19" s="506"/>
      <c r="Y19" s="506"/>
      <c r="Z19" s="506"/>
      <c r="AA19" s="506"/>
      <c r="AB19" s="506"/>
      <c r="AC19" s="460"/>
    </row>
    <row r="20" spans="1:29" x14ac:dyDescent="0.25">
      <c r="A20" s="460"/>
      <c r="B20" s="472"/>
      <c r="C20" s="521"/>
      <c r="D20" s="1055"/>
      <c r="E20" s="1055"/>
      <c r="F20" s="522"/>
      <c r="G20" s="610"/>
      <c r="H20" s="465"/>
      <c r="I20" s="465"/>
      <c r="J20" s="465"/>
      <c r="K20" s="465"/>
      <c r="L20" s="465"/>
      <c r="M20" s="465"/>
      <c r="N20" s="465"/>
      <c r="O20" s="465"/>
      <c r="P20" s="465"/>
      <c r="Q20" s="477"/>
      <c r="R20" s="478"/>
      <c r="S20" s="479"/>
      <c r="T20" s="465"/>
      <c r="U20" s="465"/>
      <c r="V20" s="465"/>
      <c r="W20" s="465"/>
      <c r="X20" s="465"/>
      <c r="Y20" s="465"/>
      <c r="AA20" s="465"/>
      <c r="AB20" s="465"/>
      <c r="AC20" s="460"/>
    </row>
    <row r="21" spans="1:29" x14ac:dyDescent="0.25">
      <c r="A21" s="460"/>
      <c r="B21" s="472"/>
      <c r="C21" s="521"/>
      <c r="D21" s="1055"/>
      <c r="E21" s="1055"/>
      <c r="F21" s="522"/>
      <c r="G21" s="610"/>
      <c r="H21" s="465"/>
      <c r="I21" s="465"/>
      <c r="J21" s="465"/>
      <c r="K21" s="465"/>
      <c r="L21" s="465"/>
      <c r="M21" s="465"/>
      <c r="N21" s="465"/>
      <c r="O21" s="465"/>
      <c r="P21" s="465"/>
      <c r="Q21" s="465"/>
      <c r="R21" s="465"/>
      <c r="S21" s="465"/>
      <c r="T21" s="465"/>
      <c r="U21" s="465"/>
      <c r="V21" s="465"/>
      <c r="W21" s="465"/>
      <c r="X21" s="465"/>
      <c r="Y21" s="465"/>
      <c r="AA21" s="465"/>
      <c r="AB21" s="465"/>
      <c r="AC21" s="460"/>
    </row>
    <row r="22" spans="1:29" x14ac:dyDescent="0.25">
      <c r="A22" s="460"/>
      <c r="B22" s="472"/>
      <c r="C22" s="494"/>
      <c r="D22" s="1055"/>
      <c r="E22" s="1055"/>
      <c r="F22" s="496"/>
      <c r="G22" s="610"/>
      <c r="H22" s="465"/>
      <c r="I22" s="465"/>
      <c r="J22" s="465"/>
      <c r="K22" s="465"/>
      <c r="L22" s="465"/>
      <c r="M22" s="465"/>
      <c r="N22" s="465"/>
      <c r="O22" s="465"/>
      <c r="P22" s="465"/>
      <c r="Q22" s="465"/>
      <c r="R22" s="465"/>
      <c r="S22" s="465"/>
      <c r="T22" s="465"/>
      <c r="U22" s="465"/>
      <c r="V22" s="465"/>
      <c r="W22" s="465"/>
      <c r="X22" s="465"/>
      <c r="Y22" s="465"/>
      <c r="AA22" s="465"/>
      <c r="AB22" s="465"/>
      <c r="AC22" s="460"/>
    </row>
    <row r="23" spans="1:29" x14ac:dyDescent="0.25">
      <c r="A23" s="460"/>
      <c r="B23" s="472"/>
      <c r="C23" s="494"/>
      <c r="D23" s="1055"/>
      <c r="E23" s="1055"/>
      <c r="F23" s="496"/>
      <c r="G23" s="610"/>
      <c r="H23" s="465"/>
      <c r="I23" s="465"/>
      <c r="J23" s="465"/>
      <c r="K23" s="465"/>
      <c r="L23" s="465"/>
      <c r="M23" s="465"/>
      <c r="N23" s="465"/>
      <c r="O23" s="465"/>
      <c r="P23" s="465"/>
      <c r="Q23" s="465"/>
      <c r="R23" s="465"/>
      <c r="S23" s="465"/>
      <c r="T23" s="465"/>
      <c r="U23" s="465"/>
      <c r="V23" s="465"/>
      <c r="W23" s="465"/>
      <c r="X23" s="465"/>
      <c r="Y23" s="465"/>
      <c r="AA23" s="465"/>
      <c r="AB23" s="465"/>
      <c r="AC23" s="460"/>
    </row>
    <row r="24" spans="1:29" x14ac:dyDescent="0.25">
      <c r="A24" s="460"/>
      <c r="B24" s="472"/>
      <c r="C24" s="494"/>
      <c r="D24" s="1055"/>
      <c r="E24" s="1055"/>
      <c r="F24" s="496"/>
      <c r="G24" s="610"/>
      <c r="H24" s="465"/>
      <c r="I24" s="465"/>
      <c r="J24" s="465"/>
      <c r="K24" s="465"/>
      <c r="L24" s="465"/>
      <c r="M24" s="465"/>
      <c r="N24" s="465"/>
      <c r="O24" s="465"/>
      <c r="P24" s="465"/>
      <c r="Q24" s="465"/>
      <c r="R24" s="465"/>
      <c r="S24" s="465"/>
      <c r="T24" s="465"/>
      <c r="U24" s="465"/>
      <c r="V24" s="465"/>
      <c r="W24" s="465"/>
      <c r="X24" s="465"/>
      <c r="Y24" s="465"/>
      <c r="AA24" s="465"/>
      <c r="AB24" s="465"/>
      <c r="AC24" s="460"/>
    </row>
    <row r="25" spans="1:29" x14ac:dyDescent="0.25">
      <c r="A25" s="460"/>
      <c r="B25" s="472"/>
      <c r="C25" s="494"/>
      <c r="D25" s="1055"/>
      <c r="E25" s="1055"/>
      <c r="F25" s="496"/>
      <c r="G25" s="610"/>
      <c r="H25" s="465"/>
      <c r="I25" s="506"/>
      <c r="J25" s="506"/>
      <c r="K25" s="506"/>
      <c r="L25" s="506"/>
      <c r="M25" s="506"/>
      <c r="N25" s="506"/>
      <c r="O25" s="506"/>
      <c r="P25" s="506"/>
      <c r="Q25" s="506"/>
      <c r="R25" s="506"/>
      <c r="S25" s="506"/>
      <c r="T25" s="506"/>
      <c r="U25" s="506"/>
      <c r="V25" s="506"/>
      <c r="W25" s="506"/>
      <c r="X25" s="506"/>
      <c r="Y25" s="506"/>
      <c r="Z25" s="506"/>
      <c r="AA25" s="506"/>
      <c r="AB25" s="506"/>
      <c r="AC25" s="460"/>
    </row>
    <row r="26" spans="1:29" x14ac:dyDescent="0.25">
      <c r="A26" s="460"/>
      <c r="B26" s="472"/>
      <c r="C26" s="521"/>
      <c r="D26" s="1055"/>
      <c r="E26" s="1055"/>
      <c r="F26" s="522"/>
      <c r="G26" s="610"/>
      <c r="H26" s="465"/>
      <c r="I26" s="465"/>
      <c r="J26" s="465"/>
      <c r="K26" s="465"/>
      <c r="L26" s="465"/>
      <c r="M26" s="465"/>
      <c r="N26" s="465"/>
      <c r="O26" s="465"/>
      <c r="P26" s="465"/>
      <c r="Q26" s="465"/>
      <c r="R26" s="465"/>
      <c r="S26" s="465"/>
      <c r="T26" s="465"/>
      <c r="U26" s="465"/>
      <c r="V26" s="465"/>
      <c r="W26" s="465"/>
      <c r="X26" s="465"/>
      <c r="Y26" s="465"/>
      <c r="AA26" s="465"/>
      <c r="AB26" s="465"/>
      <c r="AC26" s="460"/>
    </row>
    <row r="27" spans="1:29" x14ac:dyDescent="0.25">
      <c r="A27" s="460"/>
      <c r="B27" s="472"/>
      <c r="C27" s="521"/>
      <c r="D27" s="1055"/>
      <c r="E27" s="1055"/>
      <c r="F27" s="522"/>
      <c r="G27" s="610"/>
      <c r="H27" s="465"/>
      <c r="I27" s="465"/>
      <c r="J27" s="465"/>
      <c r="K27" s="465"/>
      <c r="L27" s="465"/>
      <c r="M27" s="465"/>
      <c r="N27" s="465"/>
      <c r="O27" s="465"/>
      <c r="P27" s="465"/>
      <c r="Q27" s="465"/>
      <c r="R27" s="465"/>
      <c r="S27" s="465"/>
      <c r="T27" s="465"/>
      <c r="U27" s="465"/>
      <c r="V27" s="465"/>
      <c r="W27" s="465"/>
      <c r="X27" s="465"/>
      <c r="Y27" s="465"/>
      <c r="AA27" s="465"/>
      <c r="AB27" s="465"/>
      <c r="AC27" s="460"/>
    </row>
    <row r="28" spans="1:29" x14ac:dyDescent="0.25">
      <c r="A28" s="460"/>
      <c r="B28" s="472"/>
      <c r="C28" s="521"/>
      <c r="D28" s="1055"/>
      <c r="E28" s="1055"/>
      <c r="F28" s="522"/>
      <c r="G28" s="610"/>
      <c r="H28" s="465"/>
      <c r="I28" s="465"/>
      <c r="J28" s="465"/>
      <c r="K28" s="465"/>
      <c r="L28" s="465"/>
      <c r="M28" s="465"/>
      <c r="N28" s="465"/>
      <c r="O28" s="465"/>
      <c r="P28" s="465"/>
      <c r="Q28" s="465"/>
      <c r="R28" s="465"/>
      <c r="S28" s="465"/>
      <c r="T28" s="465"/>
      <c r="U28" s="465"/>
      <c r="V28" s="465"/>
      <c r="W28" s="465"/>
      <c r="X28" s="465"/>
      <c r="Y28" s="465"/>
      <c r="AA28" s="465"/>
      <c r="AB28" s="465"/>
      <c r="AC28" s="460"/>
    </row>
    <row r="29" spans="1:29" x14ac:dyDescent="0.25">
      <c r="A29" s="460"/>
      <c r="B29" s="472"/>
      <c r="C29" s="521"/>
      <c r="D29" s="1055"/>
      <c r="E29" s="1055"/>
      <c r="F29" s="522"/>
      <c r="G29" s="610"/>
      <c r="H29" s="465"/>
      <c r="I29" s="465"/>
      <c r="J29" s="465"/>
      <c r="K29" s="465"/>
      <c r="L29" s="465"/>
      <c r="M29" s="465"/>
      <c r="N29" s="465"/>
      <c r="O29" s="465"/>
      <c r="P29" s="465"/>
      <c r="Q29" s="465"/>
      <c r="R29" s="465"/>
      <c r="S29" s="465"/>
      <c r="T29" s="465"/>
      <c r="U29" s="465"/>
      <c r="V29" s="465"/>
      <c r="W29" s="465"/>
      <c r="X29" s="465"/>
      <c r="Y29" s="465"/>
      <c r="AA29" s="465"/>
      <c r="AB29" s="465"/>
      <c r="AC29" s="460"/>
    </row>
    <row r="30" spans="1:29" ht="15" customHeight="1" x14ac:dyDescent="0.25">
      <c r="A30" s="460"/>
      <c r="B30" s="472"/>
      <c r="C30" s="521"/>
      <c r="D30" s="1055"/>
      <c r="E30" s="1055"/>
      <c r="F30" s="522"/>
      <c r="G30" s="610"/>
      <c r="H30" s="465"/>
      <c r="I30" s="465"/>
      <c r="J30" s="465"/>
      <c r="K30" s="465"/>
      <c r="L30" s="465"/>
      <c r="M30" s="465"/>
      <c r="N30" s="465"/>
      <c r="O30" s="465"/>
      <c r="P30" s="465"/>
      <c r="Q30" s="465"/>
      <c r="R30" s="465"/>
      <c r="S30" s="465"/>
      <c r="T30" s="465"/>
      <c r="U30" s="465"/>
      <c r="V30" s="465"/>
      <c r="W30" s="465"/>
      <c r="X30" s="465"/>
      <c r="Y30" s="465"/>
      <c r="AA30" s="465"/>
      <c r="AB30" s="465"/>
      <c r="AC30" s="460"/>
    </row>
    <row r="31" spans="1:29" x14ac:dyDescent="0.25">
      <c r="A31" s="460"/>
      <c r="B31" s="472"/>
      <c r="C31" s="521"/>
      <c r="D31" s="1055"/>
      <c r="E31" s="1055"/>
      <c r="F31" s="522"/>
      <c r="G31" s="610"/>
      <c r="H31" s="465"/>
      <c r="I31" s="465"/>
      <c r="J31" s="465"/>
      <c r="K31" s="465"/>
      <c r="L31" s="465"/>
      <c r="M31" s="465"/>
      <c r="N31" s="465"/>
      <c r="O31" s="465"/>
      <c r="P31" s="465"/>
      <c r="Q31" s="465"/>
      <c r="R31" s="465"/>
      <c r="S31" s="465"/>
      <c r="T31" s="465"/>
      <c r="U31" s="465"/>
      <c r="V31" s="465"/>
      <c r="W31" s="465"/>
      <c r="X31" s="465"/>
      <c r="Y31" s="465"/>
      <c r="AA31" s="465"/>
      <c r="AB31" s="465"/>
      <c r="AC31" s="460"/>
    </row>
    <row r="32" spans="1:29" ht="36.75" customHeight="1" x14ac:dyDescent="0.25">
      <c r="A32" s="460"/>
      <c r="B32" s="472"/>
      <c r="C32" s="494"/>
      <c r="D32" s="1055"/>
      <c r="E32" s="1055"/>
      <c r="F32" s="496"/>
      <c r="G32" s="610"/>
      <c r="H32" s="465"/>
      <c r="I32" s="465"/>
      <c r="J32" s="465"/>
      <c r="K32" s="465"/>
      <c r="L32" s="465"/>
      <c r="M32" s="465"/>
      <c r="N32" s="465"/>
      <c r="O32" s="465"/>
      <c r="P32" s="465"/>
      <c r="Q32" s="465"/>
      <c r="R32" s="465"/>
      <c r="S32" s="465"/>
      <c r="T32" s="465"/>
      <c r="U32" s="465"/>
      <c r="V32" s="465"/>
      <c r="W32" s="465"/>
      <c r="X32" s="465"/>
      <c r="Y32" s="465"/>
      <c r="AA32" s="465"/>
      <c r="AB32" s="465"/>
      <c r="AC32" s="460"/>
    </row>
    <row r="33" spans="1:29" x14ac:dyDescent="0.25">
      <c r="A33" s="460"/>
      <c r="B33" s="472"/>
      <c r="C33" s="494"/>
      <c r="D33" s="523"/>
      <c r="E33" s="523"/>
      <c r="F33" s="496"/>
      <c r="G33" s="610"/>
      <c r="H33" s="465"/>
      <c r="I33" s="465"/>
      <c r="J33" s="465"/>
      <c r="K33" s="465"/>
      <c r="L33" s="465"/>
      <c r="M33" s="465"/>
      <c r="N33" s="465"/>
      <c r="O33" s="465"/>
      <c r="P33" s="465"/>
      <c r="Q33" s="465"/>
      <c r="R33" s="465"/>
      <c r="S33" s="465"/>
      <c r="T33" s="465"/>
      <c r="U33" s="465"/>
      <c r="V33" s="465"/>
      <c r="W33" s="465"/>
      <c r="X33" s="465"/>
      <c r="Y33" s="465"/>
      <c r="AA33" s="465"/>
      <c r="AB33" s="465"/>
      <c r="AC33" s="460"/>
    </row>
    <row r="34" spans="1:29" x14ac:dyDescent="0.25">
      <c r="A34" s="460"/>
      <c r="B34" s="472"/>
      <c r="C34" s="521"/>
      <c r="D34" s="523" t="str">
        <f>Revisjonslogg!D53</f>
        <v>Versjon 1.9.4</v>
      </c>
      <c r="E34" s="523"/>
      <c r="F34" s="522"/>
      <c r="G34" s="610"/>
      <c r="H34" s="465"/>
      <c r="I34" s="465"/>
      <c r="J34" s="465"/>
      <c r="K34" s="465"/>
      <c r="L34" s="465"/>
      <c r="M34" s="465"/>
      <c r="N34" s="465"/>
      <c r="O34" s="465"/>
      <c r="P34" s="465"/>
      <c r="Q34" s="465"/>
      <c r="R34" s="465"/>
      <c r="S34" s="465"/>
      <c r="T34" s="465"/>
      <c r="U34" s="465"/>
      <c r="V34" s="465"/>
      <c r="W34" s="465"/>
      <c r="X34" s="465"/>
      <c r="Y34" s="465"/>
      <c r="AA34" s="465"/>
      <c r="AB34" s="465"/>
      <c r="AC34" s="460"/>
    </row>
    <row r="35" spans="1:29" x14ac:dyDescent="0.25">
      <c r="A35" s="460"/>
      <c r="B35" s="472"/>
      <c r="C35" s="521"/>
      <c r="D35" s="523" t="str">
        <f>Revisjonslogg!D54</f>
        <v>Dato: 17.03.2016</v>
      </c>
      <c r="E35" s="523"/>
      <c r="F35" s="522"/>
      <c r="G35" s="610"/>
      <c r="H35" s="465"/>
      <c r="I35" s="465"/>
      <c r="J35" s="465"/>
      <c r="K35" s="465"/>
      <c r="L35" s="465"/>
      <c r="M35" s="465"/>
      <c r="N35" s="465"/>
      <c r="O35" s="465"/>
      <c r="P35" s="465"/>
      <c r="Q35" s="465"/>
      <c r="R35" s="465"/>
      <c r="S35" s="465"/>
      <c r="T35" s="465"/>
      <c r="U35" s="465"/>
      <c r="V35" s="465"/>
      <c r="W35" s="465"/>
      <c r="X35" s="465"/>
      <c r="Y35" s="465"/>
      <c r="AA35" s="465"/>
      <c r="AB35" s="465"/>
      <c r="AC35" s="460"/>
    </row>
    <row r="36" spans="1:29" x14ac:dyDescent="0.25">
      <c r="A36" s="460"/>
      <c r="B36" s="472"/>
      <c r="C36" s="521"/>
      <c r="E36" s="523"/>
      <c r="F36" s="522"/>
      <c r="G36" s="610"/>
      <c r="H36" s="465"/>
      <c r="I36" s="465"/>
      <c r="J36" s="465"/>
      <c r="K36" s="465"/>
      <c r="L36" s="465"/>
      <c r="M36" s="465"/>
      <c r="N36" s="465"/>
      <c r="O36" s="465"/>
      <c r="P36" s="465"/>
      <c r="Q36" s="465"/>
      <c r="R36" s="465"/>
      <c r="S36" s="465"/>
      <c r="T36" s="465"/>
      <c r="U36" s="465"/>
      <c r="V36" s="465"/>
      <c r="W36" s="465"/>
      <c r="X36" s="465"/>
      <c r="Y36" s="465"/>
      <c r="AA36" s="465"/>
      <c r="AB36" s="465"/>
      <c r="AC36" s="460"/>
    </row>
    <row r="37" spans="1:29" x14ac:dyDescent="0.25">
      <c r="A37" s="460"/>
      <c r="B37" s="472"/>
      <c r="C37" s="521"/>
      <c r="E37" s="523"/>
      <c r="F37" s="522"/>
      <c r="G37" s="610"/>
      <c r="H37" s="465"/>
      <c r="I37" s="465"/>
      <c r="J37" s="465"/>
      <c r="K37" s="465"/>
      <c r="L37" s="465"/>
      <c r="M37" s="465"/>
      <c r="N37" s="465"/>
      <c r="O37" s="465"/>
      <c r="P37" s="465"/>
      <c r="Q37" s="465"/>
      <c r="R37" s="465"/>
      <c r="S37" s="465"/>
      <c r="T37" s="465"/>
      <c r="U37" s="465"/>
      <c r="V37" s="465"/>
      <c r="W37" s="465"/>
      <c r="X37" s="465"/>
      <c r="Y37" s="465"/>
      <c r="AA37" s="465"/>
      <c r="AB37" s="465"/>
      <c r="AC37" s="460"/>
    </row>
    <row r="38" spans="1:29" x14ac:dyDescent="0.25">
      <c r="A38" s="460"/>
      <c r="B38" s="472"/>
      <c r="C38" s="521"/>
      <c r="D38" s="523"/>
      <c r="E38" s="523"/>
      <c r="F38" s="522"/>
      <c r="G38" s="610"/>
      <c r="H38" s="465"/>
      <c r="I38" s="465"/>
      <c r="J38" s="465"/>
      <c r="K38" s="465"/>
      <c r="L38" s="465"/>
      <c r="M38" s="465"/>
      <c r="N38" s="465"/>
      <c r="O38" s="465"/>
      <c r="P38" s="465"/>
      <c r="Q38" s="465"/>
      <c r="R38" s="465"/>
      <c r="S38" s="465"/>
      <c r="T38" s="465"/>
      <c r="U38" s="465"/>
      <c r="V38" s="465"/>
      <c r="W38" s="465"/>
      <c r="X38" s="465"/>
      <c r="Y38" s="465"/>
      <c r="AA38" s="465"/>
      <c r="AB38" s="465"/>
      <c r="AC38" s="460"/>
    </row>
    <row r="39" spans="1:29" x14ac:dyDescent="0.25">
      <c r="A39" s="460"/>
      <c r="B39" s="472"/>
      <c r="C39" s="521"/>
      <c r="D39" s="523"/>
      <c r="E39" s="523"/>
      <c r="F39" s="522"/>
      <c r="G39" s="610"/>
      <c r="H39" s="465"/>
      <c r="I39" s="465"/>
      <c r="J39" s="465"/>
      <c r="K39" s="465"/>
      <c r="L39" s="465"/>
      <c r="M39" s="465"/>
      <c r="N39" s="465"/>
      <c r="O39" s="465"/>
      <c r="P39" s="465"/>
      <c r="Q39" s="465"/>
      <c r="R39" s="465"/>
      <c r="S39" s="465"/>
      <c r="T39" s="465"/>
      <c r="U39" s="465"/>
      <c r="V39" s="465"/>
      <c r="W39" s="465"/>
      <c r="X39" s="465"/>
      <c r="Y39" s="465"/>
      <c r="AA39" s="465"/>
      <c r="AB39" s="465"/>
      <c r="AC39" s="460"/>
    </row>
    <row r="40" spans="1:29" ht="15.75" x14ac:dyDescent="0.25">
      <c r="A40" s="460"/>
      <c r="B40" s="472"/>
      <c r="C40" s="521"/>
      <c r="D40" s="523"/>
      <c r="E40" s="621" t="s">
        <v>757</v>
      </c>
      <c r="F40" s="522"/>
      <c r="G40" s="610"/>
      <c r="H40" s="465"/>
      <c r="I40" s="465"/>
      <c r="J40" s="465"/>
      <c r="K40" s="465"/>
      <c r="L40" s="465"/>
      <c r="M40" s="465"/>
      <c r="N40" s="465"/>
      <c r="O40" s="465"/>
      <c r="P40" s="465"/>
      <c r="Q40" s="465"/>
      <c r="R40" s="465"/>
      <c r="S40" s="465"/>
      <c r="T40" s="465"/>
      <c r="U40" s="465"/>
      <c r="V40" s="465"/>
      <c r="W40" s="465"/>
      <c r="X40" s="465"/>
      <c r="Y40" s="465"/>
      <c r="AA40" s="465"/>
      <c r="AB40" s="465"/>
      <c r="AC40" s="460"/>
    </row>
    <row r="41" spans="1:29" ht="15.75" thickBot="1" x14ac:dyDescent="0.3">
      <c r="A41" s="460"/>
      <c r="B41" s="472"/>
      <c r="C41" s="525"/>
      <c r="D41" s="526"/>
      <c r="E41" s="620"/>
      <c r="F41" s="527"/>
      <c r="G41" s="610"/>
      <c r="H41" s="465"/>
      <c r="I41" s="465"/>
      <c r="J41" s="465"/>
      <c r="K41" s="465"/>
      <c r="L41" s="465"/>
      <c r="M41" s="465"/>
      <c r="N41" s="465"/>
      <c r="O41" s="465"/>
      <c r="P41" s="465"/>
      <c r="Q41" s="465"/>
      <c r="R41" s="465"/>
      <c r="S41" s="465"/>
      <c r="T41" s="465"/>
      <c r="U41" s="465"/>
      <c r="V41" s="465"/>
      <c r="W41" s="465"/>
      <c r="X41" s="465"/>
      <c r="Y41" s="465"/>
      <c r="AA41" s="465"/>
      <c r="AB41" s="465"/>
      <c r="AC41" s="460"/>
    </row>
    <row r="42" spans="1:29" ht="16.5" thickTop="1" thickBot="1" x14ac:dyDescent="0.3">
      <c r="A42" s="460"/>
      <c r="B42" s="482"/>
      <c r="C42" s="528"/>
      <c r="D42" s="528"/>
      <c r="E42" s="528"/>
      <c r="F42" s="528"/>
      <c r="G42" s="612"/>
      <c r="H42" s="483"/>
      <c r="I42" s="483"/>
      <c r="J42" s="483"/>
      <c r="K42" s="483"/>
      <c r="L42" s="483"/>
      <c r="M42" s="483"/>
      <c r="N42" s="483"/>
      <c r="O42" s="483"/>
      <c r="P42" s="483"/>
      <c r="Q42" s="483"/>
      <c r="R42" s="483"/>
      <c r="S42" s="483"/>
      <c r="T42" s="483"/>
      <c r="U42" s="483"/>
      <c r="V42" s="483"/>
      <c r="W42" s="483"/>
      <c r="X42" s="483"/>
      <c r="Y42" s="483"/>
      <c r="Z42" s="483"/>
      <c r="AA42" s="465"/>
      <c r="AB42" s="465"/>
      <c r="AC42" s="460"/>
    </row>
    <row r="43" spans="1:29" ht="16.5" customHeight="1" thickTop="1" x14ac:dyDescent="0.25">
      <c r="A43" s="460"/>
      <c r="B43" s="460"/>
      <c r="C43" s="485"/>
      <c r="D43" s="485"/>
      <c r="E43" s="485"/>
      <c r="F43" s="485"/>
      <c r="G43" s="461"/>
      <c r="H43" s="460"/>
      <c r="I43" s="460"/>
      <c r="J43" s="460"/>
      <c r="K43" s="460"/>
      <c r="L43" s="460"/>
      <c r="M43" s="460"/>
      <c r="N43" s="460"/>
      <c r="O43" s="460"/>
      <c r="P43" s="460"/>
      <c r="Q43" s="460"/>
      <c r="R43" s="460"/>
      <c r="S43" s="460"/>
      <c r="T43" s="460"/>
      <c r="U43" s="460"/>
      <c r="V43" s="460"/>
      <c r="W43" s="460"/>
      <c r="X43" s="460"/>
      <c r="Y43" s="460"/>
      <c r="Z43" s="462"/>
      <c r="AA43" s="460"/>
      <c r="AB43" s="460"/>
      <c r="AC43" s="460"/>
    </row>
    <row r="46" spans="1:29" x14ac:dyDescent="0.25">
      <c r="D46" s="601"/>
    </row>
    <row r="47" spans="1:29" x14ac:dyDescent="0.25">
      <c r="D47" s="602"/>
      <c r="E47" s="600"/>
    </row>
    <row r="48" spans="1:29" x14ac:dyDescent="0.25">
      <c r="E48" s="600"/>
    </row>
    <row r="49" spans="4:5" x14ac:dyDescent="0.25">
      <c r="E49" s="600"/>
    </row>
    <row r="50" spans="4:5" x14ac:dyDescent="0.25">
      <c r="E50" s="600"/>
    </row>
    <row r="51" spans="4:5" x14ac:dyDescent="0.25">
      <c r="E51" s="600"/>
    </row>
    <row r="52" spans="4:5" x14ac:dyDescent="0.25">
      <c r="D52" s="602"/>
      <c r="E52" s="600"/>
    </row>
    <row r="53" spans="4:5" x14ac:dyDescent="0.25">
      <c r="E53" s="600"/>
    </row>
    <row r="54" spans="4:5" x14ac:dyDescent="0.25">
      <c r="D54" s="602"/>
      <c r="E54" s="600"/>
    </row>
    <row r="55" spans="4:5" x14ac:dyDescent="0.25">
      <c r="E55" s="600"/>
    </row>
    <row r="56" spans="4:5" x14ac:dyDescent="0.25">
      <c r="E56" s="600"/>
    </row>
    <row r="57" spans="4:5" x14ac:dyDescent="0.25">
      <c r="E57" s="600"/>
    </row>
    <row r="58" spans="4:5" x14ac:dyDescent="0.25">
      <c r="E58" s="600"/>
    </row>
    <row r="59" spans="4:5" x14ac:dyDescent="0.25">
      <c r="D59" s="602"/>
      <c r="E59" s="600"/>
    </row>
  </sheetData>
  <sheetProtection algorithmName="SHA-512" hashValue="8kFUyKjb497uxvL1phR81MsSp28ffx5YPPCs2fSdM5fA1Nr8cw6juTcgrjX6hZoLTIxypKMCekMGui9cS2LscA==" saltValue="9a7ryB3XkPe2ZHJviuWdMg==" spinCount="100000" sheet="1" objects="1" scenarios="1" selectLockedCells="1" selectUnlockedCells="1"/>
  <mergeCells count="4">
    <mergeCell ref="C3:F3"/>
    <mergeCell ref="W11:W12"/>
    <mergeCell ref="X11:X12"/>
    <mergeCell ref="D7:E32"/>
  </mergeCells>
  <phoneticPr fontId="20" type="noConversion"/>
  <dataValidations disablePrompts="1" count="1">
    <dataValidation type="list" allowBlank="1" showInputMessage="1" showErrorMessage="1" sqref="G6 G65542 G131078 G196614 G262150 G327686 G393222 G458758 G524294 G589830 G655366 G720902 G786438 G851974 G917510 G983046">
      <formula1>$AE$13:$AE$14</formula1>
    </dataValidation>
  </dataValidations>
  <pageMargins left="0.7" right="0.7" top="0.78740157499999996" bottom="0.78740157499999996" header="0.3" footer="0.3"/>
  <pageSetup paperSize="9" orientation="portrait" r:id="rId1"/>
  <drawing r:id="rId2"/>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H21"/>
  <sheetViews>
    <sheetView showGridLines="0" zoomScale="85" zoomScaleNormal="85" workbookViewId="0">
      <selection activeCell="E29" sqref="E29"/>
    </sheetView>
  </sheetViews>
  <sheetFormatPr baseColWidth="10" defaultColWidth="11.42578125" defaultRowHeight="15" x14ac:dyDescent="0.25"/>
  <cols>
    <col min="1" max="1" width="3.28515625" style="480" customWidth="1"/>
    <col min="2" max="2" width="2.85546875" style="480" customWidth="1"/>
    <col min="3" max="3" width="2.85546875" style="529" customWidth="1"/>
    <col min="4" max="4" width="30.28515625" style="529" customWidth="1"/>
    <col min="5" max="5" width="151.5703125" style="529" customWidth="1"/>
    <col min="6" max="7" width="3.42578125" style="529" customWidth="1"/>
    <col min="8" max="8" width="3.140625" style="484" customWidth="1"/>
    <col min="9" max="9" width="11.42578125" style="271" customWidth="1"/>
    <col min="10" max="16384" width="11.42578125" style="271"/>
  </cols>
  <sheetData>
    <row r="1" spans="1:8" ht="21" customHeight="1" thickBot="1" x14ac:dyDescent="0.4">
      <c r="A1" s="893"/>
      <c r="B1" s="893"/>
      <c r="C1" s="485"/>
      <c r="D1" s="485"/>
      <c r="E1" s="986" t="s">
        <v>811</v>
      </c>
      <c r="F1" s="485"/>
      <c r="G1" s="485"/>
      <c r="H1" s="461"/>
    </row>
    <row r="2" spans="1:8" ht="16.5" thickTop="1" thickBot="1" x14ac:dyDescent="0.3">
      <c r="A2" s="460"/>
      <c r="B2" s="486"/>
      <c r="C2" s="487"/>
      <c r="D2" s="487"/>
      <c r="E2" s="487"/>
      <c r="F2" s="487"/>
      <c r="G2" s="613"/>
      <c r="H2" s="460"/>
    </row>
    <row r="3" spans="1:8" hidden="1" x14ac:dyDescent="0.25">
      <c r="A3" s="466"/>
      <c r="B3" s="467"/>
      <c r="C3" s="1056" t="s">
        <v>70</v>
      </c>
      <c r="D3" s="1057"/>
      <c r="E3" s="1057"/>
      <c r="F3" s="1058"/>
      <c r="G3" s="619"/>
      <c r="H3" s="466"/>
    </row>
    <row r="4" spans="1:8" ht="15.75" hidden="1" thickBot="1" x14ac:dyDescent="0.3">
      <c r="A4" s="466"/>
      <c r="B4" s="467"/>
      <c r="C4" s="489"/>
      <c r="D4" s="489"/>
      <c r="E4" s="489"/>
      <c r="F4" s="489"/>
      <c r="G4" s="614"/>
      <c r="H4" s="466"/>
    </row>
    <row r="5" spans="1:8" ht="15.75" thickTop="1" x14ac:dyDescent="0.25">
      <c r="A5" s="460"/>
      <c r="B5" s="472"/>
      <c r="C5" s="491"/>
      <c r="D5" s="492"/>
      <c r="E5" s="492"/>
      <c r="F5" s="492"/>
      <c r="G5" s="616"/>
      <c r="H5" s="460"/>
    </row>
    <row r="6" spans="1:8" hidden="1" x14ac:dyDescent="0.25">
      <c r="A6" s="460"/>
      <c r="B6" s="472"/>
      <c r="C6" s="494"/>
      <c r="D6" s="495"/>
      <c r="E6" s="495"/>
      <c r="F6" s="495"/>
      <c r="G6" s="617"/>
      <c r="H6" s="460"/>
    </row>
    <row r="7" spans="1:8" ht="210" x14ac:dyDescent="0.25">
      <c r="A7" s="460"/>
      <c r="B7" s="472"/>
      <c r="C7" s="494"/>
      <c r="D7" s="523" t="s">
        <v>398</v>
      </c>
      <c r="E7" s="530" t="s">
        <v>720</v>
      </c>
      <c r="F7" s="495"/>
      <c r="G7" s="617"/>
      <c r="H7" s="460"/>
    </row>
    <row r="8" spans="1:8" ht="45" x14ac:dyDescent="0.25">
      <c r="A8" s="460"/>
      <c r="B8" s="472"/>
      <c r="C8" s="494"/>
      <c r="D8" s="523" t="s">
        <v>693</v>
      </c>
      <c r="E8" s="531" t="s">
        <v>730</v>
      </c>
      <c r="F8" s="495"/>
      <c r="G8" s="617"/>
      <c r="H8" s="460"/>
    </row>
    <row r="9" spans="1:8" ht="45" x14ac:dyDescent="0.25">
      <c r="A9" s="460"/>
      <c r="B9" s="472"/>
      <c r="C9" s="494"/>
      <c r="D9" s="523" t="s">
        <v>707</v>
      </c>
      <c r="E9" s="532" t="s">
        <v>740</v>
      </c>
      <c r="F9" s="495"/>
      <c r="G9" s="617"/>
      <c r="H9" s="460"/>
    </row>
    <row r="10" spans="1:8" ht="90" x14ac:dyDescent="0.25">
      <c r="A10" s="460"/>
      <c r="B10" s="472"/>
      <c r="C10" s="494"/>
      <c r="D10" s="523" t="s">
        <v>694</v>
      </c>
      <c r="E10" s="530" t="s">
        <v>731</v>
      </c>
      <c r="F10" s="495"/>
      <c r="G10" s="617"/>
      <c r="H10" s="460"/>
    </row>
    <row r="11" spans="1:8" ht="30" x14ac:dyDescent="0.25">
      <c r="A11" s="460"/>
      <c r="B11" s="472"/>
      <c r="C11" s="494"/>
      <c r="D11" s="523" t="s">
        <v>305</v>
      </c>
      <c r="E11" s="530" t="s">
        <v>732</v>
      </c>
      <c r="F11" s="495"/>
      <c r="G11" s="617"/>
      <c r="H11" s="460"/>
    </row>
    <row r="12" spans="1:8" ht="30" x14ac:dyDescent="0.25">
      <c r="A12" s="460"/>
      <c r="B12" s="472"/>
      <c r="C12" s="494"/>
      <c r="D12" s="523" t="s">
        <v>211</v>
      </c>
      <c r="E12" s="530" t="s">
        <v>733</v>
      </c>
      <c r="F12" s="495"/>
      <c r="G12" s="617"/>
      <c r="H12" s="460"/>
    </row>
    <row r="13" spans="1:8" ht="30" x14ac:dyDescent="0.25">
      <c r="A13" s="460"/>
      <c r="B13" s="472"/>
      <c r="C13" s="494"/>
      <c r="D13" s="523" t="s">
        <v>11</v>
      </c>
      <c r="E13" s="276" t="s">
        <v>734</v>
      </c>
      <c r="F13" s="495"/>
      <c r="G13" s="617"/>
      <c r="H13" s="460"/>
    </row>
    <row r="14" spans="1:8" ht="30" x14ac:dyDescent="0.25">
      <c r="A14" s="460"/>
      <c r="B14" s="472"/>
      <c r="C14" s="494"/>
      <c r="D14" s="523" t="s">
        <v>418</v>
      </c>
      <c r="E14" s="277" t="s">
        <v>735</v>
      </c>
      <c r="F14" s="495"/>
      <c r="G14" s="617"/>
      <c r="H14" s="460"/>
    </row>
    <row r="15" spans="1:8" ht="30" x14ac:dyDescent="0.25">
      <c r="A15" s="460"/>
      <c r="B15" s="472"/>
      <c r="C15" s="494"/>
      <c r="D15" s="523" t="s">
        <v>698</v>
      </c>
      <c r="E15" s="533" t="s">
        <v>741</v>
      </c>
      <c r="F15" s="495"/>
      <c r="G15" s="617"/>
      <c r="H15" s="460"/>
    </row>
    <row r="16" spans="1:8" ht="30" x14ac:dyDescent="0.25">
      <c r="A16" s="460"/>
      <c r="B16" s="472"/>
      <c r="C16" s="494"/>
      <c r="D16" s="523" t="s">
        <v>699</v>
      </c>
      <c r="E16" s="534" t="s">
        <v>742</v>
      </c>
      <c r="F16" s="495"/>
      <c r="G16" s="617"/>
      <c r="H16" s="460"/>
    </row>
    <row r="17" spans="1:8" ht="30" x14ac:dyDescent="0.25">
      <c r="A17" s="460"/>
      <c r="B17" s="472"/>
      <c r="C17" s="494"/>
      <c r="D17" s="523" t="s">
        <v>706</v>
      </c>
      <c r="E17" s="535" t="s">
        <v>736</v>
      </c>
      <c r="F17" s="495"/>
      <c r="G17" s="617"/>
      <c r="H17" s="460"/>
    </row>
    <row r="18" spans="1:8" ht="30" x14ac:dyDescent="0.25">
      <c r="A18" s="460"/>
      <c r="B18" s="472"/>
      <c r="C18" s="494"/>
      <c r="D18" s="523" t="s">
        <v>667</v>
      </c>
      <c r="E18" s="450" t="s">
        <v>737</v>
      </c>
      <c r="F18" s="495"/>
      <c r="G18" s="617"/>
      <c r="H18" s="460"/>
    </row>
    <row r="19" spans="1:8" ht="15.75" thickBot="1" x14ac:dyDescent="0.3">
      <c r="A19" s="460"/>
      <c r="B19" s="472"/>
      <c r="C19" s="525"/>
      <c r="D19" s="536"/>
      <c r="E19" s="536"/>
      <c r="F19" s="526"/>
      <c r="G19" s="618"/>
      <c r="H19" s="460"/>
    </row>
    <row r="20" spans="1:8" ht="16.5" thickTop="1" thickBot="1" x14ac:dyDescent="0.3">
      <c r="A20" s="460"/>
      <c r="B20" s="482"/>
      <c r="C20" s="528"/>
      <c r="D20" s="528"/>
      <c r="E20" s="528"/>
      <c r="F20" s="528"/>
      <c r="G20" s="615"/>
      <c r="H20" s="460"/>
    </row>
    <row r="21" spans="1:8" ht="16.5" customHeight="1" thickTop="1" x14ac:dyDescent="0.25">
      <c r="A21" s="460"/>
      <c r="B21" s="460"/>
      <c r="C21" s="485"/>
      <c r="D21" s="485"/>
      <c r="E21" s="485"/>
      <c r="F21" s="485"/>
      <c r="G21" s="485"/>
      <c r="H21" s="460"/>
    </row>
  </sheetData>
  <sheetProtection algorithmName="SHA-512" hashValue="AcmRTRXwYUQkU2JUYEAokFEBam01cpaE/o4LRA564JqA4kKD98Dym1zqmRlyfU1bqKIoL4GRoBN9nev0Bgf1/A==" saltValue="eYcAhlphY0F6+mgA02P/0w==" spinCount="100000" sheet="1" objects="1" scenarios="1"/>
  <mergeCells count="1">
    <mergeCell ref="C3:F3"/>
  </mergeCells>
  <phoneticPr fontId="20" type="noConversion"/>
  <dataValidations disablePrompts="1" count="1">
    <dataValidation type="list" allowBlank="1" showInputMessage="1" showErrorMessage="1" sqref="H65519 H917487 H851951 H786415 H720879 H655343 H589807 H524271 H458735 H393199 H327663 H262127 H196591 H131055 H983023">
      <formula1>$I$11:$I$12</formula1>
    </dataValidation>
  </dataValidations>
  <pageMargins left="0.70000000000000007" right="0.70000000000000007" top="0.79000000000000015" bottom="0.79000000000000015" header="0.30000000000000004" footer="0.30000000000000004"/>
  <pageSetup paperSize="9" scale="50" orientation="portrait" horizontalDpi="4294967292" verticalDpi="4294967292" r:id="rId1"/>
  <drawing r:id="rId2"/>
  <extLst>
    <ext xmlns:mx="http://schemas.microsoft.com/office/mac/excel/2008/main" uri="http://schemas.microsoft.com/office/mac/excel/2008/main">
      <mx:PLV Mode="0" OnePage="0" WScale="10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CW135"/>
  <sheetViews>
    <sheetView showGridLines="0" tabSelected="1" zoomScale="80" zoomScaleNormal="80" workbookViewId="0">
      <selection activeCell="K10" sqref="K10"/>
    </sheetView>
  </sheetViews>
  <sheetFormatPr baseColWidth="10" defaultColWidth="10.85546875" defaultRowHeight="15" x14ac:dyDescent="0.25"/>
  <cols>
    <col min="1" max="1" width="3.28515625" style="216" customWidth="1"/>
    <col min="2" max="2" width="2.85546875" style="216" customWidth="1"/>
    <col min="3" max="3" width="47.5703125" style="250" customWidth="1"/>
    <col min="4" max="4" width="32.85546875" style="251" bestFit="1" customWidth="1"/>
    <col min="5" max="5" width="3.85546875" style="251" customWidth="1"/>
    <col min="6" max="6" width="2.42578125" style="216" customWidth="1"/>
    <col min="7" max="7" width="39" style="216" hidden="1" customWidth="1"/>
    <col min="8" max="8" width="28.7109375" style="216" hidden="1" customWidth="1"/>
    <col min="9" max="9" width="5.7109375" style="216" hidden="1" customWidth="1"/>
    <col min="10" max="10" width="50.42578125" style="216" customWidth="1"/>
    <col min="11" max="11" width="74.140625" style="216" customWidth="1"/>
    <col min="12" max="12" width="61.7109375" style="216" customWidth="1"/>
    <col min="13" max="13" width="4.140625" style="637" customWidth="1"/>
    <col min="14" max="22" width="7.5703125" style="637" hidden="1" customWidth="1"/>
    <col min="23" max="23" width="8.85546875" style="637" hidden="1" customWidth="1"/>
    <col min="24" max="24" width="20.140625" style="637" hidden="1" customWidth="1"/>
    <col min="25" max="26" width="5.28515625" style="637" hidden="1" customWidth="1"/>
    <col min="27" max="27" width="13.85546875" style="637" hidden="1" customWidth="1"/>
    <col min="28" max="28" width="43.140625" style="637" hidden="1" customWidth="1"/>
    <col min="29" max="29" width="70.5703125" style="637" hidden="1" customWidth="1"/>
    <col min="30" max="30" width="51.28515625" style="637" hidden="1" customWidth="1"/>
    <col min="31" max="31" width="15.28515625" style="637" hidden="1" customWidth="1"/>
    <col min="32" max="32" width="35.42578125" style="637" hidden="1" customWidth="1"/>
    <col min="33" max="33" width="3" style="637" hidden="1" customWidth="1"/>
    <col min="34" max="34" width="52.7109375" style="637" hidden="1" customWidth="1"/>
    <col min="35" max="35" width="17.85546875" style="637" hidden="1" customWidth="1"/>
    <col min="36" max="36" width="36.7109375" style="637" hidden="1" customWidth="1"/>
    <col min="37" max="37" width="3.28515625" style="637" hidden="1" customWidth="1"/>
    <col min="38" max="38" width="72" style="637" hidden="1" customWidth="1"/>
    <col min="39" max="40" width="30.28515625" style="637" hidden="1" customWidth="1"/>
    <col min="41" max="41" width="5.7109375" style="637" hidden="1" customWidth="1"/>
    <col min="42" max="42" width="56.28515625" style="637" hidden="1" customWidth="1"/>
    <col min="43" max="43" width="30.42578125" style="637" hidden="1" customWidth="1"/>
    <col min="44" max="44" width="30.28515625" style="637" hidden="1" customWidth="1"/>
    <col min="45" max="45" width="4.42578125" style="637" hidden="1" customWidth="1"/>
    <col min="46" max="46" width="2.85546875" style="637" customWidth="1"/>
    <col min="47" max="47" width="3.140625" style="637" customWidth="1"/>
    <col min="48" max="48" width="10.85546875" style="637" customWidth="1"/>
    <col min="49" max="50" width="10.85546875" style="541" customWidth="1"/>
    <col min="51" max="51" width="74.5703125" style="541" customWidth="1"/>
    <col min="52" max="52" width="81" style="541" customWidth="1"/>
    <col min="53" max="53" width="17.28515625" style="541" customWidth="1"/>
    <col min="54" max="55" width="15.28515625" style="541" customWidth="1"/>
    <col min="56" max="65" width="10.85546875" style="541" customWidth="1"/>
    <col min="66" max="80" width="10.85546875" style="217" customWidth="1"/>
    <col min="81" max="16384" width="10.85546875" style="217"/>
  </cols>
  <sheetData>
    <row r="1" spans="1:101" ht="21" customHeight="1" thickBot="1" x14ac:dyDescent="0.4">
      <c r="A1" s="213"/>
      <c r="B1" s="213"/>
      <c r="C1" s="214"/>
      <c r="D1" s="988" t="s">
        <v>812</v>
      </c>
      <c r="E1" s="215"/>
      <c r="F1" s="213"/>
      <c r="G1" s="213"/>
      <c r="H1" s="213"/>
      <c r="I1" s="213"/>
      <c r="J1" s="213"/>
      <c r="K1" s="213"/>
      <c r="L1" s="272"/>
      <c r="M1" s="635"/>
      <c r="N1" s="635"/>
      <c r="O1" s="635"/>
      <c r="P1" s="635"/>
      <c r="Q1" s="635"/>
      <c r="R1" s="635"/>
      <c r="S1" s="635"/>
      <c r="T1" s="635"/>
      <c r="U1" s="635"/>
      <c r="V1" s="635"/>
      <c r="W1" s="636"/>
      <c r="X1" s="635"/>
      <c r="Y1" s="635"/>
      <c r="Z1" s="635"/>
      <c r="AA1" s="635"/>
      <c r="AB1" s="635"/>
      <c r="AC1" s="635"/>
      <c r="AD1" s="635"/>
      <c r="AE1" s="635"/>
      <c r="AF1" s="635"/>
      <c r="AG1" s="635"/>
      <c r="AH1" s="635"/>
      <c r="AI1" s="635"/>
      <c r="AJ1" s="635"/>
      <c r="AK1" s="635"/>
      <c r="AL1" s="635"/>
      <c r="AM1" s="635"/>
      <c r="AN1" s="635"/>
      <c r="AO1" s="635"/>
      <c r="AP1" s="635"/>
      <c r="AQ1" s="635"/>
      <c r="AR1" s="635"/>
      <c r="AS1" s="635"/>
      <c r="AT1" s="635"/>
      <c r="AU1" s="635"/>
    </row>
    <row r="2" spans="1:101" ht="15.75" thickTop="1" x14ac:dyDescent="0.25">
      <c r="A2" s="213"/>
      <c r="B2" s="218"/>
      <c r="C2" s="219"/>
      <c r="D2" s="220"/>
      <c r="E2" s="220"/>
      <c r="F2" s="221"/>
      <c r="G2" s="221"/>
      <c r="H2" s="221"/>
      <c r="I2" s="221"/>
      <c r="J2" s="221"/>
      <c r="K2" s="221"/>
      <c r="L2" s="221"/>
      <c r="M2" s="638"/>
      <c r="N2" s="638"/>
      <c r="O2" s="638"/>
      <c r="P2" s="638"/>
      <c r="Q2" s="638"/>
      <c r="R2" s="638"/>
      <c r="S2" s="638"/>
      <c r="T2" s="638"/>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c r="AT2" s="638"/>
      <c r="AU2" s="635"/>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row>
    <row r="3" spans="1:101" x14ac:dyDescent="0.25">
      <c r="A3" s="223"/>
      <c r="B3" s="224"/>
      <c r="C3" s="452" t="s">
        <v>772</v>
      </c>
      <c r="D3" s="453"/>
      <c r="E3" s="454"/>
      <c r="F3" s="226"/>
      <c r="G3" s="225" t="s">
        <v>12</v>
      </c>
      <c r="H3" s="227"/>
      <c r="I3" s="228"/>
      <c r="J3" s="452" t="s">
        <v>773</v>
      </c>
      <c r="K3" s="455"/>
      <c r="L3" s="455"/>
      <c r="M3" s="640"/>
      <c r="N3" s="639"/>
      <c r="O3" s="639"/>
      <c r="P3" s="639"/>
      <c r="Q3" s="639"/>
      <c r="R3" s="639"/>
      <c r="S3" s="639"/>
      <c r="T3" s="639"/>
      <c r="U3" s="639"/>
      <c r="V3" s="639"/>
      <c r="W3" s="640"/>
      <c r="X3" s="640"/>
      <c r="Y3" s="639"/>
      <c r="Z3" s="639"/>
      <c r="AA3" s="639"/>
      <c r="AB3" s="639"/>
      <c r="AC3" s="641"/>
      <c r="AD3" s="642" t="s">
        <v>497</v>
      </c>
      <c r="AE3" s="642" t="s">
        <v>497</v>
      </c>
      <c r="AF3" s="642"/>
      <c r="AG3" s="643"/>
      <c r="AH3" s="644" t="s">
        <v>498</v>
      </c>
      <c r="AI3" s="644" t="s">
        <v>498</v>
      </c>
      <c r="AJ3" s="645"/>
      <c r="AK3" s="643"/>
      <c r="AL3" s="644" t="s">
        <v>496</v>
      </c>
      <c r="AM3" s="644" t="s">
        <v>496</v>
      </c>
      <c r="AN3" s="645"/>
      <c r="AO3" s="643"/>
      <c r="AP3" s="644" t="s">
        <v>448</v>
      </c>
      <c r="AQ3" s="644" t="s">
        <v>448</v>
      </c>
      <c r="AR3" s="645"/>
      <c r="AS3" s="646"/>
      <c r="AT3" s="839"/>
      <c r="AU3" s="647"/>
      <c r="AV3" s="648"/>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row>
    <row r="4" spans="1:101" ht="15.75" thickBot="1" x14ac:dyDescent="0.3">
      <c r="A4" s="223"/>
      <c r="B4" s="224"/>
      <c r="C4" s="252"/>
      <c r="D4" s="229"/>
      <c r="E4" s="230"/>
      <c r="F4" s="226"/>
      <c r="G4" s="231"/>
      <c r="H4" s="232"/>
      <c r="I4" s="232"/>
      <c r="J4" s="253"/>
      <c r="K4" s="253"/>
      <c r="L4" s="253"/>
      <c r="M4" s="649"/>
      <c r="N4" s="649"/>
      <c r="O4" s="649"/>
      <c r="P4" s="649"/>
      <c r="Q4" s="649"/>
      <c r="R4" s="649"/>
      <c r="S4" s="649"/>
      <c r="T4" s="649"/>
      <c r="U4" s="649"/>
      <c r="V4" s="649"/>
      <c r="W4" s="649"/>
      <c r="X4" s="649"/>
      <c r="Y4" s="649"/>
      <c r="Z4" s="649"/>
      <c r="AA4" s="650"/>
      <c r="AB4" s="650"/>
      <c r="AC4" s="650"/>
      <c r="AD4" s="252" t="str">
        <f>AD3&amp;AD5</f>
        <v>Industrikrav</v>
      </c>
      <c r="AE4" s="252" t="str">
        <f t="shared" ref="AE4:AS4" si="0">AE3&amp;AE5</f>
        <v>Industrija/nei</v>
      </c>
      <c r="AF4" s="252" t="s">
        <v>497</v>
      </c>
      <c r="AG4" s="252">
        <v>1</v>
      </c>
      <c r="AH4" s="252" t="str">
        <f t="shared" si="0"/>
        <v>Utdanningkrav</v>
      </c>
      <c r="AI4" s="252" t="str">
        <f t="shared" si="0"/>
        <v>Utdanningja/nei</v>
      </c>
      <c r="AJ4" s="252" t="s">
        <v>498</v>
      </c>
      <c r="AK4" s="252" t="str">
        <f t="shared" si="0"/>
        <v/>
      </c>
      <c r="AL4" s="253" t="str">
        <f t="shared" si="0"/>
        <v>Varehandelkrav</v>
      </c>
      <c r="AM4" s="253" t="str">
        <f t="shared" si="0"/>
        <v>Varehandelja/nei</v>
      </c>
      <c r="AN4" s="253" t="s">
        <v>496</v>
      </c>
      <c r="AO4" s="253" t="str">
        <f t="shared" si="0"/>
        <v/>
      </c>
      <c r="AP4" s="253" t="str">
        <f t="shared" si="0"/>
        <v>Kontorkrav</v>
      </c>
      <c r="AQ4" s="253" t="str">
        <f t="shared" si="0"/>
        <v>Kontorja/nei</v>
      </c>
      <c r="AR4" s="253" t="s">
        <v>448</v>
      </c>
      <c r="AS4" s="253" t="str">
        <f t="shared" si="0"/>
        <v/>
      </c>
      <c r="AT4" s="840"/>
      <c r="AU4" s="647"/>
      <c r="AV4" s="648"/>
      <c r="BN4" s="269"/>
      <c r="BO4" s="269"/>
      <c r="BP4" s="269"/>
      <c r="BQ4" s="269"/>
      <c r="BR4" s="269"/>
      <c r="BS4" s="269"/>
      <c r="BT4" s="269"/>
      <c r="BU4" s="269"/>
      <c r="BV4" s="269"/>
      <c r="BW4" s="269"/>
      <c r="BX4" s="269"/>
      <c r="BY4" s="269"/>
      <c r="BZ4" s="269"/>
      <c r="CA4" s="269"/>
      <c r="CB4" s="269"/>
      <c r="CC4" s="269"/>
      <c r="CD4" s="269"/>
      <c r="CE4" s="269"/>
      <c r="CF4" s="269"/>
      <c r="CG4" s="269"/>
      <c r="CH4" s="269"/>
      <c r="CI4" s="269"/>
      <c r="CJ4" s="269"/>
      <c r="CK4" s="269"/>
      <c r="CL4" s="269"/>
      <c r="CM4" s="269"/>
      <c r="CN4" s="269"/>
      <c r="CO4" s="269"/>
      <c r="CP4" s="269"/>
      <c r="CQ4" s="269"/>
      <c r="CR4" s="269"/>
      <c r="CS4" s="269"/>
      <c r="CT4" s="269"/>
      <c r="CU4" s="269"/>
      <c r="CV4" s="269"/>
      <c r="CW4" s="269"/>
    </row>
    <row r="5" spans="1:101" x14ac:dyDescent="0.25">
      <c r="A5" s="213"/>
      <c r="B5" s="233"/>
      <c r="C5" s="319"/>
      <c r="D5" s="318"/>
      <c r="E5" s="290"/>
      <c r="F5" s="222"/>
      <c r="G5" s="234"/>
      <c r="H5" s="235"/>
      <c r="I5" s="236"/>
      <c r="J5" s="316"/>
      <c r="K5" s="317"/>
      <c r="L5" s="874" t="s">
        <v>783</v>
      </c>
      <c r="M5" s="842"/>
      <c r="N5" s="317"/>
      <c r="O5" s="317"/>
      <c r="P5" s="1059" t="s">
        <v>502</v>
      </c>
      <c r="Q5" s="1060"/>
      <c r="R5" s="651" t="s">
        <v>627</v>
      </c>
      <c r="S5" s="317"/>
      <c r="T5" s="317"/>
      <c r="U5" s="317"/>
      <c r="V5" s="317"/>
      <c r="W5" s="652"/>
      <c r="X5" s="653" t="s">
        <v>624</v>
      </c>
      <c r="Y5" s="654"/>
      <c r="Z5" s="654"/>
      <c r="AA5" s="655"/>
      <c r="AB5" s="656"/>
      <c r="AC5" s="657"/>
      <c r="AD5" s="655" t="s">
        <v>587</v>
      </c>
      <c r="AE5" s="656" t="s">
        <v>586</v>
      </c>
      <c r="AF5" s="656"/>
      <c r="AG5" s="657">
        <v>2</v>
      </c>
      <c r="AH5" s="655" t="s">
        <v>587</v>
      </c>
      <c r="AI5" s="656" t="s">
        <v>586</v>
      </c>
      <c r="AJ5" s="656"/>
      <c r="AK5" s="657"/>
      <c r="AL5" s="654" t="s">
        <v>587</v>
      </c>
      <c r="AM5" s="654" t="s">
        <v>586</v>
      </c>
      <c r="AN5" s="654"/>
      <c r="AO5" s="653"/>
      <c r="AP5" s="658" t="s">
        <v>587</v>
      </c>
      <c r="AQ5" s="654" t="s">
        <v>586</v>
      </c>
      <c r="AR5" s="654"/>
      <c r="AS5" s="653"/>
      <c r="AT5" s="838"/>
      <c r="AU5" s="635"/>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row>
    <row r="6" spans="1:101" x14ac:dyDescent="0.25">
      <c r="A6" s="213"/>
      <c r="B6" s="233"/>
      <c r="C6" s="320" t="s">
        <v>47</v>
      </c>
      <c r="D6" s="321" t="s">
        <v>724</v>
      </c>
      <c r="E6" s="291"/>
      <c r="F6" s="222"/>
      <c r="G6" s="237" t="s">
        <v>19</v>
      </c>
      <c r="H6" s="238"/>
      <c r="I6" s="239"/>
      <c r="J6" s="354" t="s">
        <v>703</v>
      </c>
      <c r="K6" s="717" t="s">
        <v>498</v>
      </c>
      <c r="L6" s="875"/>
      <c r="M6" s="843"/>
      <c r="N6" s="659"/>
      <c r="O6" s="659"/>
      <c r="P6" s="659"/>
      <c r="Q6" s="659"/>
      <c r="R6" s="660" t="str">
        <f>IF(J6="","",K6)</f>
        <v>Utdanning</v>
      </c>
      <c r="S6" s="659"/>
      <c r="T6" s="659"/>
      <c r="U6" s="659"/>
      <c r="V6" s="659"/>
      <c r="W6" s="661"/>
      <c r="X6" s="662" t="str">
        <f>K6</f>
        <v>Utdanning</v>
      </c>
      <c r="Y6" s="663"/>
      <c r="Z6" s="663"/>
      <c r="AA6" s="347" t="s">
        <v>406</v>
      </c>
      <c r="AB6" s="663"/>
      <c r="AC6" s="664"/>
      <c r="AD6" s="348"/>
      <c r="AE6" s="665"/>
      <c r="AF6" s="665"/>
      <c r="AG6" s="666">
        <v>3</v>
      </c>
      <c r="AH6" s="667"/>
      <c r="AI6" s="663"/>
      <c r="AJ6" s="663"/>
      <c r="AK6" s="664"/>
      <c r="AL6" s="663"/>
      <c r="AM6" s="663"/>
      <c r="AN6" s="663"/>
      <c r="AO6" s="668"/>
      <c r="AP6" s="669"/>
      <c r="AQ6" s="663"/>
      <c r="AR6" s="663"/>
      <c r="AS6" s="668"/>
      <c r="AT6" s="838"/>
      <c r="AU6" s="635"/>
      <c r="BN6" s="269"/>
      <c r="BO6" s="269"/>
      <c r="BP6" s="269"/>
      <c r="BQ6" s="269"/>
      <c r="BR6" s="269"/>
      <c r="BS6" s="269"/>
      <c r="BT6" s="269"/>
      <c r="BU6" s="269"/>
      <c r="BV6" s="269"/>
      <c r="BW6" s="269"/>
      <c r="BX6" s="269"/>
      <c r="BY6" s="269"/>
      <c r="BZ6" s="269"/>
      <c r="CA6" s="269"/>
      <c r="CB6" s="269"/>
      <c r="CC6" s="269"/>
      <c r="CD6" s="269"/>
      <c r="CE6" s="269"/>
      <c r="CF6" s="269"/>
      <c r="CG6" s="269"/>
      <c r="CH6" s="269"/>
      <c r="CI6" s="269"/>
      <c r="CJ6" s="269"/>
      <c r="CK6" s="269"/>
      <c r="CL6" s="269"/>
      <c r="CM6" s="269"/>
      <c r="CN6" s="269"/>
      <c r="CO6" s="269"/>
      <c r="CP6" s="269"/>
      <c r="CQ6" s="269"/>
      <c r="CR6" s="269"/>
      <c r="CS6" s="269"/>
      <c r="CT6" s="269"/>
      <c r="CU6" s="269"/>
      <c r="CV6" s="269"/>
      <c r="CW6" s="269"/>
    </row>
    <row r="7" spans="1:101" x14ac:dyDescent="0.25">
      <c r="A7" s="213"/>
      <c r="B7" s="233"/>
      <c r="C7" s="320" t="s">
        <v>779</v>
      </c>
      <c r="D7" s="321"/>
      <c r="E7" s="291"/>
      <c r="F7" s="222"/>
      <c r="G7" s="237" t="s">
        <v>24</v>
      </c>
      <c r="H7" s="238"/>
      <c r="I7" s="239"/>
      <c r="J7" s="355" t="s">
        <v>406</v>
      </c>
      <c r="K7" s="718" t="s">
        <v>715</v>
      </c>
      <c r="L7" s="875"/>
      <c r="M7" s="843"/>
      <c r="N7" s="659"/>
      <c r="O7" s="659"/>
      <c r="P7" s="659"/>
      <c r="Q7" s="659"/>
      <c r="R7" s="670" t="str">
        <f t="shared" ref="R7:R37" si="1">IF(J7="","",K7)</f>
        <v>Nybygg</v>
      </c>
      <c r="S7" s="659"/>
      <c r="T7" s="659"/>
      <c r="U7" s="659"/>
      <c r="V7" s="659"/>
      <c r="W7" s="661"/>
      <c r="X7" s="671"/>
      <c r="Y7" s="672"/>
      <c r="Z7" s="672"/>
      <c r="AA7" s="673">
        <v>1</v>
      </c>
      <c r="AB7" s="674" t="s">
        <v>496</v>
      </c>
      <c r="AC7" s="675" t="s">
        <v>723</v>
      </c>
      <c r="AD7" s="676" t="s">
        <v>774</v>
      </c>
      <c r="AE7" s="677" t="s">
        <v>507</v>
      </c>
      <c r="AF7" s="663" t="str">
        <f>IF(AE7="ja",AD7,"")</f>
        <v>Størrelse på prosjekt (BRA - m2)</v>
      </c>
      <c r="AG7" s="666">
        <v>4</v>
      </c>
      <c r="AH7" s="348" t="s">
        <v>774</v>
      </c>
      <c r="AI7" s="663" t="s">
        <v>507</v>
      </c>
      <c r="AJ7" s="663" t="str">
        <f>IF(AI7="ja",AH7,"")</f>
        <v>Størrelse på prosjekt (BRA - m2)</v>
      </c>
      <c r="AK7" s="666">
        <v>1</v>
      </c>
      <c r="AL7" s="676" t="s">
        <v>774</v>
      </c>
      <c r="AM7" s="663" t="s">
        <v>507</v>
      </c>
      <c r="AN7" s="663" t="str">
        <f>IF(AM7="ja",AL7,"")</f>
        <v>Størrelse på prosjekt (BRA - m2)</v>
      </c>
      <c r="AO7" s="671">
        <v>1</v>
      </c>
      <c r="AP7" s="678" t="s">
        <v>774</v>
      </c>
      <c r="AQ7" s="663" t="s">
        <v>507</v>
      </c>
      <c r="AR7" s="663" t="str">
        <f>IF(AQ7="ja",AP7,"")</f>
        <v>Størrelse på prosjekt (BRA - m2)</v>
      </c>
      <c r="AS7" s="671">
        <v>1</v>
      </c>
      <c r="AT7" s="841"/>
      <c r="AU7" s="635"/>
      <c r="BN7" s="269"/>
      <c r="BO7" s="269"/>
      <c r="BP7" s="275"/>
      <c r="BQ7" s="275"/>
      <c r="BR7" s="275"/>
      <c r="BS7" s="275"/>
      <c r="BT7" s="275"/>
      <c r="BU7" s="275"/>
      <c r="BV7" s="269"/>
      <c r="BW7" s="269"/>
      <c r="BX7" s="269"/>
      <c r="BY7" s="269"/>
      <c r="BZ7" s="269"/>
      <c r="CA7" s="269"/>
      <c r="CB7" s="269"/>
      <c r="CC7" s="269"/>
      <c r="CD7" s="269"/>
      <c r="CE7" s="269"/>
      <c r="CF7" s="269"/>
      <c r="CG7" s="269"/>
      <c r="CH7" s="269"/>
      <c r="CI7" s="269"/>
      <c r="CJ7" s="269"/>
      <c r="CK7" s="269"/>
      <c r="CL7" s="269"/>
      <c r="CM7" s="269"/>
      <c r="CN7" s="269"/>
      <c r="CO7" s="269"/>
      <c r="CP7" s="269"/>
      <c r="CQ7" s="269"/>
      <c r="CR7" s="269"/>
      <c r="CS7" s="269"/>
      <c r="CT7" s="269"/>
      <c r="CU7" s="269"/>
      <c r="CV7" s="269"/>
      <c r="CW7" s="269"/>
    </row>
    <row r="8" spans="1:101" x14ac:dyDescent="0.25">
      <c r="A8" s="213"/>
      <c r="B8" s="233"/>
      <c r="C8" s="320" t="s">
        <v>66</v>
      </c>
      <c r="D8" s="321" t="s">
        <v>695</v>
      </c>
      <c r="E8" s="291"/>
      <c r="F8" s="222"/>
      <c r="G8" s="237" t="s">
        <v>29</v>
      </c>
      <c r="H8" s="238"/>
      <c r="I8" s="239"/>
      <c r="J8" s="356" t="str">
        <f>IF(K7="En kombinasjon av nybygg og større rehabiliteringer ",AB20,"")</f>
        <v/>
      </c>
      <c r="K8" s="719"/>
      <c r="L8" s="875"/>
      <c r="M8" s="843"/>
      <c r="N8" s="679"/>
      <c r="O8" s="679"/>
      <c r="P8" s="679"/>
      <c r="Q8" s="679"/>
      <c r="R8" s="670" t="str">
        <f t="shared" si="1"/>
        <v/>
      </c>
      <c r="S8" s="679"/>
      <c r="T8" s="679"/>
      <c r="U8" s="679"/>
      <c r="V8" s="679"/>
      <c r="W8" s="294"/>
      <c r="X8" s="671"/>
      <c r="Y8" s="672"/>
      <c r="Z8" s="672"/>
      <c r="AA8" s="673">
        <v>2</v>
      </c>
      <c r="AB8" s="674" t="s">
        <v>448</v>
      </c>
      <c r="AC8" s="675" t="s">
        <v>724</v>
      </c>
      <c r="AD8" s="676" t="s">
        <v>626</v>
      </c>
      <c r="AE8" s="677" t="s">
        <v>507</v>
      </c>
      <c r="AF8" s="663" t="str">
        <f t="shared" ref="AF8:AF40" si="2">IF(AE8="ja",AD8,"")</f>
        <v>Størrelse på kontordel, m2</v>
      </c>
      <c r="AG8" s="666">
        <v>5</v>
      </c>
      <c r="AH8" s="680" t="s">
        <v>626</v>
      </c>
      <c r="AI8" s="663" t="s">
        <v>544</v>
      </c>
      <c r="AJ8" s="663" t="str">
        <f t="shared" ref="AJ8:AJ40" si="3">IF(AI8="ja",AH8,"")</f>
        <v/>
      </c>
      <c r="AK8" s="666">
        <v>2</v>
      </c>
      <c r="AL8" s="676" t="s">
        <v>626</v>
      </c>
      <c r="AM8" s="663" t="s">
        <v>507</v>
      </c>
      <c r="AN8" s="663" t="str">
        <f t="shared" ref="AN8:AN40" si="4">IF(AM8="ja",AL8,"")</f>
        <v>Størrelse på kontordel, m2</v>
      </c>
      <c r="AO8" s="671">
        <v>2</v>
      </c>
      <c r="AP8" s="681" t="s">
        <v>626</v>
      </c>
      <c r="AQ8" s="663" t="s">
        <v>544</v>
      </c>
      <c r="AR8" s="663" t="str">
        <f t="shared" ref="AR8:AR40" si="5">IF(AQ8="ja",AP8,"")</f>
        <v/>
      </c>
      <c r="AS8" s="671">
        <v>2</v>
      </c>
      <c r="AT8" s="841"/>
      <c r="AU8" s="635"/>
      <c r="BN8" s="269"/>
      <c r="BO8" s="269"/>
      <c r="BP8" s="275"/>
      <c r="BQ8" s="275"/>
      <c r="BR8" s="275"/>
      <c r="BS8" s="275"/>
      <c r="BT8" s="275"/>
      <c r="BU8" s="275"/>
      <c r="BV8" s="269"/>
      <c r="BW8" s="269"/>
      <c r="BX8" s="269"/>
      <c r="BY8" s="269"/>
      <c r="BZ8" s="269"/>
      <c r="CA8" s="269"/>
      <c r="CB8" s="269"/>
      <c r="CC8" s="269"/>
      <c r="CD8" s="269"/>
      <c r="CE8" s="269"/>
      <c r="CF8" s="269"/>
      <c r="CG8" s="269"/>
      <c r="CH8" s="269"/>
      <c r="CI8" s="269"/>
      <c r="CJ8" s="269"/>
      <c r="CK8" s="269"/>
      <c r="CL8" s="269"/>
      <c r="CM8" s="269"/>
      <c r="CN8" s="269"/>
      <c r="CO8" s="269"/>
      <c r="CP8" s="269"/>
      <c r="CQ8" s="269"/>
      <c r="CR8" s="269"/>
      <c r="CS8" s="269"/>
      <c r="CT8" s="269"/>
      <c r="CU8" s="269"/>
      <c r="CV8" s="269"/>
      <c r="CW8" s="269"/>
    </row>
    <row r="9" spans="1:101" x14ac:dyDescent="0.25">
      <c r="A9" s="213"/>
      <c r="B9" s="233"/>
      <c r="C9" s="322"/>
      <c r="D9" s="323"/>
      <c r="E9" s="292"/>
      <c r="F9" s="222"/>
      <c r="G9" s="243"/>
      <c r="H9" s="244"/>
      <c r="I9" s="245"/>
      <c r="J9" s="356" t="str">
        <f>IF(K7="En kombinasjon av nybygg og større rehabiliteringer ",AB21,"")</f>
        <v/>
      </c>
      <c r="K9" s="719"/>
      <c r="L9" s="875"/>
      <c r="M9" s="843"/>
      <c r="N9" s="679"/>
      <c r="O9" s="679"/>
      <c r="P9" s="679"/>
      <c r="Q9" s="679"/>
      <c r="R9" s="670" t="str">
        <f t="shared" si="1"/>
        <v/>
      </c>
      <c r="S9" s="679"/>
      <c r="T9" s="679"/>
      <c r="U9" s="679"/>
      <c r="V9" s="679"/>
      <c r="W9" s="294"/>
      <c r="X9" s="668"/>
      <c r="Y9" s="663"/>
      <c r="Z9" s="663"/>
      <c r="AA9" s="673">
        <v>3</v>
      </c>
      <c r="AB9" s="674" t="s">
        <v>497</v>
      </c>
      <c r="AC9" s="675" t="s">
        <v>725</v>
      </c>
      <c r="AD9" s="676" t="s">
        <v>637</v>
      </c>
      <c r="AE9" s="677" t="s">
        <v>507</v>
      </c>
      <c r="AF9" s="663" t="str">
        <f>IF(AE9="ja",IF(R16="Nei","",AD9),AD9)</f>
        <v>Oppvarmet kontorområde</v>
      </c>
      <c r="AG9" s="666">
        <v>6</v>
      </c>
      <c r="AH9" s="680" t="s">
        <v>637</v>
      </c>
      <c r="AI9" s="663" t="s">
        <v>544</v>
      </c>
      <c r="AJ9" s="663" t="str">
        <f t="shared" si="3"/>
        <v/>
      </c>
      <c r="AK9" s="666">
        <v>3</v>
      </c>
      <c r="AL9" s="682" t="s">
        <v>637</v>
      </c>
      <c r="AM9" s="663" t="s">
        <v>544</v>
      </c>
      <c r="AN9" s="663" t="str">
        <f t="shared" si="4"/>
        <v/>
      </c>
      <c r="AO9" s="671">
        <v>3</v>
      </c>
      <c r="AP9" s="681" t="s">
        <v>637</v>
      </c>
      <c r="AQ9" s="663" t="s">
        <v>544</v>
      </c>
      <c r="AR9" s="663" t="str">
        <f t="shared" si="5"/>
        <v/>
      </c>
      <c r="AS9" s="671">
        <v>3</v>
      </c>
      <c r="AT9" s="841"/>
      <c r="AU9" s="635"/>
      <c r="BN9" s="269"/>
      <c r="BO9" s="269"/>
      <c r="BP9" s="275"/>
      <c r="BQ9" s="275"/>
      <c r="BR9" s="275"/>
      <c r="BS9" s="275"/>
      <c r="BT9" s="275"/>
      <c r="BU9" s="275"/>
      <c r="BV9" s="269"/>
      <c r="BW9" s="269"/>
      <c r="BX9" s="269"/>
      <c r="BY9" s="269"/>
      <c r="BZ9" s="269"/>
      <c r="CA9" s="269"/>
      <c r="CB9" s="269"/>
      <c r="CC9" s="269"/>
      <c r="CD9" s="269"/>
      <c r="CE9" s="269"/>
      <c r="CF9" s="269"/>
      <c r="CG9" s="269"/>
      <c r="CH9" s="269"/>
      <c r="CI9" s="269"/>
      <c r="CJ9" s="269"/>
      <c r="CK9" s="269"/>
      <c r="CL9" s="269"/>
      <c r="CM9" s="269"/>
      <c r="CN9" s="269"/>
      <c r="CO9" s="269"/>
      <c r="CP9" s="269"/>
      <c r="CQ9" s="269"/>
      <c r="CR9" s="269"/>
      <c r="CS9" s="269"/>
      <c r="CT9" s="269"/>
      <c r="CU9" s="269"/>
      <c r="CV9" s="269"/>
      <c r="CW9" s="269"/>
    </row>
    <row r="10" spans="1:101" x14ac:dyDescent="0.25">
      <c r="A10" s="213"/>
      <c r="B10" s="233"/>
      <c r="C10" s="324"/>
      <c r="D10" s="325"/>
      <c r="E10" s="3"/>
      <c r="F10" s="222"/>
      <c r="J10" s="356" t="str">
        <f>IF(K6=AB10,"Type utdanning","")</f>
        <v>Type utdanning</v>
      </c>
      <c r="K10" s="720" t="s">
        <v>769</v>
      </c>
      <c r="L10" s="875"/>
      <c r="M10" s="843"/>
      <c r="N10" s="679" t="str">
        <f>IF(J10="","","Barnehage")</f>
        <v>Barnehage</v>
      </c>
      <c r="O10" s="679" t="str">
        <f>IF(J10="","","Grunnskole")</f>
        <v>Grunnskole</v>
      </c>
      <c r="P10" s="679" t="str">
        <f>IF(J10="","","Videregående skole")</f>
        <v>Videregående skole</v>
      </c>
      <c r="Q10" s="679" t="str">
        <f>IF(J10="","","Høyere utdanning (høgskole/universitet)")</f>
        <v>Høyere utdanning (høgskole/universitet)</v>
      </c>
      <c r="R10" s="670" t="str">
        <f t="shared" si="1"/>
        <v>Høyere utdanning (høgskole/universitet)</v>
      </c>
      <c r="S10" s="679"/>
      <c r="T10" s="679"/>
      <c r="U10" s="679"/>
      <c r="V10" s="679"/>
      <c r="W10" s="294"/>
      <c r="X10" s="668"/>
      <c r="Y10" s="663"/>
      <c r="Z10" s="663"/>
      <c r="AA10" s="673">
        <v>4</v>
      </c>
      <c r="AB10" s="683" t="s">
        <v>498</v>
      </c>
      <c r="AC10" s="668"/>
      <c r="AD10" s="676" t="s">
        <v>525</v>
      </c>
      <c r="AE10" s="677" t="s">
        <v>507</v>
      </c>
      <c r="AF10" s="663" t="str">
        <f>IF(AE10="ja",IF(R16="Nei","",AD10),"")</f>
        <v>Oppvarmet operasjonsområde</v>
      </c>
      <c r="AG10" s="666">
        <v>7</v>
      </c>
      <c r="AH10" s="680" t="s">
        <v>525</v>
      </c>
      <c r="AI10" s="677" t="s">
        <v>544</v>
      </c>
      <c r="AJ10" s="663" t="str">
        <f t="shared" si="3"/>
        <v/>
      </c>
      <c r="AK10" s="666">
        <v>4</v>
      </c>
      <c r="AL10" s="682" t="s">
        <v>525</v>
      </c>
      <c r="AM10" s="663" t="s">
        <v>544</v>
      </c>
      <c r="AN10" s="663" t="str">
        <f t="shared" si="4"/>
        <v/>
      </c>
      <c r="AO10" s="671">
        <v>4</v>
      </c>
      <c r="AP10" s="681" t="s">
        <v>525</v>
      </c>
      <c r="AQ10" s="663" t="s">
        <v>544</v>
      </c>
      <c r="AR10" s="663" t="str">
        <f t="shared" si="5"/>
        <v/>
      </c>
      <c r="AS10" s="671">
        <v>4</v>
      </c>
      <c r="AT10" s="841"/>
      <c r="AU10" s="635"/>
      <c r="BN10" s="269"/>
      <c r="BO10" s="269"/>
      <c r="BP10" s="275"/>
      <c r="BQ10" s="275"/>
      <c r="BR10" s="275"/>
      <c r="BS10" s="275"/>
      <c r="BT10" s="275"/>
      <c r="BU10" s="275"/>
      <c r="BV10" s="269"/>
      <c r="BW10" s="269"/>
      <c r="BX10" s="269"/>
      <c r="BY10" s="269"/>
      <c r="BZ10" s="269"/>
      <c r="CA10" s="269"/>
      <c r="CB10" s="269"/>
      <c r="CC10" s="269"/>
      <c r="CD10" s="269"/>
      <c r="CE10" s="269"/>
      <c r="CF10" s="269"/>
      <c r="CG10" s="269"/>
      <c r="CH10" s="269"/>
      <c r="CI10" s="269"/>
      <c r="CJ10" s="269"/>
      <c r="CK10" s="269"/>
      <c r="CL10" s="269"/>
      <c r="CM10" s="269"/>
      <c r="CN10" s="269"/>
      <c r="CO10" s="269"/>
      <c r="CP10" s="269"/>
      <c r="CQ10" s="269"/>
      <c r="CR10" s="269"/>
      <c r="CS10" s="269"/>
      <c r="CT10" s="269"/>
      <c r="CU10" s="269"/>
      <c r="CV10" s="269"/>
      <c r="CW10" s="269"/>
    </row>
    <row r="11" spans="1:101" ht="15" customHeight="1" x14ac:dyDescent="0.25">
      <c r="A11" s="213"/>
      <c r="B11" s="233"/>
      <c r="C11" s="326"/>
      <c r="D11" s="327"/>
      <c r="E11" s="293"/>
      <c r="F11" s="222"/>
      <c r="G11" s="246"/>
      <c r="H11" s="1"/>
      <c r="I11" s="2"/>
      <c r="J11" s="356" t="s">
        <v>745</v>
      </c>
      <c r="K11" s="721" t="s">
        <v>577</v>
      </c>
      <c r="L11" s="879" t="s">
        <v>785</v>
      </c>
      <c r="M11" s="844"/>
      <c r="N11" s="679"/>
      <c r="O11" s="679"/>
      <c r="P11" s="679"/>
      <c r="Q11" s="679"/>
      <c r="R11" s="670" t="str">
        <f t="shared" si="1"/>
        <v>Nei</v>
      </c>
      <c r="S11" s="679"/>
      <c r="T11" s="679"/>
      <c r="U11" s="679"/>
      <c r="V11" s="679"/>
      <c r="W11" s="294"/>
      <c r="X11" s="668"/>
      <c r="Y11" s="663"/>
      <c r="Z11" s="663"/>
      <c r="AA11" s="673"/>
      <c r="AB11" s="672"/>
      <c r="AC11" s="668"/>
      <c r="AD11" s="676" t="s">
        <v>633</v>
      </c>
      <c r="AE11" s="677" t="s">
        <v>507</v>
      </c>
      <c r="AF11" s="663" t="str">
        <f t="shared" si="2"/>
        <v>Et eget avfallshåndteringsområde</v>
      </c>
      <c r="AG11" s="666">
        <v>8</v>
      </c>
      <c r="AH11" s="348" t="s">
        <v>633</v>
      </c>
      <c r="AI11" s="677" t="s">
        <v>507</v>
      </c>
      <c r="AJ11" s="663" t="str">
        <f t="shared" si="3"/>
        <v>Et eget avfallshåndteringsområde</v>
      </c>
      <c r="AK11" s="666">
        <v>5</v>
      </c>
      <c r="AL11" s="676" t="s">
        <v>633</v>
      </c>
      <c r="AM11" s="663" t="s">
        <v>507</v>
      </c>
      <c r="AN11" s="663" t="str">
        <f t="shared" si="4"/>
        <v>Et eget avfallshåndteringsområde</v>
      </c>
      <c r="AO11" s="671">
        <v>5</v>
      </c>
      <c r="AP11" s="681" t="s">
        <v>633</v>
      </c>
      <c r="AQ11" s="663" t="s">
        <v>544</v>
      </c>
      <c r="AR11" s="663" t="str">
        <f t="shared" si="5"/>
        <v/>
      </c>
      <c r="AS11" s="671">
        <v>5</v>
      </c>
      <c r="AT11" s="841"/>
      <c r="AU11" s="635"/>
      <c r="BN11" s="269"/>
      <c r="BO11" s="269"/>
      <c r="BP11" s="275"/>
      <c r="BQ11" s="275"/>
      <c r="BR11" s="275"/>
      <c r="BS11" s="275"/>
      <c r="BT11" s="275"/>
      <c r="BU11" s="275"/>
      <c r="BV11" s="269"/>
      <c r="BW11" s="269"/>
      <c r="BX11" s="269"/>
      <c r="BY11" s="269"/>
      <c r="BZ11" s="269"/>
      <c r="CA11" s="269"/>
      <c r="CB11" s="269"/>
      <c r="CC11" s="269"/>
      <c r="CD11" s="269"/>
      <c r="CE11" s="269"/>
      <c r="CF11" s="269"/>
      <c r="CG11" s="269"/>
      <c r="CH11" s="269"/>
      <c r="CI11" s="269"/>
      <c r="CJ11" s="269"/>
      <c r="CK11" s="269"/>
      <c r="CL11" s="269"/>
      <c r="CM11" s="269"/>
      <c r="CN11" s="269"/>
      <c r="CO11" s="269"/>
      <c r="CP11" s="269"/>
      <c r="CQ11" s="269"/>
      <c r="CR11" s="269"/>
      <c r="CS11" s="269"/>
      <c r="CT11" s="269"/>
      <c r="CU11" s="269"/>
      <c r="CV11" s="269"/>
      <c r="CW11" s="269"/>
    </row>
    <row r="12" spans="1:101" x14ac:dyDescent="0.25">
      <c r="A12" s="213"/>
      <c r="B12" s="233"/>
      <c r="C12" s="320" t="s">
        <v>50</v>
      </c>
      <c r="D12" s="321"/>
      <c r="E12" s="291"/>
      <c r="F12" s="222"/>
      <c r="G12" s="237" t="s">
        <v>21</v>
      </c>
      <c r="H12" s="238" t="s">
        <v>27</v>
      </c>
      <c r="I12" s="239"/>
      <c r="J12" s="356" t="str">
        <f>IF(K11=AB23,AB26,"")</f>
        <v/>
      </c>
      <c r="K12" s="720" t="s">
        <v>508</v>
      </c>
      <c r="L12" s="875"/>
      <c r="M12" s="844"/>
      <c r="N12" s="679"/>
      <c r="O12" s="679"/>
      <c r="P12" s="679"/>
      <c r="Q12" s="679"/>
      <c r="R12" s="670" t="str">
        <f t="shared" si="1"/>
        <v/>
      </c>
      <c r="S12" s="679"/>
      <c r="T12" s="679"/>
      <c r="U12" s="679"/>
      <c r="V12" s="679"/>
      <c r="W12" s="294"/>
      <c r="X12" s="668"/>
      <c r="Y12" s="663"/>
      <c r="Z12" s="663"/>
      <c r="AA12" s="348" t="s">
        <v>500</v>
      </c>
      <c r="AB12" s="663"/>
      <c r="AC12" s="664"/>
      <c r="AD12" s="348" t="s">
        <v>663</v>
      </c>
      <c r="AE12" s="677" t="s">
        <v>507</v>
      </c>
      <c r="AF12" s="663" t="str">
        <f t="shared" si="2"/>
        <v>Fryseri og kabinetter (behov for kjølelager for mat)</v>
      </c>
      <c r="AG12" s="666">
        <v>9</v>
      </c>
      <c r="AH12" s="348" t="s">
        <v>663</v>
      </c>
      <c r="AI12" s="677" t="s">
        <v>507</v>
      </c>
      <c r="AJ12" s="663" t="str">
        <f t="shared" si="3"/>
        <v>Fryseri og kabinetter (behov for kjølelager for mat)</v>
      </c>
      <c r="AK12" s="666">
        <v>6</v>
      </c>
      <c r="AL12" s="676" t="s">
        <v>663</v>
      </c>
      <c r="AM12" s="663" t="s">
        <v>507</v>
      </c>
      <c r="AN12" s="663" t="str">
        <f t="shared" si="4"/>
        <v>Fryseri og kabinetter (behov for kjølelager for mat)</v>
      </c>
      <c r="AO12" s="671">
        <v>6</v>
      </c>
      <c r="AP12" s="681" t="s">
        <v>663</v>
      </c>
      <c r="AQ12" s="663" t="s">
        <v>544</v>
      </c>
      <c r="AR12" s="663" t="str">
        <f t="shared" si="5"/>
        <v/>
      </c>
      <c r="AS12" s="671">
        <v>6</v>
      </c>
      <c r="AT12" s="841"/>
      <c r="AU12" s="635"/>
      <c r="BN12" s="269"/>
      <c r="BO12" s="269"/>
      <c r="BP12" s="275"/>
      <c r="BQ12" s="275"/>
      <c r="BR12" s="275"/>
      <c r="BS12" s="275"/>
      <c r="BT12" s="275"/>
      <c r="BU12" s="275"/>
      <c r="BV12" s="269"/>
      <c r="BW12" s="269"/>
      <c r="BX12" s="269"/>
      <c r="BY12" s="269"/>
      <c r="BZ12" s="269"/>
      <c r="CA12" s="269"/>
      <c r="CB12" s="269"/>
      <c r="CC12" s="269"/>
      <c r="CD12" s="269"/>
      <c r="CE12" s="269"/>
      <c r="CF12" s="269"/>
      <c r="CG12" s="269"/>
      <c r="CH12" s="269"/>
      <c r="CI12" s="269"/>
      <c r="CJ12" s="269"/>
      <c r="CK12" s="269"/>
      <c r="CL12" s="269"/>
      <c r="CM12" s="269"/>
      <c r="CN12" s="269"/>
      <c r="CO12" s="269"/>
      <c r="CP12" s="269"/>
      <c r="CQ12" s="269"/>
      <c r="CR12" s="269"/>
      <c r="CS12" s="269"/>
      <c r="CT12" s="269"/>
      <c r="CU12" s="269"/>
      <c r="CV12" s="269"/>
      <c r="CW12" s="269"/>
    </row>
    <row r="13" spans="1:101" x14ac:dyDescent="0.25">
      <c r="A13" s="213"/>
      <c r="B13" s="233"/>
      <c r="C13" s="320" t="s">
        <v>51</v>
      </c>
      <c r="D13" s="321"/>
      <c r="E13" s="291"/>
      <c r="F13" s="222"/>
      <c r="G13" s="237" t="s">
        <v>42</v>
      </c>
      <c r="H13" s="238" t="s">
        <v>27</v>
      </c>
      <c r="I13" s="239"/>
      <c r="J13" s="357"/>
      <c r="K13" s="720"/>
      <c r="L13" s="875"/>
      <c r="M13" s="844"/>
      <c r="N13" s="679"/>
      <c r="O13" s="679"/>
      <c r="P13" s="679"/>
      <c r="Q13" s="679"/>
      <c r="R13" s="670" t="str">
        <f t="shared" si="1"/>
        <v/>
      </c>
      <c r="S13" s="679"/>
      <c r="T13" s="679"/>
      <c r="U13" s="679"/>
      <c r="V13" s="679"/>
      <c r="W13" s="294"/>
      <c r="X13" s="668"/>
      <c r="Y13" s="663"/>
      <c r="Z13" s="663"/>
      <c r="AA13" s="673">
        <v>5</v>
      </c>
      <c r="AB13" s="674" t="s">
        <v>715</v>
      </c>
      <c r="AC13" s="664"/>
      <c r="AD13" s="348" t="s">
        <v>527</v>
      </c>
      <c r="AE13" s="677" t="s">
        <v>507</v>
      </c>
      <c r="AF13" s="663" t="str">
        <f t="shared" si="2"/>
        <v>Heis</v>
      </c>
      <c r="AG13" s="666">
        <v>10</v>
      </c>
      <c r="AH13" s="348" t="s">
        <v>527</v>
      </c>
      <c r="AI13" s="677" t="s">
        <v>507</v>
      </c>
      <c r="AJ13" s="663" t="str">
        <f t="shared" si="3"/>
        <v>Heis</v>
      </c>
      <c r="AK13" s="666">
        <v>7</v>
      </c>
      <c r="AL13" s="676" t="s">
        <v>527</v>
      </c>
      <c r="AM13" s="684" t="s">
        <v>507</v>
      </c>
      <c r="AN13" s="663" t="str">
        <f t="shared" si="4"/>
        <v>Heis</v>
      </c>
      <c r="AO13" s="671">
        <v>7</v>
      </c>
      <c r="AP13" s="681" t="s">
        <v>527</v>
      </c>
      <c r="AQ13" s="684" t="s">
        <v>507</v>
      </c>
      <c r="AR13" s="663" t="str">
        <f t="shared" si="5"/>
        <v>Heis</v>
      </c>
      <c r="AS13" s="671">
        <v>7</v>
      </c>
      <c r="AT13" s="841"/>
      <c r="AU13" s="635"/>
      <c r="BN13" s="269"/>
      <c r="BO13" s="269"/>
      <c r="BP13" s="275"/>
      <c r="BQ13" s="275"/>
      <c r="BR13" s="275"/>
      <c r="BS13" s="275"/>
      <c r="BT13" s="275"/>
      <c r="BU13" s="275"/>
      <c r="BV13" s="269"/>
      <c r="BW13" s="269"/>
      <c r="BX13" s="269"/>
      <c r="BY13" s="269"/>
      <c r="BZ13" s="269"/>
      <c r="CA13" s="269"/>
      <c r="CB13" s="269"/>
      <c r="CC13" s="269"/>
      <c r="CD13" s="269"/>
      <c r="CE13" s="269"/>
      <c r="CF13" s="269"/>
      <c r="CG13" s="269"/>
      <c r="CH13" s="269"/>
      <c r="CI13" s="269"/>
      <c r="CJ13" s="269"/>
      <c r="CK13" s="269"/>
      <c r="CL13" s="269"/>
      <c r="CM13" s="269"/>
      <c r="CN13" s="269"/>
      <c r="CO13" s="269"/>
      <c r="CP13" s="269"/>
      <c r="CQ13" s="269"/>
      <c r="CR13" s="269"/>
      <c r="CS13" s="269"/>
      <c r="CT13" s="269"/>
      <c r="CU13" s="269"/>
      <c r="CV13" s="269"/>
      <c r="CW13" s="269"/>
    </row>
    <row r="14" spans="1:101" x14ac:dyDescent="0.25">
      <c r="A14" s="213"/>
      <c r="B14" s="233"/>
      <c r="C14" s="320" t="s">
        <v>52</v>
      </c>
      <c r="D14" s="321"/>
      <c r="E14" s="291"/>
      <c r="F14" s="222"/>
      <c r="G14" s="247" t="s">
        <v>33</v>
      </c>
      <c r="H14" s="238" t="s">
        <v>27</v>
      </c>
      <c r="I14" s="239"/>
      <c r="J14" s="356" t="s">
        <v>520</v>
      </c>
      <c r="K14" s="722" t="s">
        <v>522</v>
      </c>
      <c r="L14" s="875"/>
      <c r="M14" s="844"/>
      <c r="N14" s="679"/>
      <c r="O14" s="679"/>
      <c r="P14" s="679"/>
      <c r="Q14" s="679"/>
      <c r="R14" s="670" t="str">
        <f t="shared" si="1"/>
        <v>Flere</v>
      </c>
      <c r="S14" s="679"/>
      <c r="T14" s="679"/>
      <c r="U14" s="679"/>
      <c r="V14" s="679"/>
      <c r="W14" s="294"/>
      <c r="X14" s="663"/>
      <c r="Y14" s="663"/>
      <c r="Z14" s="663"/>
      <c r="AA14" s="673">
        <v>6</v>
      </c>
      <c r="AB14" s="674" t="s">
        <v>503</v>
      </c>
      <c r="AC14" s="664"/>
      <c r="AD14" s="680" t="s">
        <v>543</v>
      </c>
      <c r="AE14" s="677" t="s">
        <v>544</v>
      </c>
      <c r="AF14" s="663" t="str">
        <f t="shared" si="2"/>
        <v/>
      </c>
      <c r="AG14" s="666">
        <v>11</v>
      </c>
      <c r="AH14" s="680" t="s">
        <v>543</v>
      </c>
      <c r="AI14" s="677" t="s">
        <v>544</v>
      </c>
      <c r="AJ14" s="663" t="str">
        <f t="shared" si="3"/>
        <v/>
      </c>
      <c r="AK14" s="666">
        <v>8</v>
      </c>
      <c r="AL14" s="676" t="s">
        <v>543</v>
      </c>
      <c r="AM14" s="677" t="s">
        <v>507</v>
      </c>
      <c r="AN14" s="663" t="str">
        <f t="shared" si="4"/>
        <v>Rulletrapp</v>
      </c>
      <c r="AO14" s="671">
        <v>8</v>
      </c>
      <c r="AP14" s="681" t="s">
        <v>543</v>
      </c>
      <c r="AQ14" s="677" t="s">
        <v>507</v>
      </c>
      <c r="AR14" s="663" t="str">
        <f t="shared" si="5"/>
        <v>Rulletrapp</v>
      </c>
      <c r="AS14" s="671">
        <v>8</v>
      </c>
      <c r="AT14" s="841"/>
      <c r="AU14" s="635"/>
      <c r="BN14" s="269"/>
      <c r="BO14" s="269"/>
      <c r="BP14" s="275"/>
      <c r="BQ14" s="275"/>
      <c r="BR14" s="275"/>
      <c r="BS14" s="275"/>
      <c r="BT14" s="275"/>
      <c r="BU14" s="275"/>
      <c r="BV14" s="275"/>
      <c r="BW14" s="275"/>
      <c r="BX14" s="275"/>
      <c r="BY14" s="275"/>
      <c r="BZ14" s="275"/>
      <c r="CA14" s="275"/>
      <c r="CB14" s="269"/>
      <c r="CC14" s="269"/>
      <c r="CD14" s="269"/>
      <c r="CE14" s="269"/>
      <c r="CF14" s="269"/>
      <c r="CG14" s="269"/>
      <c r="CH14" s="269"/>
      <c r="CI14" s="269"/>
      <c r="CJ14" s="269"/>
      <c r="CK14" s="269"/>
      <c r="CL14" s="269"/>
      <c r="CM14" s="269"/>
      <c r="CN14" s="269"/>
      <c r="CO14" s="269"/>
      <c r="CP14" s="269"/>
      <c r="CQ14" s="269"/>
      <c r="CR14" s="269"/>
      <c r="CS14" s="269"/>
      <c r="CT14" s="269"/>
      <c r="CU14" s="269"/>
      <c r="CV14" s="269"/>
      <c r="CW14" s="269"/>
    </row>
    <row r="15" spans="1:101" x14ac:dyDescent="0.25">
      <c r="A15" s="213"/>
      <c r="B15" s="233"/>
      <c r="C15" s="322"/>
      <c r="D15" s="323"/>
      <c r="E15" s="292"/>
      <c r="F15" s="222"/>
      <c r="G15" s="247" t="s">
        <v>26</v>
      </c>
      <c r="H15" s="241" t="e">
        <v>#REF!</v>
      </c>
      <c r="I15" s="240"/>
      <c r="J15" s="357"/>
      <c r="K15" s="723"/>
      <c r="L15" s="875"/>
      <c r="M15" s="844"/>
      <c r="N15" s="679"/>
      <c r="O15" s="679"/>
      <c r="P15" s="679"/>
      <c r="Q15" s="679"/>
      <c r="R15" s="670" t="str">
        <f t="shared" si="1"/>
        <v/>
      </c>
      <c r="S15" s="679"/>
      <c r="T15" s="679"/>
      <c r="U15" s="679"/>
      <c r="V15" s="679"/>
      <c r="W15" s="294"/>
      <c r="X15" s="663"/>
      <c r="Y15" s="663"/>
      <c r="Z15" s="663"/>
      <c r="AA15" s="673">
        <v>7</v>
      </c>
      <c r="AB15" s="685" t="s">
        <v>716</v>
      </c>
      <c r="AC15" s="664"/>
      <c r="AD15" s="686" t="s">
        <v>580</v>
      </c>
      <c r="AE15" s="677" t="s">
        <v>507</v>
      </c>
      <c r="AF15" s="663" t="str">
        <f t="shared" si="2"/>
        <v>Uteanlegg på området</v>
      </c>
      <c r="AG15" s="666">
        <v>12</v>
      </c>
      <c r="AH15" s="687" t="s">
        <v>580</v>
      </c>
      <c r="AI15" s="677" t="s">
        <v>507</v>
      </c>
      <c r="AJ15" s="663" t="str">
        <f t="shared" si="3"/>
        <v>Uteanlegg på området</v>
      </c>
      <c r="AK15" s="666">
        <v>9</v>
      </c>
      <c r="AL15" s="688" t="s">
        <v>580</v>
      </c>
      <c r="AM15" s="663" t="s">
        <v>507</v>
      </c>
      <c r="AN15" s="663" t="str">
        <f t="shared" si="4"/>
        <v>Uteanlegg på området</v>
      </c>
      <c r="AO15" s="671">
        <v>9</v>
      </c>
      <c r="AP15" s="689" t="s">
        <v>580</v>
      </c>
      <c r="AQ15" s="663" t="s">
        <v>507</v>
      </c>
      <c r="AR15" s="663" t="str">
        <f t="shared" si="5"/>
        <v>Uteanlegg på området</v>
      </c>
      <c r="AS15" s="671">
        <v>9</v>
      </c>
      <c r="AT15" s="841"/>
      <c r="AU15" s="635"/>
      <c r="BN15" s="269"/>
      <c r="BO15" s="269"/>
      <c r="BP15" s="275"/>
      <c r="BQ15" s="275"/>
      <c r="BR15" s="275"/>
      <c r="BS15" s="275"/>
      <c r="BT15" s="275"/>
      <c r="BU15" s="275"/>
      <c r="BV15" s="275"/>
      <c r="BW15" s="275"/>
      <c r="BX15" s="275"/>
      <c r="BY15" s="275"/>
      <c r="BZ15" s="275"/>
      <c r="CA15" s="275"/>
      <c r="CB15" s="269"/>
      <c r="CC15" s="269"/>
      <c r="CD15" s="269"/>
      <c r="CE15" s="269"/>
      <c r="CF15" s="269"/>
      <c r="CG15" s="269"/>
      <c r="CH15" s="269"/>
      <c r="CI15" s="269"/>
      <c r="CJ15" s="269"/>
      <c r="CK15" s="269"/>
      <c r="CL15" s="269"/>
      <c r="CM15" s="269"/>
      <c r="CN15" s="269"/>
      <c r="CO15" s="269"/>
      <c r="CP15" s="269"/>
      <c r="CQ15" s="269"/>
      <c r="CR15" s="269"/>
      <c r="CS15" s="269"/>
      <c r="CT15" s="269"/>
      <c r="CU15" s="269"/>
      <c r="CV15" s="269"/>
      <c r="CW15" s="269"/>
    </row>
    <row r="16" spans="1:101" x14ac:dyDescent="0.25">
      <c r="A16" s="213"/>
      <c r="B16" s="233"/>
      <c r="C16" s="328"/>
      <c r="D16" s="325"/>
      <c r="E16" s="3"/>
      <c r="F16" s="222"/>
      <c r="G16" s="243"/>
      <c r="H16" s="244"/>
      <c r="I16" s="245"/>
      <c r="J16" s="356" t="s">
        <v>711</v>
      </c>
      <c r="K16" s="722" t="s">
        <v>576</v>
      </c>
      <c r="L16" s="880" t="s">
        <v>83</v>
      </c>
      <c r="M16" s="844"/>
      <c r="N16" s="679"/>
      <c r="O16" s="679"/>
      <c r="P16" s="679" t="str">
        <f>IF(J16="","","Ja")</f>
        <v>Ja</v>
      </c>
      <c r="Q16" s="679" t="str">
        <f>IF(J16="","","Nei")</f>
        <v>Nei</v>
      </c>
      <c r="R16" s="670" t="str">
        <f t="shared" si="1"/>
        <v>Ja</v>
      </c>
      <c r="S16" s="679"/>
      <c r="T16" s="679"/>
      <c r="U16" s="679"/>
      <c r="V16" s="679"/>
      <c r="W16" s="294"/>
      <c r="X16" s="663"/>
      <c r="Y16" s="663"/>
      <c r="Z16" s="663"/>
      <c r="AA16" s="673">
        <v>8</v>
      </c>
      <c r="AB16" s="674" t="s">
        <v>504</v>
      </c>
      <c r="AC16" s="664"/>
      <c r="AD16" s="686" t="s">
        <v>530</v>
      </c>
      <c r="AE16" s="677" t="s">
        <v>507</v>
      </c>
      <c r="AF16" s="663" t="str">
        <f t="shared" si="2"/>
        <v>Matlaging/servering/spiseområder</v>
      </c>
      <c r="AG16" s="666">
        <v>13</v>
      </c>
      <c r="AH16" s="687" t="s">
        <v>530</v>
      </c>
      <c r="AI16" s="677" t="s">
        <v>507</v>
      </c>
      <c r="AJ16" s="663" t="str">
        <f t="shared" si="3"/>
        <v>Matlaging/servering/spiseområder</v>
      </c>
      <c r="AK16" s="666">
        <v>10</v>
      </c>
      <c r="AL16" s="688" t="s">
        <v>584</v>
      </c>
      <c r="AM16" s="663" t="s">
        <v>507</v>
      </c>
      <c r="AN16" s="663" t="str">
        <f t="shared" si="4"/>
        <v>Matlaging/servering/spiseområder/restauranter</v>
      </c>
      <c r="AO16" s="671">
        <v>10</v>
      </c>
      <c r="AP16" s="689" t="s">
        <v>584</v>
      </c>
      <c r="AQ16" s="663" t="s">
        <v>507</v>
      </c>
      <c r="AR16" s="663" t="str">
        <f t="shared" si="5"/>
        <v>Matlaging/servering/spiseområder/restauranter</v>
      </c>
      <c r="AS16" s="671">
        <v>10</v>
      </c>
      <c r="AT16" s="841"/>
      <c r="AU16" s="635"/>
      <c r="BN16" s="269"/>
      <c r="BO16" s="269"/>
      <c r="BP16" s="275"/>
      <c r="BQ16" s="275"/>
      <c r="BR16" s="275"/>
      <c r="BS16" s="275"/>
      <c r="BT16" s="275"/>
      <c r="BU16" s="275"/>
      <c r="BV16" s="275"/>
      <c r="BW16" s="275"/>
      <c r="BX16" s="275"/>
      <c r="BY16" s="275"/>
      <c r="BZ16" s="275"/>
      <c r="CA16" s="275"/>
      <c r="CB16" s="269"/>
      <c r="CC16" s="269"/>
      <c r="CD16" s="269"/>
      <c r="CE16" s="269"/>
      <c r="CF16" s="269"/>
      <c r="CG16" s="269"/>
      <c r="CH16" s="269"/>
      <c r="CI16" s="269"/>
      <c r="CJ16" s="269"/>
      <c r="CK16" s="269"/>
      <c r="CL16" s="269"/>
      <c r="CM16" s="269"/>
      <c r="CN16" s="269"/>
      <c r="CO16" s="269"/>
      <c r="CP16" s="269"/>
      <c r="CQ16" s="269"/>
      <c r="CR16" s="269"/>
      <c r="CS16" s="269"/>
      <c r="CT16" s="269"/>
      <c r="CU16" s="269"/>
      <c r="CV16" s="269"/>
      <c r="CW16" s="269"/>
    </row>
    <row r="17" spans="1:101" x14ac:dyDescent="0.25">
      <c r="A17" s="213"/>
      <c r="B17" s="233"/>
      <c r="C17" s="329"/>
      <c r="D17" s="327"/>
      <c r="E17" s="293"/>
      <c r="F17" s="222"/>
      <c r="G17" s="248"/>
      <c r="H17" s="242"/>
      <c r="I17" s="242"/>
      <c r="J17" s="356"/>
      <c r="K17" s="723"/>
      <c r="L17" s="875"/>
      <c r="M17" s="844"/>
      <c r="N17" s="679"/>
      <c r="O17" s="679"/>
      <c r="P17" s="679" t="str">
        <f t="shared" ref="P17:P35" si="6">IF(J17="","","Ja")</f>
        <v/>
      </c>
      <c r="Q17" s="679" t="str">
        <f t="shared" ref="Q17:Q35" si="7">IF(J17="","","Nei")</f>
        <v/>
      </c>
      <c r="R17" s="670" t="str">
        <f t="shared" si="1"/>
        <v/>
      </c>
      <c r="S17" s="679"/>
      <c r="T17" s="679"/>
      <c r="U17" s="679"/>
      <c r="V17" s="679"/>
      <c r="W17" s="294"/>
      <c r="X17" s="663"/>
      <c r="Y17" s="663"/>
      <c r="Z17" s="663"/>
      <c r="AA17" s="673"/>
      <c r="AB17" s="675" t="s">
        <v>717</v>
      </c>
      <c r="AC17" s="664"/>
      <c r="AD17" s="686" t="s">
        <v>671</v>
      </c>
      <c r="AE17" s="677" t="s">
        <v>544</v>
      </c>
      <c r="AF17" s="663" t="str">
        <f t="shared" si="2"/>
        <v/>
      </c>
      <c r="AG17" s="666">
        <v>14</v>
      </c>
      <c r="AH17" s="687" t="s">
        <v>672</v>
      </c>
      <c r="AI17" s="677" t="s">
        <v>507</v>
      </c>
      <c r="AJ17" s="663" t="str">
        <f t="shared" si="3"/>
        <v>Laboratorium?</v>
      </c>
      <c r="AK17" s="666">
        <v>11</v>
      </c>
      <c r="AL17" s="690" t="s">
        <v>671</v>
      </c>
      <c r="AM17" s="663" t="s">
        <v>544</v>
      </c>
      <c r="AN17" s="663" t="str">
        <f t="shared" si="4"/>
        <v/>
      </c>
      <c r="AO17" s="671">
        <v>11</v>
      </c>
      <c r="AP17" s="689" t="s">
        <v>671</v>
      </c>
      <c r="AQ17" s="663" t="s">
        <v>544</v>
      </c>
      <c r="AR17" s="663" t="str">
        <f t="shared" si="5"/>
        <v/>
      </c>
      <c r="AS17" s="671">
        <v>11</v>
      </c>
      <c r="AT17" s="841"/>
      <c r="AU17" s="635"/>
      <c r="BN17" s="269"/>
      <c r="BO17" s="269"/>
      <c r="BP17" s="275"/>
      <c r="BQ17" s="275"/>
      <c r="BR17" s="275"/>
      <c r="BS17" s="275"/>
      <c r="BT17" s="275"/>
      <c r="BU17" s="275"/>
      <c r="BV17" s="269"/>
      <c r="BW17" s="269"/>
      <c r="BX17" s="269"/>
      <c r="BY17" s="269"/>
      <c r="BZ17" s="269"/>
      <c r="CA17" s="269"/>
      <c r="CB17" s="269"/>
      <c r="CC17" s="269"/>
      <c r="CD17" s="269"/>
      <c r="CE17" s="269"/>
      <c r="CF17" s="269"/>
      <c r="CG17" s="269"/>
      <c r="CH17" s="269"/>
      <c r="CI17" s="269"/>
      <c r="CJ17" s="269"/>
      <c r="CK17" s="269"/>
      <c r="CL17" s="269"/>
      <c r="CM17" s="269"/>
      <c r="CN17" s="269"/>
      <c r="CO17" s="269"/>
      <c r="CP17" s="269"/>
      <c r="CQ17" s="269"/>
      <c r="CR17" s="269"/>
      <c r="CS17" s="269"/>
      <c r="CT17" s="269"/>
      <c r="CU17" s="269"/>
      <c r="CV17" s="269"/>
      <c r="CW17" s="269"/>
    </row>
    <row r="18" spans="1:101" x14ac:dyDescent="0.25">
      <c r="A18" s="213"/>
      <c r="B18" s="233"/>
      <c r="C18" s="320" t="s">
        <v>53</v>
      </c>
      <c r="D18" s="321"/>
      <c r="E18" s="291"/>
      <c r="F18" s="222"/>
      <c r="G18" s="249"/>
      <c r="H18" s="242"/>
      <c r="I18" s="242"/>
      <c r="J18" s="356" t="str">
        <f>HLOOKUP($K$6,$AF$4:$AS$40,$AG7,FALSE)</f>
        <v>Størrelse på prosjekt (BRA - m2)</v>
      </c>
      <c r="K18" s="723">
        <v>0</v>
      </c>
      <c r="L18" s="875"/>
      <c r="M18" s="844"/>
      <c r="N18" s="679"/>
      <c r="O18" s="679"/>
      <c r="P18" s="679"/>
      <c r="Q18" s="679"/>
      <c r="R18" s="670">
        <f t="shared" si="1"/>
        <v>0</v>
      </c>
      <c r="S18" s="679"/>
      <c r="T18" s="679"/>
      <c r="U18" s="679"/>
      <c r="V18" s="679"/>
      <c r="W18" s="294"/>
      <c r="X18" s="663"/>
      <c r="Y18" s="663"/>
      <c r="Z18" s="663"/>
      <c r="AA18" s="673"/>
      <c r="AB18" s="675" t="s">
        <v>718</v>
      </c>
      <c r="AC18" s="664"/>
      <c r="AD18" s="686" t="s">
        <v>652</v>
      </c>
      <c r="AE18" s="677" t="s">
        <v>544</v>
      </c>
      <c r="AF18" s="663" t="str">
        <f t="shared" si="2"/>
        <v/>
      </c>
      <c r="AG18" s="666">
        <v>15</v>
      </c>
      <c r="AH18" s="687" t="s">
        <v>673</v>
      </c>
      <c r="AI18" s="677" t="s">
        <v>507</v>
      </c>
      <c r="AJ18" s="663" t="str">
        <f>IF(AI18="ja",IF(R28="Ja",AH18,""),"")</f>
        <v>Avtrekksskap i laboratorium</v>
      </c>
      <c r="AK18" s="666">
        <v>12</v>
      </c>
      <c r="AL18" s="690" t="s">
        <v>652</v>
      </c>
      <c r="AM18" s="663" t="s">
        <v>544</v>
      </c>
      <c r="AN18" s="663" t="str">
        <f t="shared" si="4"/>
        <v/>
      </c>
      <c r="AO18" s="671">
        <v>12</v>
      </c>
      <c r="AP18" s="689" t="s">
        <v>652</v>
      </c>
      <c r="AQ18" s="663" t="s">
        <v>544</v>
      </c>
      <c r="AR18" s="663" t="str">
        <f t="shared" si="5"/>
        <v/>
      </c>
      <c r="AS18" s="671">
        <v>12</v>
      </c>
      <c r="AT18" s="841"/>
      <c r="AU18" s="635"/>
      <c r="BD18" s="548"/>
      <c r="BN18" s="269"/>
      <c r="BO18" s="269"/>
      <c r="BP18" s="275"/>
      <c r="BQ18" s="275"/>
      <c r="BR18" s="275"/>
      <c r="BS18" s="275"/>
      <c r="BT18" s="275"/>
      <c r="BU18" s="275"/>
      <c r="BV18" s="269"/>
      <c r="BW18" s="269"/>
      <c r="BX18" s="269"/>
      <c r="BY18" s="269"/>
      <c r="BZ18" s="269"/>
      <c r="CA18" s="269"/>
      <c r="CB18" s="269"/>
      <c r="CC18" s="269"/>
      <c r="CD18" s="269"/>
      <c r="CE18" s="269"/>
      <c r="CF18" s="269"/>
      <c r="CG18" s="269"/>
      <c r="CH18" s="269"/>
      <c r="CI18" s="269"/>
      <c r="CJ18" s="269"/>
      <c r="CK18" s="269"/>
      <c r="CL18" s="269"/>
      <c r="CM18" s="269"/>
      <c r="CN18" s="269"/>
      <c r="CO18" s="269"/>
      <c r="CP18" s="269"/>
      <c r="CQ18" s="269"/>
      <c r="CR18" s="269"/>
      <c r="CS18" s="269"/>
      <c r="CT18" s="269"/>
      <c r="CU18" s="269"/>
      <c r="CV18" s="269"/>
      <c r="CW18" s="269"/>
    </row>
    <row r="19" spans="1:101" x14ac:dyDescent="0.25">
      <c r="A19" s="213"/>
      <c r="B19" s="233"/>
      <c r="C19" s="320" t="s">
        <v>54</v>
      </c>
      <c r="D19" s="321"/>
      <c r="E19" s="291"/>
      <c r="F19" s="222"/>
      <c r="G19" s="222"/>
      <c r="H19" s="242"/>
      <c r="I19" s="242"/>
      <c r="J19" s="356" t="str">
        <f t="shared" ref="J19:J29" si="8">HLOOKUP($K$6,$AF$4:$AS$40,$AG8,FALSE)</f>
        <v/>
      </c>
      <c r="K19" s="720"/>
      <c r="L19" s="875" t="str">
        <f>IF(K6="Industri",O19,N19)</f>
        <v>Hea 2, Hea 3, Hea 6, Hea 7, Hea 11, Hea 13, Hea 14</v>
      </c>
      <c r="M19" s="873"/>
      <c r="N19" s="679" t="s">
        <v>786</v>
      </c>
      <c r="O19" s="679" t="s">
        <v>787</v>
      </c>
      <c r="P19" s="679" t="str">
        <f t="shared" ref="P19" si="9">IF(J19="","","Ja")</f>
        <v/>
      </c>
      <c r="Q19" s="679" t="str">
        <f t="shared" ref="Q19" si="10">IF(J19="","","Nei")</f>
        <v/>
      </c>
      <c r="R19" s="670" t="str">
        <f t="shared" si="1"/>
        <v/>
      </c>
      <c r="S19" s="679"/>
      <c r="T19" s="679" t="s">
        <v>687</v>
      </c>
      <c r="U19" s="679"/>
      <c r="V19" s="679"/>
      <c r="W19" s="294"/>
      <c r="X19" s="663"/>
      <c r="Y19" s="663"/>
      <c r="Z19" s="663"/>
      <c r="AA19" s="673"/>
      <c r="AB19" s="663" t="s">
        <v>573</v>
      </c>
      <c r="AC19" s="664"/>
      <c r="AD19" s="686" t="s">
        <v>582</v>
      </c>
      <c r="AE19" s="677" t="s">
        <v>544</v>
      </c>
      <c r="AF19" s="663" t="str">
        <f t="shared" si="2"/>
        <v/>
      </c>
      <c r="AG19" s="666">
        <v>16</v>
      </c>
      <c r="AH19" s="687" t="s">
        <v>582</v>
      </c>
      <c r="AI19" s="677" t="s">
        <v>507</v>
      </c>
      <c r="AJ19" s="663" t="str">
        <f t="shared" si="3"/>
        <v>Svømmehall</v>
      </c>
      <c r="AK19" s="666">
        <v>13</v>
      </c>
      <c r="AL19" s="690" t="s">
        <v>582</v>
      </c>
      <c r="AM19" s="663" t="s">
        <v>544</v>
      </c>
      <c r="AN19" s="663" t="str">
        <f t="shared" si="4"/>
        <v/>
      </c>
      <c r="AO19" s="671">
        <v>13</v>
      </c>
      <c r="AP19" s="689" t="s">
        <v>582</v>
      </c>
      <c r="AQ19" s="663" t="s">
        <v>544</v>
      </c>
      <c r="AR19" s="663" t="str">
        <f t="shared" si="5"/>
        <v/>
      </c>
      <c r="AS19" s="671">
        <v>13</v>
      </c>
      <c r="AT19" s="841"/>
      <c r="AU19" s="635" t="s">
        <v>702</v>
      </c>
      <c r="BN19" s="269"/>
      <c r="BO19" s="269"/>
      <c r="BP19" s="275"/>
      <c r="BQ19" s="275"/>
      <c r="BR19" s="275"/>
      <c r="BS19" s="275"/>
      <c r="BT19" s="275"/>
      <c r="BU19" s="275"/>
      <c r="BV19" s="269"/>
      <c r="BW19" s="269"/>
      <c r="BX19" s="269"/>
      <c r="BY19" s="269"/>
      <c r="BZ19" s="269"/>
      <c r="CA19" s="269"/>
      <c r="CB19" s="269"/>
      <c r="CC19" s="269"/>
      <c r="CD19" s="269"/>
      <c r="CE19" s="269"/>
      <c r="CF19" s="269"/>
      <c r="CG19" s="269"/>
      <c r="CH19" s="269"/>
      <c r="CI19" s="269"/>
      <c r="CJ19" s="269"/>
      <c r="CK19" s="269"/>
      <c r="CL19" s="269"/>
      <c r="CM19" s="269"/>
      <c r="CN19" s="269"/>
      <c r="CO19" s="269"/>
      <c r="CP19" s="269"/>
      <c r="CQ19" s="269"/>
      <c r="CR19" s="269"/>
      <c r="CS19" s="269"/>
      <c r="CT19" s="269"/>
      <c r="CU19" s="269"/>
      <c r="CV19" s="269"/>
      <c r="CW19" s="269"/>
    </row>
    <row r="20" spans="1:101" x14ac:dyDescent="0.25">
      <c r="A20" s="213"/>
      <c r="B20" s="233"/>
      <c r="C20" s="330" t="s">
        <v>771</v>
      </c>
      <c r="D20" s="321"/>
      <c r="E20" s="291"/>
      <c r="F20" s="222"/>
      <c r="G20" s="222"/>
      <c r="H20" s="222"/>
      <c r="I20" s="222"/>
      <c r="J20" s="356" t="str">
        <f>IF(K19=0,"",HLOOKUP($K$6,$AF$4:$AS$40,$AG9,FALSE))</f>
        <v/>
      </c>
      <c r="K20" s="720" t="s">
        <v>577</v>
      </c>
      <c r="L20" s="875"/>
      <c r="M20" s="844"/>
      <c r="N20" s="679"/>
      <c r="O20" s="679"/>
      <c r="P20" s="679" t="str">
        <f t="shared" si="6"/>
        <v/>
      </c>
      <c r="Q20" s="679" t="str">
        <f t="shared" si="7"/>
        <v/>
      </c>
      <c r="R20" s="670" t="str">
        <f t="shared" si="1"/>
        <v/>
      </c>
      <c r="S20" s="679"/>
      <c r="T20" s="679"/>
      <c r="U20" s="679"/>
      <c r="V20" s="679"/>
      <c r="W20" s="294"/>
      <c r="X20" s="663"/>
      <c r="Y20" s="663"/>
      <c r="Z20" s="663"/>
      <c r="AA20" s="673">
        <v>9</v>
      </c>
      <c r="AB20" s="663" t="s">
        <v>575</v>
      </c>
      <c r="AC20" s="664"/>
      <c r="AD20" s="686" t="s">
        <v>585</v>
      </c>
      <c r="AE20" s="663" t="s">
        <v>544</v>
      </c>
      <c r="AF20" s="663" t="str">
        <f t="shared" si="2"/>
        <v/>
      </c>
      <c r="AG20" s="666">
        <v>17</v>
      </c>
      <c r="AH20" s="686" t="s">
        <v>585</v>
      </c>
      <c r="AI20" s="663" t="s">
        <v>544</v>
      </c>
      <c r="AJ20" s="663" t="str">
        <f t="shared" si="3"/>
        <v/>
      </c>
      <c r="AK20" s="666">
        <v>14</v>
      </c>
      <c r="AL20" s="688" t="s">
        <v>585</v>
      </c>
      <c r="AM20" s="663" t="s">
        <v>507</v>
      </c>
      <c r="AN20" s="663" t="str">
        <f t="shared" si="4"/>
        <v>Bilvaskområde</v>
      </c>
      <c r="AO20" s="671">
        <v>14</v>
      </c>
      <c r="AP20" s="689" t="s">
        <v>585</v>
      </c>
      <c r="AQ20" s="663" t="s">
        <v>544</v>
      </c>
      <c r="AR20" s="663" t="str">
        <f t="shared" si="5"/>
        <v/>
      </c>
      <c r="AS20" s="671">
        <v>14</v>
      </c>
      <c r="AT20" s="841"/>
      <c r="AU20" s="635"/>
      <c r="BN20" s="269"/>
      <c r="BO20" s="269"/>
      <c r="BP20" s="269"/>
      <c r="BQ20" s="269"/>
      <c r="BR20" s="269"/>
      <c r="BS20" s="269"/>
      <c r="BT20" s="269"/>
      <c r="BU20" s="269"/>
      <c r="BV20" s="269"/>
      <c r="BW20" s="269"/>
      <c r="BX20" s="269"/>
      <c r="BY20" s="269"/>
      <c r="BZ20" s="269"/>
      <c r="CA20" s="269"/>
      <c r="CB20" s="269"/>
      <c r="CC20" s="269"/>
      <c r="CD20" s="269"/>
      <c r="CE20" s="269"/>
      <c r="CF20" s="269"/>
      <c r="CG20" s="269"/>
      <c r="CH20" s="269"/>
      <c r="CI20" s="269"/>
      <c r="CJ20" s="269"/>
      <c r="CK20" s="269"/>
      <c r="CL20" s="269"/>
      <c r="CM20" s="269"/>
      <c r="CN20" s="269"/>
      <c r="CO20" s="269"/>
      <c r="CP20" s="269"/>
      <c r="CQ20" s="269"/>
      <c r="CR20" s="269"/>
      <c r="CS20" s="269"/>
      <c r="CT20" s="269"/>
      <c r="CU20" s="269"/>
      <c r="CV20" s="269"/>
      <c r="CW20" s="269"/>
    </row>
    <row r="21" spans="1:101" x14ac:dyDescent="0.25">
      <c r="A21" s="213"/>
      <c r="B21" s="233"/>
      <c r="C21" s="330" t="s">
        <v>701</v>
      </c>
      <c r="D21" s="321"/>
      <c r="E21" s="291"/>
      <c r="F21" s="222"/>
      <c r="G21" s="222"/>
      <c r="H21" s="222"/>
      <c r="I21" s="222"/>
      <c r="J21" s="356" t="str">
        <f t="shared" si="8"/>
        <v/>
      </c>
      <c r="K21" s="720" t="s">
        <v>576</v>
      </c>
      <c r="L21" s="875" t="s">
        <v>83</v>
      </c>
      <c r="M21" s="844"/>
      <c r="N21" s="679"/>
      <c r="O21" s="679"/>
      <c r="P21" s="679" t="str">
        <f t="shared" si="6"/>
        <v/>
      </c>
      <c r="Q21" s="679" t="str">
        <f t="shared" si="7"/>
        <v/>
      </c>
      <c r="R21" s="670" t="str">
        <f t="shared" si="1"/>
        <v/>
      </c>
      <c r="S21" s="679"/>
      <c r="T21" s="679"/>
      <c r="U21" s="679"/>
      <c r="V21" s="679"/>
      <c r="W21" s="294"/>
      <c r="X21" s="663"/>
      <c r="Y21" s="663"/>
      <c r="Z21" s="663"/>
      <c r="AA21" s="673">
        <v>10</v>
      </c>
      <c r="AB21" s="663" t="s">
        <v>574</v>
      </c>
      <c r="AC21" s="664"/>
      <c r="AD21" s="687" t="s">
        <v>579</v>
      </c>
      <c r="AE21" s="663" t="s">
        <v>507</v>
      </c>
      <c r="AF21" s="663" t="str">
        <f t="shared" si="2"/>
        <v>Område for varelevering og manøvrering</v>
      </c>
      <c r="AG21" s="666">
        <v>18</v>
      </c>
      <c r="AH21" s="687" t="s">
        <v>579</v>
      </c>
      <c r="AI21" s="663" t="s">
        <v>507</v>
      </c>
      <c r="AJ21" s="663" t="str">
        <f t="shared" si="3"/>
        <v>Område for varelevering og manøvrering</v>
      </c>
      <c r="AK21" s="666">
        <v>15</v>
      </c>
      <c r="AL21" s="688" t="s">
        <v>579</v>
      </c>
      <c r="AM21" s="663" t="s">
        <v>507</v>
      </c>
      <c r="AN21" s="663" t="str">
        <f t="shared" si="4"/>
        <v>Område for varelevering og manøvrering</v>
      </c>
      <c r="AO21" s="671">
        <v>15</v>
      </c>
      <c r="AP21" s="689" t="s">
        <v>579</v>
      </c>
      <c r="AQ21" s="663" t="s">
        <v>544</v>
      </c>
      <c r="AR21" s="663" t="str">
        <f t="shared" si="5"/>
        <v/>
      </c>
      <c r="AS21" s="671">
        <v>15</v>
      </c>
      <c r="AT21" s="841"/>
      <c r="AU21" s="635"/>
      <c r="BN21" s="269"/>
      <c r="BO21" s="269"/>
      <c r="BP21" s="269"/>
      <c r="BQ21" s="269"/>
      <c r="BR21" s="269"/>
      <c r="BS21" s="269"/>
      <c r="BT21" s="269"/>
      <c r="BU21" s="269"/>
      <c r="BV21" s="269"/>
      <c r="BW21" s="269"/>
      <c r="BX21" s="269"/>
      <c r="BY21" s="269"/>
      <c r="BZ21" s="269"/>
      <c r="CA21" s="269"/>
      <c r="CB21" s="269"/>
      <c r="CC21" s="269"/>
      <c r="CD21" s="269"/>
      <c r="CE21" s="269"/>
      <c r="CF21" s="269"/>
      <c r="CG21" s="269"/>
      <c r="CH21" s="269"/>
      <c r="CI21" s="269"/>
      <c r="CJ21" s="269"/>
      <c r="CK21" s="269"/>
      <c r="CL21" s="269"/>
      <c r="CM21" s="269"/>
      <c r="CN21" s="269"/>
      <c r="CO21" s="269"/>
      <c r="CP21" s="269"/>
      <c r="CQ21" s="269"/>
      <c r="CR21" s="269"/>
      <c r="CS21" s="269"/>
      <c r="CT21" s="269"/>
      <c r="CU21" s="269"/>
      <c r="CV21" s="269"/>
      <c r="CW21" s="269"/>
    </row>
    <row r="22" spans="1:101" x14ac:dyDescent="0.25">
      <c r="A22" s="213"/>
      <c r="B22" s="233"/>
      <c r="C22" s="330" t="s">
        <v>770</v>
      </c>
      <c r="D22" s="321"/>
      <c r="E22" s="291"/>
      <c r="F22" s="222"/>
      <c r="G22" s="222"/>
      <c r="H22" s="222"/>
      <c r="I22" s="222"/>
      <c r="J22" s="356" t="str">
        <f>IF(OR(AND(K6=AB10,(OR(K10=N10,K10=O10))),AND(K6=AB10,K10=P10)),"",HLOOKUP($K$6,$AF$4:$AS$40,$AG11,FALSE))</f>
        <v>Et eget avfallshåndteringsområde</v>
      </c>
      <c r="K22" s="720" t="s">
        <v>576</v>
      </c>
      <c r="L22" s="875" t="s">
        <v>319</v>
      </c>
      <c r="M22" s="844"/>
      <c r="N22" s="679"/>
      <c r="O22" s="679"/>
      <c r="P22" s="679" t="str">
        <f t="shared" si="6"/>
        <v>Ja</v>
      </c>
      <c r="Q22" s="679" t="str">
        <f t="shared" si="7"/>
        <v>Nei</v>
      </c>
      <c r="R22" s="670" t="str">
        <f t="shared" si="1"/>
        <v>Ja</v>
      </c>
      <c r="S22" s="679"/>
      <c r="T22" s="679"/>
      <c r="U22" s="679"/>
      <c r="V22" s="679"/>
      <c r="W22" s="294"/>
      <c r="X22" s="663"/>
      <c r="Y22" s="663"/>
      <c r="Z22" s="663"/>
      <c r="AA22" s="348"/>
      <c r="AB22" s="663"/>
      <c r="AC22" s="664"/>
      <c r="AD22" s="687" t="s">
        <v>743</v>
      </c>
      <c r="AE22" s="663" t="s">
        <v>507</v>
      </c>
      <c r="AF22" s="663" t="str">
        <f t="shared" si="2"/>
        <v>Klimaanlegg (kjøling) på driftsområde</v>
      </c>
      <c r="AG22" s="666">
        <v>19</v>
      </c>
      <c r="AH22" s="691" t="s">
        <v>743</v>
      </c>
      <c r="AI22" s="663" t="s">
        <v>544</v>
      </c>
      <c r="AJ22" s="663" t="str">
        <f t="shared" si="3"/>
        <v/>
      </c>
      <c r="AK22" s="666">
        <v>16</v>
      </c>
      <c r="AL22" s="692" t="s">
        <v>743</v>
      </c>
      <c r="AM22" s="663" t="s">
        <v>544</v>
      </c>
      <c r="AN22" s="663" t="str">
        <f t="shared" si="4"/>
        <v/>
      </c>
      <c r="AO22" s="671">
        <v>16</v>
      </c>
      <c r="AP22" s="692" t="s">
        <v>743</v>
      </c>
      <c r="AQ22" s="663" t="s">
        <v>544</v>
      </c>
      <c r="AR22" s="663" t="str">
        <f t="shared" si="5"/>
        <v/>
      </c>
      <c r="AS22" s="671">
        <v>16</v>
      </c>
      <c r="AT22" s="841"/>
      <c r="AU22" s="635"/>
      <c r="BN22" s="269"/>
      <c r="BO22" s="269"/>
      <c r="BP22" s="269"/>
      <c r="BR22" s="269"/>
      <c r="BS22" s="269"/>
      <c r="BT22" s="269"/>
      <c r="BU22" s="269"/>
      <c r="BV22" s="269"/>
      <c r="BW22" s="269"/>
      <c r="BX22" s="269"/>
      <c r="BY22" s="269"/>
      <c r="BZ22" s="269"/>
      <c r="CA22" s="269"/>
      <c r="CB22" s="269"/>
      <c r="CC22" s="269"/>
      <c r="CD22" s="269"/>
      <c r="CE22" s="269"/>
      <c r="CF22" s="269"/>
      <c r="CG22" s="269"/>
      <c r="CH22" s="269"/>
      <c r="CI22" s="269"/>
      <c r="CJ22" s="269"/>
      <c r="CK22" s="269"/>
      <c r="CL22" s="269"/>
      <c r="CM22" s="269"/>
      <c r="CN22" s="269"/>
      <c r="CO22" s="269"/>
      <c r="CP22" s="269"/>
      <c r="CQ22" s="269"/>
      <c r="CR22" s="269"/>
      <c r="CS22" s="269"/>
      <c r="CT22" s="269"/>
      <c r="CU22" s="269"/>
      <c r="CV22" s="269"/>
      <c r="CW22" s="269"/>
    </row>
    <row r="23" spans="1:101" x14ac:dyDescent="0.25">
      <c r="A23" s="213"/>
      <c r="B23" s="233"/>
      <c r="C23" s="330" t="str">
        <f>IF(D6=AC7,"Estimert dato for designfase",IF(D6=AC9,"Estimert dato for ferdigstillelse",IF(D6=AC8,"Estimert dato for designfase")))</f>
        <v>Estimert dato for designfase</v>
      </c>
      <c r="D23" s="836"/>
      <c r="E23" s="291"/>
      <c r="F23" s="222"/>
      <c r="G23" s="222"/>
      <c r="H23" s="222"/>
      <c r="I23" s="222"/>
      <c r="J23" s="356" t="str">
        <f t="shared" si="8"/>
        <v>Fryseri og kabinetter (behov for kjølelager for mat)</v>
      </c>
      <c r="K23" s="720" t="s">
        <v>576</v>
      </c>
      <c r="L23" s="875" t="s">
        <v>788</v>
      </c>
      <c r="M23" s="844"/>
      <c r="N23" s="679"/>
      <c r="O23" s="679"/>
      <c r="P23" s="679" t="str">
        <f t="shared" si="6"/>
        <v>Ja</v>
      </c>
      <c r="Q23" s="679" t="str">
        <f t="shared" si="7"/>
        <v>Nei</v>
      </c>
      <c r="R23" s="670" t="str">
        <f t="shared" si="1"/>
        <v>Ja</v>
      </c>
      <c r="S23" s="679"/>
      <c r="T23" s="679"/>
      <c r="U23" s="679"/>
      <c r="V23" s="679"/>
      <c r="W23" s="294"/>
      <c r="X23" s="663"/>
      <c r="Y23" s="663"/>
      <c r="Z23" s="663"/>
      <c r="AA23" s="673">
        <v>11</v>
      </c>
      <c r="AB23" s="663" t="s">
        <v>576</v>
      </c>
      <c r="AC23" s="664"/>
      <c r="AD23" s="687" t="str">
        <f>IF(R19=0,"","Klimaanlegg (kjøling) på kontorområde")</f>
        <v>Klimaanlegg (kjøling) på kontorområde</v>
      </c>
      <c r="AE23" s="663" t="s">
        <v>507</v>
      </c>
      <c r="AF23" s="663" t="str">
        <f t="shared" si="2"/>
        <v>Klimaanlegg (kjøling) på kontorområde</v>
      </c>
      <c r="AG23" s="666">
        <v>20</v>
      </c>
      <c r="AH23" s="691" t="s">
        <v>688</v>
      </c>
      <c r="AI23" s="663" t="s">
        <v>544</v>
      </c>
      <c r="AJ23" s="663" t="str">
        <f t="shared" si="3"/>
        <v/>
      </c>
      <c r="AK23" s="666">
        <v>17</v>
      </c>
      <c r="AL23" s="692" t="s">
        <v>688</v>
      </c>
      <c r="AM23" s="663" t="s">
        <v>544</v>
      </c>
      <c r="AN23" s="663" t="str">
        <f t="shared" si="4"/>
        <v/>
      </c>
      <c r="AO23" s="671">
        <v>17</v>
      </c>
      <c r="AP23" s="692" t="s">
        <v>688</v>
      </c>
      <c r="AQ23" s="663" t="s">
        <v>544</v>
      </c>
      <c r="AR23" s="663" t="str">
        <f t="shared" si="5"/>
        <v/>
      </c>
      <c r="AS23" s="671">
        <v>17</v>
      </c>
      <c r="AT23" s="841"/>
      <c r="AU23" s="635"/>
      <c r="BN23" s="269"/>
      <c r="BO23" s="269"/>
      <c r="BP23" s="269"/>
      <c r="BQ23" s="269"/>
      <c r="BR23" s="269"/>
      <c r="BS23" s="269"/>
      <c r="BT23" s="269"/>
      <c r="BU23" s="269"/>
      <c r="BV23" s="269"/>
      <c r="BW23" s="269"/>
      <c r="BX23" s="269"/>
      <c r="BY23" s="269"/>
      <c r="BZ23" s="269"/>
      <c r="CA23" s="269"/>
      <c r="CB23" s="269"/>
      <c r="CC23" s="269"/>
      <c r="CD23" s="269"/>
      <c r="CE23" s="269"/>
      <c r="CF23" s="269"/>
      <c r="CG23" s="269"/>
      <c r="CH23" s="269"/>
      <c r="CI23" s="269"/>
      <c r="CJ23" s="269"/>
      <c r="CK23" s="269"/>
      <c r="CL23" s="269"/>
      <c r="CM23" s="269"/>
      <c r="CN23" s="269"/>
      <c r="CO23" s="269"/>
      <c r="CP23" s="269"/>
      <c r="CQ23" s="269"/>
      <c r="CR23" s="269"/>
      <c r="CS23" s="269"/>
      <c r="CT23" s="269"/>
      <c r="CU23" s="269"/>
      <c r="CV23" s="269"/>
      <c r="CW23" s="269"/>
    </row>
    <row r="24" spans="1:101" x14ac:dyDescent="0.25">
      <c r="A24" s="213"/>
      <c r="B24" s="233"/>
      <c r="C24" s="330" t="str">
        <f>IF(D6=AC8,"Estimert dato for ferdigstillelse","")</f>
        <v>Estimert dato for ferdigstillelse</v>
      </c>
      <c r="D24" s="837"/>
      <c r="E24" s="291"/>
      <c r="F24" s="222"/>
      <c r="G24" s="222"/>
      <c r="H24" s="222"/>
      <c r="I24" s="222"/>
      <c r="J24" s="356" t="str">
        <f t="shared" si="8"/>
        <v>Heis</v>
      </c>
      <c r="K24" s="720" t="s">
        <v>576</v>
      </c>
      <c r="L24" s="875" t="s">
        <v>186</v>
      </c>
      <c r="M24" s="844"/>
      <c r="N24" s="679"/>
      <c r="O24" s="679"/>
      <c r="P24" s="679" t="str">
        <f t="shared" si="6"/>
        <v>Ja</v>
      </c>
      <c r="Q24" s="679" t="str">
        <f t="shared" si="7"/>
        <v>Nei</v>
      </c>
      <c r="R24" s="670" t="str">
        <f t="shared" si="1"/>
        <v>Ja</v>
      </c>
      <c r="S24" s="679"/>
      <c r="T24" s="679"/>
      <c r="U24" s="679"/>
      <c r="V24" s="679"/>
      <c r="W24" s="294"/>
      <c r="X24" s="663"/>
      <c r="Y24" s="663"/>
      <c r="Z24" s="663"/>
      <c r="AA24" s="673">
        <v>12</v>
      </c>
      <c r="AB24" s="663" t="s">
        <v>577</v>
      </c>
      <c r="AC24" s="664"/>
      <c r="AD24" s="667"/>
      <c r="AE24" s="663"/>
      <c r="AF24" s="663" t="str">
        <f t="shared" si="2"/>
        <v/>
      </c>
      <c r="AG24" s="666">
        <v>21</v>
      </c>
      <c r="AH24" s="667"/>
      <c r="AI24" s="663"/>
      <c r="AJ24" s="663" t="str">
        <f t="shared" si="3"/>
        <v/>
      </c>
      <c r="AK24" s="666">
        <v>18</v>
      </c>
      <c r="AL24" s="663"/>
      <c r="AM24" s="663"/>
      <c r="AN24" s="663" t="str">
        <f t="shared" si="4"/>
        <v/>
      </c>
      <c r="AO24" s="671">
        <v>18</v>
      </c>
      <c r="AP24" s="669"/>
      <c r="AQ24" s="663"/>
      <c r="AR24" s="663" t="str">
        <f t="shared" si="5"/>
        <v/>
      </c>
      <c r="AS24" s="671">
        <v>18</v>
      </c>
      <c r="AT24" s="841"/>
      <c r="AU24" s="635"/>
      <c r="BN24" s="269"/>
      <c r="BO24" s="269"/>
      <c r="BP24" s="269"/>
      <c r="BQ24" s="269"/>
      <c r="BR24" s="269"/>
      <c r="BS24" s="269"/>
      <c r="BT24" s="269"/>
      <c r="BU24" s="269"/>
      <c r="BV24" s="269"/>
      <c r="BW24" s="269"/>
      <c r="BX24" s="269"/>
      <c r="BY24" s="269"/>
      <c r="BZ24" s="269"/>
      <c r="CA24" s="269"/>
      <c r="CB24" s="269"/>
      <c r="CC24" s="269"/>
      <c r="CD24" s="269"/>
      <c r="CE24" s="269"/>
      <c r="CF24" s="269"/>
      <c r="CG24" s="269"/>
      <c r="CH24" s="269"/>
      <c r="CI24" s="269"/>
      <c r="CJ24" s="269"/>
      <c r="CK24" s="269"/>
      <c r="CL24" s="269"/>
      <c r="CM24" s="269"/>
      <c r="CN24" s="269"/>
      <c r="CO24" s="269"/>
      <c r="CP24" s="269"/>
      <c r="CQ24" s="269"/>
      <c r="CR24" s="269"/>
      <c r="CS24" s="269"/>
      <c r="CT24" s="269"/>
      <c r="CU24" s="269"/>
      <c r="CV24" s="269"/>
      <c r="CW24" s="269"/>
    </row>
    <row r="25" spans="1:101" x14ac:dyDescent="0.25">
      <c r="A25" s="213"/>
      <c r="B25" s="233"/>
      <c r="C25" s="331"/>
      <c r="D25" s="323"/>
      <c r="E25" s="292"/>
      <c r="F25" s="222"/>
      <c r="G25" s="222"/>
      <c r="H25" s="242"/>
      <c r="I25" s="242"/>
      <c r="J25" s="356" t="str">
        <f t="shared" si="8"/>
        <v/>
      </c>
      <c r="K25" s="720" t="s">
        <v>576</v>
      </c>
      <c r="L25" s="875" t="s">
        <v>185</v>
      </c>
      <c r="M25" s="844"/>
      <c r="N25" s="679"/>
      <c r="O25" s="679"/>
      <c r="P25" s="679" t="str">
        <f t="shared" si="6"/>
        <v/>
      </c>
      <c r="Q25" s="679" t="str">
        <f t="shared" si="7"/>
        <v/>
      </c>
      <c r="R25" s="670" t="str">
        <f t="shared" si="1"/>
        <v/>
      </c>
      <c r="S25" s="679"/>
      <c r="T25" s="679"/>
      <c r="U25" s="679"/>
      <c r="V25" s="679"/>
      <c r="W25" s="294"/>
      <c r="X25" s="663"/>
      <c r="Y25" s="663"/>
      <c r="Z25" s="663"/>
      <c r="AA25" s="348"/>
      <c r="AB25" s="663"/>
      <c r="AC25" s="664" t="str">
        <f>IF($K$11=$AB$23,AB27,"")</f>
        <v/>
      </c>
      <c r="AD25" s="667"/>
      <c r="AE25" s="663"/>
      <c r="AF25" s="663" t="str">
        <f t="shared" si="2"/>
        <v/>
      </c>
      <c r="AG25" s="666">
        <v>22</v>
      </c>
      <c r="AH25" s="667"/>
      <c r="AI25" s="663"/>
      <c r="AJ25" s="663" t="str">
        <f t="shared" si="3"/>
        <v/>
      </c>
      <c r="AK25" s="666">
        <v>19</v>
      </c>
      <c r="AL25" s="663"/>
      <c r="AM25" s="663"/>
      <c r="AN25" s="663" t="str">
        <f t="shared" si="4"/>
        <v/>
      </c>
      <c r="AO25" s="671">
        <v>19</v>
      </c>
      <c r="AP25" s="669"/>
      <c r="AQ25" s="663"/>
      <c r="AR25" s="663" t="str">
        <f t="shared" si="5"/>
        <v/>
      </c>
      <c r="AS25" s="671">
        <v>19</v>
      </c>
      <c r="AT25" s="841"/>
      <c r="AU25" s="635"/>
      <c r="BN25" s="269"/>
      <c r="BO25" s="269"/>
      <c r="BP25" s="269"/>
      <c r="BQ25" s="269"/>
      <c r="BR25" s="269"/>
      <c r="BS25" s="269"/>
      <c r="BT25" s="269"/>
      <c r="BU25" s="269"/>
      <c r="BV25" s="269"/>
      <c r="BW25" s="269"/>
      <c r="BX25" s="269"/>
      <c r="BY25" s="269"/>
      <c r="BZ25" s="269"/>
      <c r="CA25" s="269"/>
      <c r="CB25" s="269"/>
      <c r="CC25" s="269"/>
      <c r="CD25" s="269"/>
      <c r="CE25" s="269"/>
      <c r="CF25" s="269"/>
      <c r="CG25" s="269"/>
      <c r="CH25" s="269"/>
      <c r="CI25" s="269"/>
      <c r="CJ25" s="269"/>
      <c r="CK25" s="269"/>
      <c r="CL25" s="269"/>
      <c r="CM25" s="269"/>
      <c r="CN25" s="269"/>
      <c r="CO25" s="269"/>
      <c r="CP25" s="269"/>
      <c r="CQ25" s="269"/>
      <c r="CR25" s="269"/>
      <c r="CS25" s="269"/>
      <c r="CT25" s="269"/>
      <c r="CU25" s="269"/>
      <c r="CV25" s="269"/>
      <c r="CW25" s="269"/>
    </row>
    <row r="26" spans="1:101" x14ac:dyDescent="0.25">
      <c r="A26" s="213"/>
      <c r="B26" s="233"/>
      <c r="F26" s="222"/>
      <c r="G26" s="222"/>
      <c r="H26" s="222"/>
      <c r="I26" s="222"/>
      <c r="J26" s="356" t="str">
        <f t="shared" si="8"/>
        <v>Uteanlegg på området</v>
      </c>
      <c r="K26" s="720" t="s">
        <v>576</v>
      </c>
      <c r="L26" s="875" t="s">
        <v>244</v>
      </c>
      <c r="M26" s="844"/>
      <c r="N26" s="679"/>
      <c r="O26" s="679"/>
      <c r="P26" s="679" t="str">
        <f t="shared" si="6"/>
        <v>Ja</v>
      </c>
      <c r="Q26" s="679" t="str">
        <f t="shared" si="7"/>
        <v>Nei</v>
      </c>
      <c r="R26" s="670" t="str">
        <f t="shared" si="1"/>
        <v>Ja</v>
      </c>
      <c r="S26" s="679"/>
      <c r="T26" s="679"/>
      <c r="U26" s="679"/>
      <c r="V26" s="679"/>
      <c r="W26" s="294"/>
      <c r="X26" s="663"/>
      <c r="Y26" s="663"/>
      <c r="Z26" s="663"/>
      <c r="AA26" s="673"/>
      <c r="AB26" s="663" t="s">
        <v>578</v>
      </c>
      <c r="AC26" s="664" t="str">
        <f>IF($K$11=$AB$23,AB28,"")</f>
        <v/>
      </c>
      <c r="AD26" s="667"/>
      <c r="AE26" s="663"/>
      <c r="AF26" s="663" t="str">
        <f t="shared" si="2"/>
        <v/>
      </c>
      <c r="AG26" s="666">
        <v>23</v>
      </c>
      <c r="AH26" s="667"/>
      <c r="AI26" s="663"/>
      <c r="AJ26" s="663" t="str">
        <f t="shared" si="3"/>
        <v/>
      </c>
      <c r="AK26" s="666">
        <v>20</v>
      </c>
      <c r="AL26" s="663"/>
      <c r="AM26" s="663"/>
      <c r="AN26" s="663" t="str">
        <f t="shared" si="4"/>
        <v/>
      </c>
      <c r="AO26" s="671">
        <v>20</v>
      </c>
      <c r="AP26" s="669"/>
      <c r="AQ26" s="663"/>
      <c r="AR26" s="663" t="str">
        <f t="shared" si="5"/>
        <v/>
      </c>
      <c r="AS26" s="671">
        <v>20</v>
      </c>
      <c r="AT26" s="841"/>
      <c r="AU26" s="635"/>
      <c r="BN26" s="269"/>
      <c r="BO26" s="269"/>
      <c r="BP26" s="269"/>
      <c r="BQ26" s="269"/>
      <c r="BR26" s="269"/>
      <c r="BS26" s="269"/>
      <c r="BT26" s="269"/>
      <c r="BU26" s="269"/>
      <c r="BV26" s="269"/>
      <c r="BW26" s="269"/>
      <c r="BX26" s="269"/>
      <c r="BY26" s="269"/>
      <c r="BZ26" s="269"/>
      <c r="CA26" s="269"/>
      <c r="CB26" s="269"/>
      <c r="CC26" s="269"/>
      <c r="CD26" s="269"/>
      <c r="CE26" s="269"/>
      <c r="CF26" s="269"/>
      <c r="CG26" s="269"/>
      <c r="CH26" s="269"/>
      <c r="CI26" s="269"/>
      <c r="CJ26" s="269"/>
      <c r="CK26" s="269"/>
      <c r="CL26" s="269"/>
      <c r="CM26" s="269"/>
      <c r="CN26" s="269"/>
      <c r="CO26" s="269"/>
      <c r="CP26" s="269"/>
      <c r="CQ26" s="269"/>
      <c r="CR26" s="269"/>
      <c r="CS26" s="269"/>
      <c r="CT26" s="269"/>
      <c r="CU26" s="269"/>
      <c r="CV26" s="269"/>
      <c r="CW26" s="269"/>
    </row>
    <row r="27" spans="1:101" x14ac:dyDescent="0.25">
      <c r="A27" s="213"/>
      <c r="B27" s="233"/>
      <c r="C27" s="329"/>
      <c r="D27" s="327"/>
      <c r="E27" s="293"/>
      <c r="F27" s="222"/>
      <c r="G27" s="222"/>
      <c r="H27" s="222"/>
      <c r="I27" s="222"/>
      <c r="J27" s="356" t="str">
        <f>IF(OR(AND(K6=AB10,(OR(K10=N10,K10=O10))),AND(K6=AB10,K10=P10)),"",HLOOKUP($K$6,$AF$4:$AS$40,$AG16,FALSE))</f>
        <v>Matlaging/servering/spiseområder</v>
      </c>
      <c r="K27" s="720" t="s">
        <v>577</v>
      </c>
      <c r="L27" s="875" t="s">
        <v>107</v>
      </c>
      <c r="M27" s="844"/>
      <c r="N27" s="679"/>
      <c r="O27" s="679"/>
      <c r="P27" s="679" t="str">
        <f t="shared" si="6"/>
        <v>Ja</v>
      </c>
      <c r="Q27" s="679" t="str">
        <f t="shared" si="7"/>
        <v>Nei</v>
      </c>
      <c r="R27" s="670" t="str">
        <f t="shared" si="1"/>
        <v>Nei</v>
      </c>
      <c r="S27" s="679"/>
      <c r="T27" s="679"/>
      <c r="U27" s="679"/>
      <c r="V27" s="679"/>
      <c r="W27" s="294"/>
      <c r="X27" s="663"/>
      <c r="Y27" s="663"/>
      <c r="Z27" s="663"/>
      <c r="AA27" s="673">
        <v>13</v>
      </c>
      <c r="AB27" s="663" t="s">
        <v>508</v>
      </c>
      <c r="AC27" s="664" t="str">
        <f>IF($K$11=$AB$23,AB29,"")</f>
        <v/>
      </c>
      <c r="AD27" s="667"/>
      <c r="AE27" s="663"/>
      <c r="AF27" s="663" t="str">
        <f t="shared" si="2"/>
        <v/>
      </c>
      <c r="AG27" s="666">
        <v>24</v>
      </c>
      <c r="AH27" s="667"/>
      <c r="AI27" s="663"/>
      <c r="AJ27" s="663" t="str">
        <f t="shared" si="3"/>
        <v/>
      </c>
      <c r="AK27" s="666">
        <v>21</v>
      </c>
      <c r="AL27" s="663"/>
      <c r="AM27" s="663"/>
      <c r="AN27" s="663" t="str">
        <f t="shared" si="4"/>
        <v/>
      </c>
      <c r="AO27" s="671">
        <v>21</v>
      </c>
      <c r="AP27" s="669"/>
      <c r="AQ27" s="663"/>
      <c r="AR27" s="663" t="str">
        <f t="shared" si="5"/>
        <v/>
      </c>
      <c r="AS27" s="671">
        <v>21</v>
      </c>
      <c r="AT27" s="841"/>
      <c r="AU27" s="635"/>
      <c r="BN27" s="269"/>
      <c r="BO27" s="269"/>
      <c r="BP27" s="269"/>
      <c r="BQ27" s="269"/>
      <c r="BR27" s="269"/>
      <c r="BS27" s="269"/>
      <c r="BT27" s="269"/>
      <c r="BU27" s="269"/>
      <c r="BV27" s="269"/>
      <c r="BW27" s="269"/>
      <c r="BX27" s="269"/>
      <c r="BY27" s="269"/>
      <c r="BZ27" s="269"/>
      <c r="CA27" s="269"/>
      <c r="CB27" s="269"/>
      <c r="CC27" s="269"/>
      <c r="CD27" s="269"/>
      <c r="CE27" s="269"/>
      <c r="CF27" s="269"/>
      <c r="CG27" s="269"/>
      <c r="CH27" s="269"/>
      <c r="CI27" s="269"/>
      <c r="CJ27" s="269"/>
      <c r="CK27" s="269"/>
      <c r="CL27" s="269"/>
      <c r="CM27" s="269"/>
      <c r="CN27" s="269"/>
      <c r="CO27" s="269"/>
      <c r="CP27" s="269"/>
      <c r="CQ27" s="269"/>
      <c r="CR27" s="269"/>
      <c r="CS27" s="269"/>
      <c r="CT27" s="269"/>
      <c r="CU27" s="269"/>
      <c r="CV27" s="269"/>
      <c r="CW27" s="269"/>
    </row>
    <row r="28" spans="1:101" ht="15" customHeight="1" x14ac:dyDescent="0.25">
      <c r="A28" s="213"/>
      <c r="B28" s="233"/>
      <c r="C28" s="320" t="s">
        <v>704</v>
      </c>
      <c r="D28" s="321"/>
      <c r="E28" s="291"/>
      <c r="F28" s="222"/>
      <c r="G28" s="222"/>
      <c r="H28" s="222"/>
      <c r="I28" s="222"/>
      <c r="J28" s="356" t="str">
        <f>IF(R10=N10,"",HLOOKUP($K$6,$AF$4:$AS$40,$AG17,FALSE))</f>
        <v>Laboratorium?</v>
      </c>
      <c r="K28" s="720" t="s">
        <v>576</v>
      </c>
      <c r="L28" s="875" t="s">
        <v>178</v>
      </c>
      <c r="M28" s="844"/>
      <c r="N28" s="679"/>
      <c r="O28" s="679"/>
      <c r="P28" s="679" t="str">
        <f t="shared" si="6"/>
        <v>Ja</v>
      </c>
      <c r="Q28" s="679" t="str">
        <f t="shared" si="7"/>
        <v>Nei</v>
      </c>
      <c r="R28" s="670" t="str">
        <f t="shared" si="1"/>
        <v>Ja</v>
      </c>
      <c r="S28" s="679"/>
      <c r="T28" s="679"/>
      <c r="U28" s="679"/>
      <c r="V28" s="679"/>
      <c r="W28" s="294"/>
      <c r="X28" s="663"/>
      <c r="Y28" s="663"/>
      <c r="Z28" s="663"/>
      <c r="AA28" s="673">
        <v>14</v>
      </c>
      <c r="AB28" s="663" t="s">
        <v>510</v>
      </c>
      <c r="AC28" s="664" t="str">
        <f>IF($K$11=$AB$23,AB30,"")</f>
        <v/>
      </c>
      <c r="AD28" s="667"/>
      <c r="AE28" s="663"/>
      <c r="AF28" s="663" t="str">
        <f t="shared" si="2"/>
        <v/>
      </c>
      <c r="AG28" s="666">
        <v>25</v>
      </c>
      <c r="AH28" s="667"/>
      <c r="AI28" s="663"/>
      <c r="AJ28" s="663" t="str">
        <f t="shared" si="3"/>
        <v/>
      </c>
      <c r="AK28" s="666">
        <v>22</v>
      </c>
      <c r="AL28" s="663"/>
      <c r="AM28" s="663"/>
      <c r="AN28" s="663" t="str">
        <f t="shared" si="4"/>
        <v/>
      </c>
      <c r="AO28" s="671">
        <v>22</v>
      </c>
      <c r="AP28" s="669"/>
      <c r="AQ28" s="663"/>
      <c r="AR28" s="663" t="str">
        <f t="shared" si="5"/>
        <v/>
      </c>
      <c r="AS28" s="671">
        <v>22</v>
      </c>
      <c r="AT28" s="841"/>
      <c r="AU28" s="635"/>
      <c r="BN28" s="269"/>
      <c r="BO28" s="269"/>
      <c r="BP28" s="269"/>
      <c r="BQ28" s="269"/>
      <c r="BR28" s="269"/>
      <c r="BS28" s="269"/>
      <c r="BT28" s="269"/>
      <c r="BU28" s="269"/>
      <c r="BV28" s="269"/>
      <c r="BW28" s="269"/>
      <c r="BX28" s="269"/>
      <c r="BY28" s="269"/>
      <c r="BZ28" s="269"/>
      <c r="CA28" s="269"/>
      <c r="CB28" s="269"/>
      <c r="CC28" s="269"/>
      <c r="CD28" s="269"/>
      <c r="CE28" s="269"/>
      <c r="CF28" s="269"/>
      <c r="CG28" s="269"/>
      <c r="CH28" s="269"/>
      <c r="CI28" s="269"/>
      <c r="CJ28" s="269"/>
      <c r="CK28" s="269"/>
      <c r="CL28" s="269"/>
      <c r="CM28" s="269"/>
      <c r="CN28" s="269"/>
      <c r="CO28" s="269"/>
      <c r="CP28" s="269"/>
      <c r="CQ28" s="269"/>
      <c r="CR28" s="269"/>
      <c r="CS28" s="269"/>
      <c r="CT28" s="269"/>
      <c r="CU28" s="269"/>
      <c r="CV28" s="269"/>
      <c r="CW28" s="269"/>
    </row>
    <row r="29" spans="1:101" x14ac:dyDescent="0.25">
      <c r="A29" s="213"/>
      <c r="B29" s="233"/>
      <c r="C29" s="330" t="s">
        <v>55</v>
      </c>
      <c r="D29" s="321"/>
      <c r="E29" s="291"/>
      <c r="F29" s="222"/>
      <c r="G29" s="222"/>
      <c r="H29" s="222"/>
      <c r="I29" s="222"/>
      <c r="J29" s="356" t="str">
        <f t="shared" si="8"/>
        <v>Avtrekksskap i laboratorium</v>
      </c>
      <c r="K29" s="720" t="s">
        <v>577</v>
      </c>
      <c r="L29" s="875" t="s">
        <v>789</v>
      </c>
      <c r="M29" s="844"/>
      <c r="N29" s="679"/>
      <c r="O29" s="679"/>
      <c r="P29" s="679" t="str">
        <f t="shared" si="6"/>
        <v>Ja</v>
      </c>
      <c r="Q29" s="679" t="str">
        <f t="shared" si="7"/>
        <v>Nei</v>
      </c>
      <c r="R29" s="670" t="str">
        <f t="shared" si="1"/>
        <v>Nei</v>
      </c>
      <c r="S29" s="679"/>
      <c r="T29" s="679"/>
      <c r="U29" s="679"/>
      <c r="V29" s="679"/>
      <c r="W29" s="294"/>
      <c r="X29" s="663"/>
      <c r="Y29" s="663"/>
      <c r="Z29" s="663"/>
      <c r="AA29" s="673">
        <v>15</v>
      </c>
      <c r="AB29" s="663" t="s">
        <v>515</v>
      </c>
      <c r="AC29" s="664"/>
      <c r="AD29" s="667"/>
      <c r="AE29" s="663"/>
      <c r="AF29" s="663" t="str">
        <f t="shared" si="2"/>
        <v/>
      </c>
      <c r="AG29" s="666">
        <v>26</v>
      </c>
      <c r="AH29" s="667" t="s">
        <v>497</v>
      </c>
      <c r="AI29" s="663"/>
      <c r="AJ29" s="663" t="str">
        <f t="shared" si="3"/>
        <v/>
      </c>
      <c r="AK29" s="666">
        <v>23</v>
      </c>
      <c r="AL29" s="663"/>
      <c r="AM29" s="663"/>
      <c r="AN29" s="663" t="str">
        <f t="shared" si="4"/>
        <v/>
      </c>
      <c r="AO29" s="671">
        <v>23</v>
      </c>
      <c r="AP29" s="669"/>
      <c r="AQ29" s="663"/>
      <c r="AR29" s="663" t="str">
        <f t="shared" si="5"/>
        <v/>
      </c>
      <c r="AS29" s="671">
        <v>23</v>
      </c>
      <c r="AT29" s="841"/>
      <c r="AU29" s="635"/>
      <c r="BN29" s="269"/>
      <c r="BO29" s="269"/>
      <c r="BP29" s="269"/>
      <c r="BQ29" s="269"/>
      <c r="BR29" s="269"/>
      <c r="BS29" s="269"/>
      <c r="BT29" s="269"/>
      <c r="BU29" s="269"/>
      <c r="BV29" s="269"/>
      <c r="BW29" s="269"/>
      <c r="BX29" s="269"/>
      <c r="BY29" s="269"/>
      <c r="BZ29" s="269"/>
      <c r="CA29" s="269"/>
      <c r="CB29" s="269"/>
      <c r="CC29" s="269"/>
      <c r="CD29" s="269"/>
      <c r="CE29" s="269"/>
      <c r="CF29" s="269"/>
      <c r="CG29" s="269"/>
      <c r="CH29" s="269"/>
      <c r="CI29" s="269"/>
      <c r="CJ29" s="269"/>
      <c r="CK29" s="269"/>
      <c r="CL29" s="269"/>
      <c r="CM29" s="269"/>
      <c r="CN29" s="269"/>
      <c r="CO29" s="269"/>
      <c r="CP29" s="269"/>
      <c r="CQ29" s="269"/>
      <c r="CR29" s="269"/>
      <c r="CS29" s="269"/>
      <c r="CT29" s="269"/>
      <c r="CU29" s="269"/>
      <c r="CV29" s="269"/>
      <c r="CW29" s="269"/>
    </row>
    <row r="30" spans="1:101" x14ac:dyDescent="0.25">
      <c r="A30" s="213"/>
      <c r="B30" s="233"/>
      <c r="C30" s="330" t="s">
        <v>56</v>
      </c>
      <c r="D30" s="538"/>
      <c r="E30" s="291"/>
      <c r="F30" s="222"/>
      <c r="G30" s="222"/>
      <c r="H30" s="222"/>
      <c r="I30" s="222"/>
      <c r="J30" s="356" t="str">
        <f>IF(K6=AB10,HLOOKUP($K$6,$AF$4:$AS$40,$AG19,FALSE),"")</f>
        <v>Svømmehall</v>
      </c>
      <c r="K30" s="720" t="s">
        <v>577</v>
      </c>
      <c r="L30" s="875" t="s">
        <v>455</v>
      </c>
      <c r="M30" s="844"/>
      <c r="N30" s="679"/>
      <c r="O30" s="679"/>
      <c r="P30" s="679" t="str">
        <f t="shared" si="6"/>
        <v>Ja</v>
      </c>
      <c r="Q30" s="679" t="str">
        <f t="shared" si="7"/>
        <v>Nei</v>
      </c>
      <c r="R30" s="670" t="str">
        <f>IF(J30="","",K30)</f>
        <v>Nei</v>
      </c>
      <c r="S30" s="679"/>
      <c r="T30" s="679"/>
      <c r="U30" s="679"/>
      <c r="V30" s="679"/>
      <c r="W30" s="294"/>
      <c r="X30" s="663"/>
      <c r="Y30" s="663"/>
      <c r="Z30" s="663"/>
      <c r="AA30" s="673">
        <v>16</v>
      </c>
      <c r="AB30" s="663" t="s">
        <v>517</v>
      </c>
      <c r="AC30" s="664"/>
      <c r="AD30" s="667"/>
      <c r="AE30" s="663"/>
      <c r="AF30" s="663" t="str">
        <f t="shared" si="2"/>
        <v/>
      </c>
      <c r="AG30" s="666">
        <v>27</v>
      </c>
      <c r="AH30" s="667"/>
      <c r="AI30" s="663"/>
      <c r="AJ30" s="663" t="str">
        <f t="shared" si="3"/>
        <v/>
      </c>
      <c r="AK30" s="666">
        <v>24</v>
      </c>
      <c r="AL30" s="663"/>
      <c r="AM30" s="663"/>
      <c r="AN30" s="663" t="str">
        <f t="shared" si="4"/>
        <v/>
      </c>
      <c r="AO30" s="671">
        <v>24</v>
      </c>
      <c r="AP30" s="669"/>
      <c r="AQ30" s="663"/>
      <c r="AR30" s="663" t="str">
        <f t="shared" si="5"/>
        <v/>
      </c>
      <c r="AS30" s="671">
        <v>24</v>
      </c>
      <c r="AT30" s="841"/>
      <c r="AU30" s="635"/>
      <c r="BN30" s="269"/>
      <c r="BO30" s="269"/>
      <c r="BP30" s="269"/>
      <c r="BQ30" s="269"/>
      <c r="BR30" s="269"/>
      <c r="BS30" s="269"/>
      <c r="BT30" s="269"/>
      <c r="BU30" s="269"/>
      <c r="BV30" s="269"/>
      <c r="BW30" s="269"/>
      <c r="BX30" s="269"/>
      <c r="BY30" s="269"/>
      <c r="BZ30" s="269"/>
      <c r="CA30" s="269"/>
      <c r="CB30" s="269"/>
      <c r="CC30" s="269"/>
      <c r="CD30" s="269"/>
      <c r="CE30" s="269"/>
      <c r="CF30" s="269"/>
      <c r="CG30" s="269"/>
      <c r="CH30" s="269"/>
      <c r="CI30" s="269"/>
      <c r="CJ30" s="269"/>
      <c r="CK30" s="269"/>
      <c r="CL30" s="269"/>
      <c r="CM30" s="269"/>
      <c r="CN30" s="269"/>
      <c r="CO30" s="269"/>
      <c r="CP30" s="269"/>
      <c r="CQ30" s="269"/>
      <c r="CR30" s="269"/>
      <c r="CS30" s="269"/>
      <c r="CT30" s="269"/>
      <c r="CU30" s="269"/>
      <c r="CV30" s="269"/>
      <c r="CW30" s="269"/>
    </row>
    <row r="31" spans="1:101" x14ac:dyDescent="0.25">
      <c r="A31" s="213"/>
      <c r="B31" s="233"/>
      <c r="C31" s="330" t="s">
        <v>57</v>
      </c>
      <c r="D31" s="539"/>
      <c r="E31" s="291"/>
      <c r="F31" s="222"/>
      <c r="G31" s="222"/>
      <c r="H31" s="222"/>
      <c r="I31" s="222"/>
      <c r="J31" s="356" t="str">
        <f t="shared" ref="J31:J38" si="11">HLOOKUP($K$6,$AF$4:$AS$40,$AG20,FALSE)</f>
        <v/>
      </c>
      <c r="K31" s="720" t="s">
        <v>576</v>
      </c>
      <c r="L31" s="875" t="s">
        <v>289</v>
      </c>
      <c r="M31" s="844"/>
      <c r="N31" s="679"/>
      <c r="O31" s="679"/>
      <c r="P31" s="679" t="str">
        <f t="shared" si="6"/>
        <v/>
      </c>
      <c r="Q31" s="679" t="str">
        <f t="shared" si="7"/>
        <v/>
      </c>
      <c r="R31" s="670" t="str">
        <f t="shared" si="1"/>
        <v/>
      </c>
      <c r="S31" s="679"/>
      <c r="T31" s="679"/>
      <c r="U31" s="679"/>
      <c r="V31" s="679"/>
      <c r="W31" s="294"/>
      <c r="X31" s="663"/>
      <c r="Y31" s="663"/>
      <c r="Z31" s="663"/>
      <c r="AA31" s="673"/>
      <c r="AB31" s="663"/>
      <c r="AC31" s="664"/>
      <c r="AD31" s="667"/>
      <c r="AE31" s="663"/>
      <c r="AF31" s="663" t="str">
        <f t="shared" si="2"/>
        <v/>
      </c>
      <c r="AG31" s="666">
        <v>28</v>
      </c>
      <c r="AH31" s="667"/>
      <c r="AI31" s="663"/>
      <c r="AJ31" s="663" t="str">
        <f t="shared" si="3"/>
        <v/>
      </c>
      <c r="AK31" s="666">
        <v>25</v>
      </c>
      <c r="AL31" s="663"/>
      <c r="AM31" s="663"/>
      <c r="AN31" s="663" t="str">
        <f t="shared" si="4"/>
        <v/>
      </c>
      <c r="AO31" s="671">
        <v>25</v>
      </c>
      <c r="AP31" s="669"/>
      <c r="AQ31" s="663"/>
      <c r="AR31" s="663" t="str">
        <f t="shared" si="5"/>
        <v/>
      </c>
      <c r="AS31" s="671">
        <v>25</v>
      </c>
      <c r="AT31" s="841"/>
      <c r="AU31" s="635"/>
      <c r="BH31" s="630"/>
      <c r="BI31" s="630"/>
      <c r="BJ31" s="630"/>
      <c r="BK31" s="630"/>
      <c r="BL31" s="630"/>
      <c r="BM31" s="630"/>
      <c r="BN31" s="270"/>
      <c r="BO31" s="269"/>
      <c r="BP31" s="269"/>
      <c r="BQ31" s="269"/>
      <c r="BR31" s="269"/>
      <c r="BS31" s="269"/>
      <c r="BT31" s="269"/>
      <c r="BU31" s="269"/>
      <c r="BV31" s="269"/>
      <c r="BW31" s="269"/>
      <c r="BX31" s="269"/>
      <c r="BY31" s="269"/>
      <c r="BZ31" s="269"/>
      <c r="CA31" s="269"/>
      <c r="CB31" s="269"/>
      <c r="CC31" s="269"/>
      <c r="CD31" s="269"/>
      <c r="CE31" s="269"/>
      <c r="CF31" s="269"/>
      <c r="CG31" s="269"/>
      <c r="CH31" s="269"/>
      <c r="CI31" s="269"/>
      <c r="CJ31" s="269"/>
      <c r="CK31" s="269"/>
      <c r="CL31" s="269"/>
      <c r="CM31" s="269"/>
      <c r="CN31" s="269"/>
      <c r="CO31" s="269"/>
      <c r="CP31" s="269"/>
      <c r="CQ31" s="269"/>
      <c r="CR31" s="269"/>
      <c r="CS31" s="269"/>
      <c r="CT31" s="269"/>
      <c r="CU31" s="269"/>
      <c r="CV31" s="269"/>
      <c r="CW31" s="269"/>
    </row>
    <row r="32" spans="1:101" x14ac:dyDescent="0.25">
      <c r="A32" s="213"/>
      <c r="B32" s="233"/>
      <c r="C32" s="330" t="s">
        <v>58</v>
      </c>
      <c r="D32" s="540"/>
      <c r="E32" s="291"/>
      <c r="F32" s="222"/>
      <c r="G32" s="222"/>
      <c r="H32" s="222"/>
      <c r="I32" s="222"/>
      <c r="J32" s="356" t="str">
        <f t="shared" si="11"/>
        <v>Område for varelevering og manøvrering</v>
      </c>
      <c r="K32" s="720" t="s">
        <v>576</v>
      </c>
      <c r="L32" s="875" t="s">
        <v>286</v>
      </c>
      <c r="M32" s="844"/>
      <c r="N32" s="679"/>
      <c r="O32" s="679"/>
      <c r="P32" s="679" t="str">
        <f t="shared" si="6"/>
        <v>Ja</v>
      </c>
      <c r="Q32" s="679" t="str">
        <f t="shared" si="7"/>
        <v>Nei</v>
      </c>
      <c r="R32" s="670" t="str">
        <f t="shared" si="1"/>
        <v>Ja</v>
      </c>
      <c r="S32" s="679"/>
      <c r="T32" s="679"/>
      <c r="U32" s="679"/>
      <c r="V32" s="679"/>
      <c r="W32" s="294"/>
      <c r="X32" s="663"/>
      <c r="Y32" s="663"/>
      <c r="Z32" s="663"/>
      <c r="AA32" s="673">
        <v>17</v>
      </c>
      <c r="AB32" s="663" t="s">
        <v>521</v>
      </c>
      <c r="AC32" s="664"/>
      <c r="AD32" s="667"/>
      <c r="AE32" s="663"/>
      <c r="AF32" s="663" t="str">
        <f t="shared" si="2"/>
        <v/>
      </c>
      <c r="AG32" s="666">
        <v>29</v>
      </c>
      <c r="AH32" s="667"/>
      <c r="AI32" s="663"/>
      <c r="AJ32" s="663" t="str">
        <f t="shared" si="3"/>
        <v/>
      </c>
      <c r="AK32" s="666">
        <v>26</v>
      </c>
      <c r="AL32" s="663"/>
      <c r="AM32" s="663"/>
      <c r="AN32" s="663" t="str">
        <f t="shared" si="4"/>
        <v/>
      </c>
      <c r="AO32" s="671">
        <v>26</v>
      </c>
      <c r="AP32" s="669"/>
      <c r="AQ32" s="663"/>
      <c r="AR32" s="663" t="str">
        <f t="shared" si="5"/>
        <v/>
      </c>
      <c r="AS32" s="671">
        <v>26</v>
      </c>
      <c r="AT32" s="841"/>
      <c r="AU32" s="635"/>
      <c r="BN32" s="269"/>
      <c r="BO32" s="275"/>
      <c r="BP32" s="275"/>
      <c r="BQ32" s="275"/>
      <c r="BR32" s="275"/>
      <c r="BS32" s="275"/>
      <c r="BT32" s="275"/>
      <c r="BU32" s="275"/>
      <c r="BV32" s="269"/>
      <c r="BW32" s="269"/>
      <c r="BX32" s="269"/>
      <c r="BY32" s="269"/>
      <c r="BZ32" s="269"/>
      <c r="CA32" s="269"/>
      <c r="CB32" s="269"/>
      <c r="CC32" s="269"/>
      <c r="CD32" s="269"/>
      <c r="CE32" s="269"/>
      <c r="CF32" s="269"/>
      <c r="CG32" s="269"/>
      <c r="CH32" s="269"/>
      <c r="CI32" s="269"/>
      <c r="CJ32" s="269"/>
      <c r="CK32" s="269"/>
      <c r="CL32" s="269"/>
      <c r="CM32" s="269"/>
      <c r="CN32" s="269"/>
      <c r="CO32" s="269"/>
      <c r="CP32" s="269"/>
      <c r="CQ32" s="269"/>
      <c r="CR32" s="269"/>
      <c r="CS32" s="269"/>
      <c r="CT32" s="269"/>
      <c r="CU32" s="269"/>
      <c r="CV32" s="269"/>
      <c r="CW32" s="269"/>
    </row>
    <row r="33" spans="1:101" x14ac:dyDescent="0.25">
      <c r="A33" s="213"/>
      <c r="B33" s="233"/>
      <c r="C33" s="330" t="s">
        <v>59</v>
      </c>
      <c r="D33" s="321"/>
      <c r="E33" s="291"/>
      <c r="F33" s="222"/>
      <c r="G33" s="222"/>
      <c r="H33" s="222"/>
      <c r="I33" s="222"/>
      <c r="J33" s="356" t="str">
        <f t="shared" si="11"/>
        <v/>
      </c>
      <c r="K33" s="720" t="s">
        <v>576</v>
      </c>
      <c r="L33" s="875" t="s">
        <v>85</v>
      </c>
      <c r="M33" s="844"/>
      <c r="N33" s="679"/>
      <c r="O33" s="679"/>
      <c r="P33" s="679" t="str">
        <f t="shared" si="6"/>
        <v/>
      </c>
      <c r="Q33" s="679" t="str">
        <f t="shared" si="7"/>
        <v/>
      </c>
      <c r="R33" s="670" t="str">
        <f t="shared" si="1"/>
        <v/>
      </c>
      <c r="S33" s="679"/>
      <c r="T33" s="679"/>
      <c r="U33" s="679"/>
      <c r="V33" s="679"/>
      <c r="W33" s="294"/>
      <c r="X33" s="663"/>
      <c r="Y33" s="663"/>
      <c r="Z33" s="663"/>
      <c r="AA33" s="673">
        <v>18</v>
      </c>
      <c r="AB33" s="663" t="s">
        <v>522</v>
      </c>
      <c r="AC33" s="664"/>
      <c r="AD33" s="667"/>
      <c r="AE33" s="663"/>
      <c r="AF33" s="663" t="str">
        <f t="shared" si="2"/>
        <v/>
      </c>
      <c r="AG33" s="666">
        <v>30</v>
      </c>
      <c r="AH33" s="667"/>
      <c r="AI33" s="663"/>
      <c r="AJ33" s="663" t="str">
        <f t="shared" si="3"/>
        <v/>
      </c>
      <c r="AK33" s="666">
        <v>27</v>
      </c>
      <c r="AL33" s="663"/>
      <c r="AM33" s="663"/>
      <c r="AN33" s="663" t="str">
        <f t="shared" si="4"/>
        <v/>
      </c>
      <c r="AO33" s="671">
        <v>27</v>
      </c>
      <c r="AP33" s="669"/>
      <c r="AQ33" s="663"/>
      <c r="AR33" s="663" t="str">
        <f t="shared" si="5"/>
        <v/>
      </c>
      <c r="AS33" s="671">
        <v>27</v>
      </c>
      <c r="AT33" s="841"/>
      <c r="AU33" s="635"/>
      <c r="BN33" s="269"/>
      <c r="BO33" s="275"/>
      <c r="BP33" s="275"/>
      <c r="BQ33" s="275"/>
      <c r="BR33" s="275"/>
      <c r="BS33" s="275"/>
      <c r="BT33" s="275"/>
      <c r="BU33" s="275"/>
      <c r="BV33" s="269"/>
      <c r="BW33" s="269"/>
      <c r="BX33" s="269"/>
      <c r="BY33" s="269"/>
      <c r="BZ33" s="269"/>
      <c r="CA33" s="269"/>
      <c r="CB33" s="269"/>
      <c r="CC33" s="269"/>
      <c r="CD33" s="269"/>
      <c r="CE33" s="269"/>
      <c r="CF33" s="269"/>
      <c r="CG33" s="269"/>
      <c r="CH33" s="269"/>
      <c r="CI33" s="269"/>
      <c r="CJ33" s="269"/>
      <c r="CK33" s="269"/>
      <c r="CL33" s="269"/>
      <c r="CM33" s="269"/>
      <c r="CN33" s="269"/>
      <c r="CO33" s="269"/>
      <c r="CP33" s="269"/>
      <c r="CQ33" s="269"/>
      <c r="CR33" s="269"/>
      <c r="CS33" s="269"/>
      <c r="CT33" s="269"/>
      <c r="CU33" s="269"/>
      <c r="CV33" s="269"/>
      <c r="CW33" s="269"/>
    </row>
    <row r="34" spans="1:101" x14ac:dyDescent="0.25">
      <c r="A34" s="213"/>
      <c r="B34" s="233"/>
      <c r="C34" s="332"/>
      <c r="D34" s="323"/>
      <c r="E34" s="292"/>
      <c r="F34" s="222"/>
      <c r="G34" s="222"/>
      <c r="H34" s="222"/>
      <c r="I34" s="222"/>
      <c r="J34" s="356" t="str">
        <f t="shared" si="11"/>
        <v/>
      </c>
      <c r="K34" s="720" t="s">
        <v>576</v>
      </c>
      <c r="L34" s="875"/>
      <c r="M34" s="844"/>
      <c r="N34" s="679"/>
      <c r="O34" s="679"/>
      <c r="P34" s="679" t="str">
        <f t="shared" si="6"/>
        <v/>
      </c>
      <c r="Q34" s="679" t="str">
        <f t="shared" si="7"/>
        <v/>
      </c>
      <c r="R34" s="670" t="str">
        <f t="shared" si="1"/>
        <v/>
      </c>
      <c r="S34" s="679"/>
      <c r="T34" s="679"/>
      <c r="U34" s="679"/>
      <c r="V34" s="679"/>
      <c r="W34" s="294"/>
      <c r="X34" s="663"/>
      <c r="Y34" s="663"/>
      <c r="Z34" s="663"/>
      <c r="AA34" s="673"/>
      <c r="AB34" s="663"/>
      <c r="AC34" s="664"/>
      <c r="AD34" s="667"/>
      <c r="AE34" s="663"/>
      <c r="AF34" s="663" t="str">
        <f t="shared" si="2"/>
        <v/>
      </c>
      <c r="AG34" s="666">
        <v>31</v>
      </c>
      <c r="AH34" s="667"/>
      <c r="AI34" s="663"/>
      <c r="AJ34" s="663" t="str">
        <f t="shared" si="3"/>
        <v/>
      </c>
      <c r="AK34" s="666">
        <v>28</v>
      </c>
      <c r="AL34" s="663"/>
      <c r="AM34" s="663"/>
      <c r="AN34" s="663" t="str">
        <f t="shared" si="4"/>
        <v/>
      </c>
      <c r="AO34" s="671">
        <v>28</v>
      </c>
      <c r="AP34" s="669"/>
      <c r="AQ34" s="663"/>
      <c r="AR34" s="663" t="str">
        <f t="shared" si="5"/>
        <v/>
      </c>
      <c r="AS34" s="671">
        <v>28</v>
      </c>
      <c r="AT34" s="841"/>
      <c r="AU34" s="635"/>
      <c r="BN34" s="269"/>
      <c r="BO34" s="275"/>
      <c r="BP34" s="275"/>
      <c r="BQ34" s="275"/>
      <c r="BR34" s="275"/>
      <c r="BS34" s="275"/>
      <c r="BT34" s="275"/>
      <c r="BU34" s="275"/>
      <c r="BV34" s="269"/>
      <c r="BW34" s="269"/>
      <c r="BX34" s="269"/>
      <c r="BY34" s="269"/>
      <c r="BZ34" s="269"/>
      <c r="CA34" s="269"/>
      <c r="CB34" s="269"/>
      <c r="CC34" s="269"/>
      <c r="CD34" s="269"/>
      <c r="CE34" s="269"/>
      <c r="CF34" s="269"/>
      <c r="CG34" s="269"/>
      <c r="CH34" s="269"/>
      <c r="CI34" s="269"/>
      <c r="CJ34" s="269"/>
      <c r="CK34" s="269"/>
      <c r="CL34" s="269"/>
      <c r="CM34" s="269"/>
      <c r="CN34" s="269"/>
      <c r="CO34" s="269"/>
      <c r="CP34" s="269"/>
      <c r="CQ34" s="269"/>
      <c r="CR34" s="269"/>
      <c r="CS34" s="269"/>
      <c r="CT34" s="269"/>
      <c r="CU34" s="269"/>
      <c r="CV34" s="269"/>
      <c r="CW34" s="269"/>
    </row>
    <row r="35" spans="1:101" x14ac:dyDescent="0.25">
      <c r="A35" s="213"/>
      <c r="B35" s="233"/>
      <c r="F35" s="222"/>
      <c r="G35" s="222"/>
      <c r="H35" s="222"/>
      <c r="I35" s="222"/>
      <c r="J35" s="356" t="str">
        <f t="shared" si="11"/>
        <v/>
      </c>
      <c r="K35" s="720" t="s">
        <v>573</v>
      </c>
      <c r="L35" s="875"/>
      <c r="M35" s="844"/>
      <c r="N35" s="679"/>
      <c r="O35" s="679"/>
      <c r="P35" s="679" t="str">
        <f t="shared" si="6"/>
        <v/>
      </c>
      <c r="Q35" s="679" t="str">
        <f t="shared" si="7"/>
        <v/>
      </c>
      <c r="R35" s="670" t="str">
        <f t="shared" si="1"/>
        <v/>
      </c>
      <c r="S35" s="679"/>
      <c r="T35" s="679"/>
      <c r="U35" s="679"/>
      <c r="V35" s="679"/>
      <c r="W35" s="294"/>
      <c r="X35" s="663"/>
      <c r="Y35" s="663"/>
      <c r="Z35" s="663"/>
      <c r="AA35" s="348"/>
      <c r="AB35" s="663"/>
      <c r="AC35" s="664"/>
      <c r="AD35" s="667"/>
      <c r="AE35" s="663"/>
      <c r="AF35" s="663" t="str">
        <f t="shared" si="2"/>
        <v/>
      </c>
      <c r="AG35" s="666">
        <v>32</v>
      </c>
      <c r="AH35" s="667"/>
      <c r="AI35" s="663"/>
      <c r="AJ35" s="663" t="str">
        <f t="shared" si="3"/>
        <v/>
      </c>
      <c r="AK35" s="666">
        <v>29</v>
      </c>
      <c r="AL35" s="663"/>
      <c r="AM35" s="663"/>
      <c r="AN35" s="663" t="str">
        <f t="shared" si="4"/>
        <v/>
      </c>
      <c r="AO35" s="671">
        <v>29</v>
      </c>
      <c r="AP35" s="669"/>
      <c r="AQ35" s="663"/>
      <c r="AR35" s="663" t="str">
        <f t="shared" si="5"/>
        <v/>
      </c>
      <c r="AS35" s="671">
        <v>29</v>
      </c>
      <c r="AT35" s="841"/>
      <c r="AU35" s="635"/>
      <c r="BN35" s="269"/>
      <c r="BO35" s="275"/>
      <c r="BP35" s="275"/>
      <c r="BQ35" s="275"/>
      <c r="BR35" s="275"/>
      <c r="BS35" s="275"/>
      <c r="BT35" s="275"/>
      <c r="BU35" s="275"/>
      <c r="BV35" s="269"/>
      <c r="BW35" s="269"/>
      <c r="BX35" s="269"/>
      <c r="BY35" s="269"/>
      <c r="BZ35" s="269"/>
      <c r="CA35" s="269"/>
      <c r="CB35" s="269"/>
      <c r="CC35" s="269"/>
      <c r="CD35" s="269"/>
      <c r="CE35" s="269"/>
      <c r="CF35" s="269"/>
      <c r="CG35" s="269"/>
      <c r="CH35" s="269"/>
      <c r="CI35" s="269"/>
      <c r="CJ35" s="269"/>
      <c r="CK35" s="269"/>
      <c r="CL35" s="269"/>
      <c r="CM35" s="269"/>
      <c r="CN35" s="269"/>
      <c r="CO35" s="269"/>
      <c r="CP35" s="269"/>
      <c r="CQ35" s="269"/>
      <c r="CR35" s="269"/>
      <c r="CS35" s="269"/>
      <c r="CT35" s="269"/>
      <c r="CU35" s="269"/>
      <c r="CV35" s="269"/>
      <c r="CW35" s="269"/>
    </row>
    <row r="36" spans="1:101" x14ac:dyDescent="0.25">
      <c r="A36" s="213"/>
      <c r="B36" s="233"/>
      <c r="C36" s="329"/>
      <c r="D36" s="327"/>
      <c r="E36" s="293"/>
      <c r="F36" s="222"/>
      <c r="G36" s="222"/>
      <c r="H36" s="222"/>
      <c r="I36" s="222"/>
      <c r="J36" s="356" t="str">
        <f t="shared" si="11"/>
        <v/>
      </c>
      <c r="K36" s="720"/>
      <c r="L36" s="875"/>
      <c r="M36" s="844"/>
      <c r="N36" s="679"/>
      <c r="O36" s="679"/>
      <c r="P36" s="679"/>
      <c r="Q36" s="679"/>
      <c r="R36" s="670" t="str">
        <f t="shared" si="1"/>
        <v/>
      </c>
      <c r="S36" s="679"/>
      <c r="T36" s="679"/>
      <c r="U36" s="679"/>
      <c r="V36" s="679"/>
      <c r="W36" s="294"/>
      <c r="X36" s="663"/>
      <c r="Y36" s="663"/>
      <c r="Z36" s="663"/>
      <c r="AA36" s="348"/>
      <c r="AB36" s="663"/>
      <c r="AC36" s="664"/>
      <c r="AD36" s="667"/>
      <c r="AE36" s="663"/>
      <c r="AF36" s="663" t="str">
        <f t="shared" si="2"/>
        <v/>
      </c>
      <c r="AG36" s="666">
        <v>33</v>
      </c>
      <c r="AH36" s="667"/>
      <c r="AI36" s="663"/>
      <c r="AJ36" s="663" t="str">
        <f t="shared" si="3"/>
        <v/>
      </c>
      <c r="AK36" s="666">
        <v>30</v>
      </c>
      <c r="AL36" s="663"/>
      <c r="AM36" s="663"/>
      <c r="AN36" s="663" t="str">
        <f t="shared" si="4"/>
        <v/>
      </c>
      <c r="AO36" s="671">
        <v>30</v>
      </c>
      <c r="AP36" s="669"/>
      <c r="AQ36" s="663"/>
      <c r="AR36" s="663" t="str">
        <f t="shared" si="5"/>
        <v/>
      </c>
      <c r="AS36" s="671">
        <v>30</v>
      </c>
      <c r="AT36" s="841"/>
      <c r="AU36" s="635"/>
      <c r="BN36" s="269"/>
      <c r="BO36" s="275"/>
      <c r="BP36" s="275"/>
      <c r="BQ36" s="275"/>
      <c r="BR36" s="275"/>
      <c r="BS36" s="275"/>
      <c r="BT36" s="275"/>
      <c r="BU36" s="275"/>
      <c r="BV36" s="269"/>
      <c r="BW36" s="269"/>
      <c r="BX36" s="269"/>
      <c r="BY36" s="269"/>
      <c r="BZ36" s="269"/>
      <c r="CA36" s="269"/>
      <c r="CB36" s="269"/>
      <c r="CC36" s="269"/>
      <c r="CD36" s="269"/>
      <c r="CE36" s="269"/>
      <c r="CF36" s="269"/>
      <c r="CG36" s="269"/>
      <c r="CH36" s="269"/>
      <c r="CI36" s="269"/>
      <c r="CJ36" s="269"/>
      <c r="CK36" s="269"/>
      <c r="CL36" s="269"/>
      <c r="CM36" s="269"/>
      <c r="CN36" s="269"/>
      <c r="CO36" s="269"/>
      <c r="CP36" s="269"/>
      <c r="CQ36" s="269"/>
      <c r="CR36" s="269"/>
      <c r="CS36" s="269"/>
      <c r="CT36" s="269"/>
      <c r="CU36" s="269"/>
      <c r="CV36" s="269"/>
      <c r="CW36" s="269"/>
    </row>
    <row r="37" spans="1:101" x14ac:dyDescent="0.25">
      <c r="A37" s="213"/>
      <c r="B37" s="233"/>
      <c r="C37" s="330" t="s">
        <v>60</v>
      </c>
      <c r="D37" s="333"/>
      <c r="E37" s="291"/>
      <c r="F37" s="222"/>
      <c r="G37" s="222"/>
      <c r="H37" s="222"/>
      <c r="I37" s="222"/>
      <c r="J37" s="356" t="str">
        <f t="shared" si="11"/>
        <v/>
      </c>
      <c r="K37" s="720"/>
      <c r="L37" s="875"/>
      <c r="M37" s="844"/>
      <c r="N37" s="679"/>
      <c r="O37" s="679"/>
      <c r="P37" s="679"/>
      <c r="Q37" s="679"/>
      <c r="R37" s="670" t="str">
        <f t="shared" si="1"/>
        <v/>
      </c>
      <c r="S37" s="679"/>
      <c r="T37" s="679"/>
      <c r="U37" s="679"/>
      <c r="V37" s="679"/>
      <c r="W37" s="294"/>
      <c r="X37" s="663"/>
      <c r="Y37" s="663"/>
      <c r="Z37" s="663"/>
      <c r="AA37" s="348"/>
      <c r="AB37" s="663"/>
      <c r="AC37" s="664"/>
      <c r="AD37" s="667"/>
      <c r="AE37" s="663"/>
      <c r="AF37" s="663" t="str">
        <f t="shared" si="2"/>
        <v/>
      </c>
      <c r="AG37" s="666">
        <v>34</v>
      </c>
      <c r="AH37" s="667"/>
      <c r="AI37" s="663"/>
      <c r="AJ37" s="663" t="str">
        <f t="shared" si="3"/>
        <v/>
      </c>
      <c r="AK37" s="666">
        <v>31</v>
      </c>
      <c r="AL37" s="663"/>
      <c r="AM37" s="663"/>
      <c r="AN37" s="663" t="str">
        <f t="shared" si="4"/>
        <v/>
      </c>
      <c r="AO37" s="671">
        <v>31</v>
      </c>
      <c r="AP37" s="669"/>
      <c r="AQ37" s="663"/>
      <c r="AR37" s="663" t="str">
        <f t="shared" si="5"/>
        <v/>
      </c>
      <c r="AS37" s="671">
        <v>31</v>
      </c>
      <c r="AT37" s="841"/>
      <c r="AU37" s="635"/>
      <c r="BN37" s="269"/>
      <c r="BO37" s="275"/>
      <c r="BP37" s="275"/>
      <c r="BQ37" s="275"/>
      <c r="BR37" s="275"/>
      <c r="BS37" s="275"/>
      <c r="BT37" s="275"/>
      <c r="BU37" s="275"/>
      <c r="BV37" s="269"/>
      <c r="BW37" s="269"/>
      <c r="BX37" s="269"/>
      <c r="BY37" s="269"/>
      <c r="BZ37" s="269"/>
      <c r="CA37" s="269"/>
      <c r="CB37" s="269"/>
      <c r="CC37" s="269"/>
      <c r="CD37" s="269"/>
      <c r="CE37" s="269"/>
      <c r="CF37" s="269"/>
      <c r="CG37" s="269"/>
      <c r="CH37" s="269"/>
      <c r="CI37" s="269"/>
      <c r="CJ37" s="269"/>
      <c r="CK37" s="269"/>
      <c r="CL37" s="269"/>
      <c r="CM37" s="269"/>
      <c r="CN37" s="269"/>
      <c r="CO37" s="269"/>
      <c r="CP37" s="269"/>
      <c r="CQ37" s="269"/>
      <c r="CR37" s="269"/>
      <c r="CS37" s="269"/>
      <c r="CT37" s="269"/>
      <c r="CU37" s="269"/>
      <c r="CV37" s="269"/>
      <c r="CW37" s="269"/>
    </row>
    <row r="38" spans="1:101" x14ac:dyDescent="0.25">
      <c r="A38" s="213"/>
      <c r="B38" s="233"/>
      <c r="C38" s="330" t="s">
        <v>61</v>
      </c>
      <c r="D38" s="321"/>
      <c r="E38" s="291"/>
      <c r="F38" s="222"/>
      <c r="G38" s="222"/>
      <c r="H38" s="222"/>
      <c r="I38" s="222"/>
      <c r="J38" s="356" t="str">
        <f t="shared" si="11"/>
        <v/>
      </c>
      <c r="K38" s="720"/>
      <c r="L38" s="875"/>
      <c r="M38" s="844"/>
      <c r="N38" s="679"/>
      <c r="O38" s="679"/>
      <c r="P38" s="679"/>
      <c r="Q38" s="679"/>
      <c r="R38" s="670" t="str">
        <f t="shared" ref="R38" si="12">IF(J38="","",K38)</f>
        <v/>
      </c>
      <c r="S38" s="679"/>
      <c r="T38" s="679"/>
      <c r="U38" s="679"/>
      <c r="V38" s="679"/>
      <c r="W38" s="294"/>
      <c r="X38" s="663"/>
      <c r="Y38" s="663"/>
      <c r="Z38" s="663"/>
      <c r="AA38" s="348"/>
      <c r="AB38" s="663"/>
      <c r="AC38" s="664"/>
      <c r="AD38" s="667"/>
      <c r="AE38" s="663"/>
      <c r="AF38" s="663" t="str">
        <f t="shared" si="2"/>
        <v/>
      </c>
      <c r="AG38" s="666">
        <v>35</v>
      </c>
      <c r="AH38" s="667"/>
      <c r="AI38" s="663"/>
      <c r="AJ38" s="663" t="str">
        <f t="shared" si="3"/>
        <v/>
      </c>
      <c r="AK38" s="666">
        <v>32</v>
      </c>
      <c r="AL38" s="663"/>
      <c r="AM38" s="663"/>
      <c r="AN38" s="663" t="str">
        <f t="shared" si="4"/>
        <v/>
      </c>
      <c r="AO38" s="671">
        <v>32</v>
      </c>
      <c r="AP38" s="669"/>
      <c r="AQ38" s="663"/>
      <c r="AR38" s="663" t="str">
        <f t="shared" si="5"/>
        <v/>
      </c>
      <c r="AS38" s="671">
        <v>32</v>
      </c>
      <c r="AT38" s="841"/>
      <c r="AU38" s="635"/>
      <c r="BN38" s="269"/>
      <c r="BO38" s="275"/>
      <c r="BP38" s="275"/>
      <c r="BQ38" s="275"/>
      <c r="BR38" s="275"/>
      <c r="BS38" s="275"/>
      <c r="BT38" s="275"/>
      <c r="BU38" s="275"/>
      <c r="BV38" s="269"/>
      <c r="BW38" s="269"/>
      <c r="BX38" s="269"/>
      <c r="BY38" s="269"/>
      <c r="BZ38" s="269"/>
      <c r="CA38" s="269"/>
      <c r="CB38" s="269"/>
      <c r="CC38" s="269"/>
      <c r="CD38" s="269"/>
      <c r="CE38" s="269"/>
      <c r="CF38" s="269"/>
      <c r="CG38" s="269"/>
      <c r="CH38" s="269"/>
      <c r="CI38" s="269"/>
      <c r="CJ38" s="269"/>
      <c r="CK38" s="269"/>
      <c r="CL38" s="269"/>
      <c r="CM38" s="269"/>
      <c r="CN38" s="269"/>
      <c r="CO38" s="269"/>
      <c r="CP38" s="269"/>
      <c r="CQ38" s="269"/>
      <c r="CR38" s="269"/>
      <c r="CS38" s="269"/>
      <c r="CT38" s="269"/>
      <c r="CU38" s="269"/>
      <c r="CV38" s="269"/>
      <c r="CW38" s="269"/>
    </row>
    <row r="39" spans="1:101" x14ac:dyDescent="0.25">
      <c r="A39" s="213"/>
      <c r="B39" s="233"/>
      <c r="C39" s="330" t="s">
        <v>405</v>
      </c>
      <c r="D39" s="321"/>
      <c r="E39" s="291"/>
      <c r="F39" s="222"/>
      <c r="G39" s="222"/>
      <c r="H39" s="222"/>
      <c r="I39" s="222"/>
      <c r="J39" s="332"/>
      <c r="K39" s="323"/>
      <c r="L39" s="876"/>
      <c r="M39" s="833"/>
      <c r="N39" s="323"/>
      <c r="O39" s="323"/>
      <c r="P39" s="323"/>
      <c r="Q39" s="323"/>
      <c r="R39" s="323"/>
      <c r="S39" s="323"/>
      <c r="T39" s="323"/>
      <c r="U39" s="323"/>
      <c r="V39" s="323"/>
      <c r="W39" s="833"/>
      <c r="X39" s="663"/>
      <c r="Y39" s="663"/>
      <c r="Z39" s="663"/>
      <c r="AA39" s="348"/>
      <c r="AB39" s="663"/>
      <c r="AC39" s="664"/>
      <c r="AD39" s="667"/>
      <c r="AE39" s="663"/>
      <c r="AF39" s="663" t="str">
        <f t="shared" si="2"/>
        <v/>
      </c>
      <c r="AG39" s="666">
        <v>36</v>
      </c>
      <c r="AH39" s="667"/>
      <c r="AI39" s="663"/>
      <c r="AJ39" s="663" t="str">
        <f t="shared" si="3"/>
        <v/>
      </c>
      <c r="AK39" s="666">
        <v>33</v>
      </c>
      <c r="AL39" s="663"/>
      <c r="AM39" s="663"/>
      <c r="AN39" s="663" t="str">
        <f t="shared" si="4"/>
        <v/>
      </c>
      <c r="AO39" s="671">
        <v>33</v>
      </c>
      <c r="AP39" s="669"/>
      <c r="AQ39" s="663"/>
      <c r="AR39" s="663" t="str">
        <f t="shared" si="5"/>
        <v/>
      </c>
      <c r="AS39" s="671">
        <v>33</v>
      </c>
      <c r="AT39" s="841"/>
      <c r="AU39" s="635"/>
      <c r="BH39" s="630"/>
      <c r="BI39" s="630"/>
      <c r="BJ39" s="630"/>
      <c r="BK39" s="630"/>
      <c r="BL39" s="630"/>
      <c r="BM39" s="630"/>
      <c r="BN39" s="270"/>
      <c r="BO39" s="275"/>
      <c r="BP39" s="275"/>
      <c r="BQ39" s="275"/>
      <c r="BR39" s="275"/>
      <c r="BS39" s="275"/>
      <c r="BT39" s="275"/>
      <c r="BU39" s="275"/>
      <c r="BV39" s="269"/>
      <c r="BW39" s="269"/>
      <c r="BX39" s="269"/>
      <c r="BY39" s="269"/>
      <c r="BZ39" s="269"/>
      <c r="CA39" s="269"/>
      <c r="CB39" s="269"/>
      <c r="CC39" s="269"/>
      <c r="CD39" s="269"/>
      <c r="CE39" s="269"/>
      <c r="CF39" s="269"/>
      <c r="CG39" s="269"/>
      <c r="CH39" s="269"/>
      <c r="CI39" s="269"/>
      <c r="CJ39" s="269"/>
      <c r="CK39" s="269"/>
      <c r="CL39" s="269"/>
      <c r="CM39" s="269"/>
      <c r="CN39" s="269"/>
      <c r="CO39" s="269"/>
      <c r="CP39" s="269"/>
      <c r="CQ39" s="269"/>
      <c r="CR39" s="269"/>
      <c r="CS39" s="269"/>
      <c r="CT39" s="269"/>
      <c r="CU39" s="269"/>
      <c r="CV39" s="269"/>
      <c r="CW39" s="269"/>
    </row>
    <row r="40" spans="1:101" ht="15.75" thickBot="1" x14ac:dyDescent="0.3">
      <c r="A40" s="213"/>
      <c r="B40" s="233"/>
      <c r="C40" s="330" t="s">
        <v>404</v>
      </c>
      <c r="D40" s="321"/>
      <c r="E40" s="291"/>
      <c r="F40" s="222"/>
      <c r="G40" s="222"/>
      <c r="H40" s="222"/>
      <c r="I40" s="222"/>
      <c r="W40" s="834"/>
      <c r="X40" s="663"/>
      <c r="Y40" s="663"/>
      <c r="Z40" s="663"/>
      <c r="AA40" s="349"/>
      <c r="AB40" s="697"/>
      <c r="AC40" s="698"/>
      <c r="AD40" s="699"/>
      <c r="AE40" s="697"/>
      <c r="AF40" s="697" t="str">
        <f t="shared" si="2"/>
        <v/>
      </c>
      <c r="AG40" s="700">
        <v>37</v>
      </c>
      <c r="AH40" s="699"/>
      <c r="AI40" s="697"/>
      <c r="AJ40" s="697" t="str">
        <f t="shared" si="3"/>
        <v/>
      </c>
      <c r="AK40" s="700">
        <v>34</v>
      </c>
      <c r="AL40" s="701"/>
      <c r="AM40" s="701"/>
      <c r="AN40" s="663" t="str">
        <f t="shared" si="4"/>
        <v/>
      </c>
      <c r="AO40" s="702">
        <v>34</v>
      </c>
      <c r="AP40" s="703"/>
      <c r="AQ40" s="701"/>
      <c r="AR40" s="663" t="str">
        <f t="shared" si="5"/>
        <v/>
      </c>
      <c r="AS40" s="702">
        <v>34</v>
      </c>
      <c r="AT40" s="841"/>
      <c r="AU40" s="635"/>
      <c r="BH40" s="630"/>
      <c r="BI40" s="630"/>
      <c r="BJ40" s="630"/>
      <c r="BK40" s="630"/>
      <c r="BL40" s="630"/>
      <c r="BM40" s="630"/>
      <c r="BN40" s="270"/>
      <c r="BO40" s="275"/>
      <c r="BP40" s="275"/>
      <c r="BQ40" s="275"/>
      <c r="BR40" s="275"/>
      <c r="BS40" s="275"/>
      <c r="BT40" s="275"/>
      <c r="BU40" s="275"/>
      <c r="BV40" s="269"/>
      <c r="BW40" s="269"/>
      <c r="BX40" s="269"/>
      <c r="BY40" s="269"/>
      <c r="BZ40" s="269"/>
      <c r="CA40" s="269"/>
      <c r="CB40" s="269"/>
      <c r="CC40" s="269"/>
      <c r="CD40" s="269"/>
      <c r="CE40" s="269"/>
      <c r="CF40" s="269"/>
      <c r="CG40" s="269"/>
      <c r="CH40" s="269"/>
      <c r="CI40" s="269"/>
      <c r="CJ40" s="269"/>
      <c r="CK40" s="269"/>
      <c r="CL40" s="269"/>
      <c r="CM40" s="269"/>
      <c r="CN40" s="269"/>
      <c r="CO40" s="269"/>
      <c r="CP40" s="269"/>
      <c r="CQ40" s="269"/>
      <c r="CR40" s="269"/>
      <c r="CS40" s="269"/>
      <c r="CT40" s="269"/>
      <c r="CU40" s="269"/>
      <c r="CV40" s="269"/>
      <c r="CW40" s="269"/>
    </row>
    <row r="41" spans="1:101" x14ac:dyDescent="0.25">
      <c r="A41" s="213"/>
      <c r="B41" s="233"/>
      <c r="C41" s="330" t="s">
        <v>46</v>
      </c>
      <c r="D41" s="321"/>
      <c r="E41" s="291"/>
      <c r="F41" s="222"/>
      <c r="G41" s="222"/>
      <c r="H41" s="222"/>
      <c r="I41" s="222"/>
      <c r="J41" s="329"/>
      <c r="K41" s="327"/>
      <c r="L41" s="327"/>
      <c r="M41" s="835"/>
      <c r="N41" s="327"/>
      <c r="O41" s="327"/>
      <c r="P41" s="327"/>
      <c r="Q41" s="327"/>
      <c r="R41" s="327"/>
      <c r="S41" s="327"/>
      <c r="T41" s="327"/>
      <c r="U41" s="327"/>
      <c r="V41" s="327"/>
      <c r="W41" s="835"/>
      <c r="X41" s="663"/>
      <c r="Y41" s="663"/>
      <c r="Z41" s="663"/>
      <c r="AA41" s="705"/>
      <c r="AB41" s="705"/>
      <c r="AC41" s="705"/>
      <c r="AD41" s="705"/>
      <c r="AE41" s="705"/>
      <c r="AF41" s="705"/>
      <c r="AG41" s="705"/>
      <c r="AH41" s="705"/>
      <c r="AI41" s="705"/>
      <c r="AJ41" s="705"/>
      <c r="AK41" s="705"/>
      <c r="AL41" s="705"/>
      <c r="AM41" s="705"/>
      <c r="AN41" s="705"/>
      <c r="AO41" s="705"/>
      <c r="AP41" s="705"/>
      <c r="AQ41" s="705"/>
      <c r="AR41" s="705"/>
      <c r="AS41" s="705"/>
      <c r="AT41" s="838"/>
      <c r="AU41" s="635"/>
      <c r="BN41" s="269"/>
      <c r="BO41" s="275"/>
      <c r="BP41" s="275"/>
      <c r="BQ41" s="275"/>
      <c r="BR41" s="275"/>
      <c r="BS41" s="275"/>
      <c r="BT41" s="275"/>
      <c r="BU41" s="275"/>
      <c r="BV41" s="269"/>
      <c r="BW41" s="269"/>
      <c r="BX41" s="269"/>
      <c r="BY41" s="269"/>
      <c r="BZ41" s="269"/>
      <c r="CA41" s="269"/>
      <c r="CB41" s="269"/>
      <c r="CC41" s="269"/>
      <c r="CD41" s="269"/>
      <c r="CE41" s="269"/>
      <c r="CF41" s="269"/>
      <c r="CG41" s="269"/>
      <c r="CH41" s="269"/>
      <c r="CI41" s="269"/>
      <c r="CJ41" s="269"/>
      <c r="CK41" s="269"/>
      <c r="CL41" s="269"/>
      <c r="CM41" s="269"/>
      <c r="CN41" s="269"/>
      <c r="CO41" s="269"/>
      <c r="CP41" s="269"/>
      <c r="CQ41" s="269"/>
      <c r="CR41" s="269"/>
      <c r="CS41" s="269"/>
      <c r="CT41" s="269"/>
      <c r="CU41" s="269"/>
      <c r="CV41" s="269"/>
      <c r="CW41" s="269"/>
    </row>
    <row r="42" spans="1:101" x14ac:dyDescent="0.25">
      <c r="A42" s="272"/>
      <c r="B42" s="233"/>
      <c r="C42" s="330" t="s">
        <v>674</v>
      </c>
      <c r="D42" s="540"/>
      <c r="E42" s="291"/>
      <c r="F42" s="222"/>
      <c r="G42" s="222"/>
      <c r="H42" s="222"/>
      <c r="I42" s="222"/>
      <c r="J42" s="356" t="s">
        <v>668</v>
      </c>
      <c r="K42" s="845">
        <f>'Pre-analyse'!DQ99</f>
        <v>144</v>
      </c>
      <c r="L42" s="877"/>
      <c r="M42" s="844"/>
      <c r="N42" s="679"/>
      <c r="O42" s="679"/>
      <c r="P42" s="679"/>
      <c r="Q42" s="679"/>
      <c r="R42" s="693"/>
      <c r="S42" s="679"/>
      <c r="T42" s="679"/>
      <c r="U42" s="679"/>
      <c r="V42" s="679"/>
      <c r="W42" s="294"/>
      <c r="X42" s="663"/>
      <c r="Y42" s="663"/>
      <c r="Z42" s="663"/>
      <c r="AA42" s="705"/>
      <c r="AB42" s="705"/>
      <c r="AC42" s="705"/>
      <c r="AD42" s="705"/>
      <c r="AE42" s="705"/>
      <c r="AF42" s="705"/>
      <c r="AG42" s="705"/>
      <c r="AH42" s="705"/>
      <c r="AI42" s="705"/>
      <c r="AJ42" s="705"/>
      <c r="AK42" s="705"/>
      <c r="AL42" s="705"/>
      <c r="AM42" s="705"/>
      <c r="AN42" s="705"/>
      <c r="AO42" s="705"/>
      <c r="AP42" s="705"/>
      <c r="AQ42" s="705"/>
      <c r="AR42" s="705"/>
      <c r="AS42" s="705"/>
      <c r="AT42" s="838"/>
      <c r="AU42" s="635"/>
      <c r="BN42" s="275"/>
      <c r="BO42" s="275"/>
      <c r="BP42" s="275"/>
      <c r="BQ42" s="275"/>
      <c r="BR42" s="275"/>
      <c r="BS42" s="275"/>
      <c r="BT42" s="275"/>
      <c r="BU42" s="275"/>
      <c r="BV42" s="275"/>
      <c r="BW42" s="275"/>
      <c r="BX42" s="275"/>
      <c r="BY42" s="275"/>
      <c r="BZ42" s="275"/>
      <c r="CA42" s="275"/>
      <c r="CB42" s="275"/>
      <c r="CC42" s="275"/>
      <c r="CD42" s="275"/>
      <c r="CE42" s="275"/>
      <c r="CF42" s="275"/>
      <c r="CG42" s="275"/>
      <c r="CH42" s="275"/>
      <c r="CI42" s="275"/>
      <c r="CJ42" s="275"/>
      <c r="CK42" s="275"/>
      <c r="CL42" s="275"/>
      <c r="CM42" s="275"/>
      <c r="CN42" s="275"/>
      <c r="CO42" s="275"/>
      <c r="CP42" s="275"/>
      <c r="CQ42" s="275"/>
      <c r="CR42" s="275"/>
      <c r="CS42" s="275"/>
      <c r="CT42" s="275"/>
      <c r="CU42" s="275"/>
      <c r="CV42" s="275"/>
      <c r="CW42" s="275"/>
    </row>
    <row r="43" spans="1:101" x14ac:dyDescent="0.25">
      <c r="A43" s="272"/>
      <c r="B43" s="233"/>
      <c r="C43" s="330" t="s">
        <v>340</v>
      </c>
      <c r="D43" s="321"/>
      <c r="E43" s="291"/>
      <c r="F43" s="222"/>
      <c r="G43" s="222"/>
      <c r="H43" s="222"/>
      <c r="I43" s="222"/>
      <c r="J43" s="356" t="s">
        <v>669</v>
      </c>
      <c r="K43" s="846">
        <f>'Pre-analyse'!DR99</f>
        <v>6</v>
      </c>
      <c r="L43" s="878"/>
      <c r="M43" s="294"/>
      <c r="N43" s="694"/>
      <c r="O43" s="694"/>
      <c r="P43" s="694"/>
      <c r="Q43" s="694"/>
      <c r="R43" s="695"/>
      <c r="S43" s="694"/>
      <c r="T43" s="694"/>
      <c r="U43" s="694"/>
      <c r="V43" s="694"/>
      <c r="W43" s="294"/>
      <c r="X43" s="663"/>
      <c r="Y43" s="663"/>
      <c r="Z43" s="663"/>
      <c r="AA43" s="705"/>
      <c r="AB43" s="705"/>
      <c r="AC43" s="705"/>
      <c r="AD43" s="705"/>
      <c r="AE43" s="705"/>
      <c r="AF43" s="705"/>
      <c r="AG43" s="705"/>
      <c r="AH43" s="705"/>
      <c r="AI43" s="705"/>
      <c r="AJ43" s="705"/>
      <c r="AK43" s="705"/>
      <c r="AL43" s="705"/>
      <c r="AM43" s="705"/>
      <c r="AN43" s="705"/>
      <c r="AO43" s="705"/>
      <c r="AP43" s="705"/>
      <c r="AQ43" s="705"/>
      <c r="AR43" s="705"/>
      <c r="AS43" s="705"/>
      <c r="AT43" s="838"/>
      <c r="AU43" s="635"/>
      <c r="BN43" s="275"/>
      <c r="BO43" s="275"/>
      <c r="BP43" s="275"/>
      <c r="BQ43" s="275"/>
      <c r="BR43" s="275"/>
      <c r="BS43" s="275"/>
      <c r="BT43" s="275"/>
      <c r="BU43" s="275"/>
      <c r="BV43" s="275"/>
      <c r="BW43" s="275"/>
      <c r="BX43" s="275"/>
      <c r="BY43" s="275"/>
      <c r="BZ43" s="275"/>
      <c r="CA43" s="275"/>
      <c r="CB43" s="275"/>
      <c r="CC43" s="275"/>
      <c r="CD43" s="275"/>
      <c r="CE43" s="275"/>
      <c r="CF43" s="275"/>
      <c r="CG43" s="275"/>
      <c r="CH43" s="275"/>
      <c r="CI43" s="275"/>
      <c r="CJ43" s="275"/>
      <c r="CK43" s="275"/>
      <c r="CL43" s="275"/>
      <c r="CM43" s="275"/>
      <c r="CN43" s="275"/>
      <c r="CO43" s="275"/>
      <c r="CP43" s="275"/>
      <c r="CQ43" s="275"/>
      <c r="CR43" s="275"/>
      <c r="CS43" s="275"/>
      <c r="CT43" s="275"/>
      <c r="CU43" s="275"/>
      <c r="CV43" s="275"/>
      <c r="CW43" s="275"/>
    </row>
    <row r="44" spans="1:101" x14ac:dyDescent="0.25">
      <c r="A44" s="272"/>
      <c r="B44" s="233"/>
      <c r="C44" s="330" t="s">
        <v>323</v>
      </c>
      <c r="D44" s="451"/>
      <c r="E44" s="291"/>
      <c r="F44" s="222"/>
      <c r="G44" s="222"/>
      <c r="H44" s="222"/>
      <c r="I44" s="222"/>
      <c r="J44" s="356" t="s">
        <v>11</v>
      </c>
      <c r="K44" s="846">
        <f>'Pre-analyse'!DS99</f>
        <v>138</v>
      </c>
      <c r="L44" s="878"/>
      <c r="M44" s="294"/>
      <c r="N44" s="694"/>
      <c r="O44" s="694"/>
      <c r="P44" s="694"/>
      <c r="Q44" s="694"/>
      <c r="R44" s="696"/>
      <c r="S44" s="694"/>
      <c r="T44" s="694"/>
      <c r="U44" s="694"/>
      <c r="V44" s="694"/>
      <c r="W44" s="294"/>
      <c r="X44" s="663"/>
      <c r="Y44" s="663"/>
      <c r="Z44" s="663"/>
      <c r="AA44" s="705"/>
      <c r="AB44" s="705"/>
      <c r="AC44" s="705"/>
      <c r="AD44" s="705"/>
      <c r="AE44" s="705"/>
      <c r="AF44" s="705"/>
      <c r="AG44" s="705"/>
      <c r="AH44" s="705"/>
      <c r="AI44" s="705"/>
      <c r="AJ44" s="705"/>
      <c r="AK44" s="705"/>
      <c r="AL44" s="705"/>
      <c r="AM44" s="705"/>
      <c r="AN44" s="705"/>
      <c r="AO44" s="705"/>
      <c r="AP44" s="705"/>
      <c r="AQ44" s="705"/>
      <c r="AR44" s="705"/>
      <c r="AS44" s="705"/>
      <c r="AT44" s="838"/>
      <c r="AU44" s="635"/>
      <c r="BN44" s="275"/>
      <c r="BO44" s="275"/>
      <c r="BP44" s="275"/>
      <c r="BQ44" s="275"/>
      <c r="BR44" s="275"/>
      <c r="BS44" s="275"/>
      <c r="BT44" s="275"/>
      <c r="BU44" s="275"/>
      <c r="BV44" s="275"/>
      <c r="BW44" s="275"/>
      <c r="BX44" s="275"/>
      <c r="BY44" s="275"/>
      <c r="BZ44" s="275"/>
      <c r="CA44" s="275"/>
      <c r="CB44" s="275"/>
      <c r="CC44" s="275"/>
      <c r="CD44" s="275"/>
      <c r="CE44" s="275"/>
      <c r="CF44" s="275"/>
      <c r="CG44" s="275"/>
      <c r="CH44" s="275"/>
      <c r="CI44" s="275"/>
      <c r="CJ44" s="275"/>
      <c r="CK44" s="275"/>
      <c r="CL44" s="275"/>
      <c r="CM44" s="275"/>
      <c r="CN44" s="275"/>
      <c r="CO44" s="275"/>
      <c r="CP44" s="275"/>
      <c r="CQ44" s="275"/>
      <c r="CR44" s="275"/>
      <c r="CS44" s="275"/>
      <c r="CT44" s="275"/>
      <c r="CU44" s="275"/>
      <c r="CV44" s="275"/>
      <c r="CW44" s="275"/>
    </row>
    <row r="45" spans="1:101" x14ac:dyDescent="0.25">
      <c r="A45" s="272"/>
      <c r="B45" s="233"/>
      <c r="C45" s="334"/>
      <c r="D45" s="832"/>
      <c r="E45" s="292"/>
      <c r="F45" s="222"/>
      <c r="G45" s="222"/>
      <c r="H45" s="222"/>
      <c r="I45" s="222"/>
      <c r="J45" s="295"/>
      <c r="K45" s="296"/>
      <c r="L45" s="296"/>
      <c r="M45" s="704"/>
      <c r="N45" s="296"/>
      <c r="O45" s="296"/>
      <c r="P45" s="296"/>
      <c r="Q45" s="296"/>
      <c r="R45" s="296"/>
      <c r="S45" s="296"/>
      <c r="T45" s="296"/>
      <c r="U45" s="296"/>
      <c r="V45" s="296"/>
      <c r="W45" s="704"/>
      <c r="X45" s="701"/>
      <c r="Y45" s="663"/>
      <c r="Z45" s="663"/>
      <c r="AA45" s="705"/>
      <c r="AB45" s="705"/>
      <c r="AC45" s="705"/>
      <c r="AD45" s="705"/>
      <c r="AE45" s="705"/>
      <c r="AF45" s="705"/>
      <c r="AG45" s="705"/>
      <c r="AH45" s="705"/>
      <c r="AI45" s="705"/>
      <c r="AJ45" s="705"/>
      <c r="AK45" s="705"/>
      <c r="AL45" s="705"/>
      <c r="AM45" s="705"/>
      <c r="AN45" s="705"/>
      <c r="AO45" s="705"/>
      <c r="AP45" s="705"/>
      <c r="AQ45" s="705"/>
      <c r="AR45" s="705"/>
      <c r="AS45" s="705"/>
      <c r="AT45" s="838"/>
      <c r="AU45" s="635"/>
      <c r="BN45" s="275"/>
      <c r="BO45" s="275"/>
      <c r="BP45" s="275"/>
      <c r="BQ45" s="275"/>
      <c r="BR45" s="275"/>
      <c r="BS45" s="275"/>
      <c r="BT45" s="275"/>
      <c r="BU45" s="275"/>
      <c r="BV45" s="275"/>
      <c r="BW45" s="275"/>
      <c r="BX45" s="275"/>
      <c r="BY45" s="275"/>
      <c r="BZ45" s="275"/>
      <c r="CA45" s="275"/>
      <c r="CB45" s="275"/>
      <c r="CC45" s="275"/>
      <c r="CD45" s="275"/>
      <c r="CE45" s="275"/>
      <c r="CF45" s="275"/>
      <c r="CG45" s="275"/>
      <c r="CH45" s="275"/>
      <c r="CI45" s="275"/>
      <c r="CJ45" s="275"/>
      <c r="CK45" s="275"/>
      <c r="CL45" s="275"/>
      <c r="CM45" s="275"/>
      <c r="CN45" s="275"/>
      <c r="CO45" s="275"/>
      <c r="CP45" s="275"/>
      <c r="CQ45" s="275"/>
      <c r="CR45" s="275"/>
      <c r="CS45" s="275"/>
      <c r="CT45" s="275"/>
      <c r="CU45" s="275"/>
      <c r="CV45" s="275"/>
      <c r="CW45" s="275"/>
    </row>
    <row r="46" spans="1:101" s="541" customFormat="1" x14ac:dyDescent="0.25">
      <c r="A46" s="272"/>
      <c r="B46" s="1026"/>
      <c r="C46" s="585"/>
      <c r="AU46" s="635"/>
      <c r="AV46" s="637"/>
    </row>
    <row r="47" spans="1:101" x14ac:dyDescent="0.25">
      <c r="A47" s="272"/>
      <c r="B47" s="233"/>
      <c r="C47" s="329"/>
      <c r="D47" s="327"/>
      <c r="E47" s="293"/>
      <c r="J47" s="329"/>
      <c r="K47" s="327"/>
      <c r="L47" s="327"/>
      <c r="M47" s="293"/>
      <c r="AU47" s="635"/>
    </row>
    <row r="48" spans="1:101" s="541" customFormat="1" x14ac:dyDescent="0.25">
      <c r="A48" s="272"/>
      <c r="B48" s="1027"/>
      <c r="C48" s="1029" t="s">
        <v>483</v>
      </c>
      <c r="D48" s="1028"/>
      <c r="E48" s="291"/>
      <c r="F48" s="637"/>
      <c r="G48" s="637"/>
      <c r="H48" s="637"/>
      <c r="I48" s="637"/>
      <c r="J48" s="1036" t="s">
        <v>483</v>
      </c>
      <c r="K48" s="323"/>
      <c r="L48" s="323"/>
      <c r="M48" s="292"/>
      <c r="N48" s="637"/>
      <c r="O48" s="637"/>
      <c r="P48" s="637"/>
      <c r="Q48" s="637"/>
      <c r="R48" s="637"/>
      <c r="S48" s="637"/>
      <c r="T48" s="637"/>
      <c r="U48" s="637"/>
      <c r="V48" s="637"/>
      <c r="W48" s="637"/>
      <c r="X48" s="637"/>
      <c r="Y48" s="637"/>
      <c r="Z48" s="637"/>
      <c r="AA48" s="637"/>
      <c r="AB48" s="637"/>
      <c r="AC48" s="637"/>
      <c r="AD48" s="637"/>
      <c r="AE48" s="637"/>
      <c r="AF48" s="637"/>
      <c r="AG48" s="637"/>
      <c r="AH48" s="637"/>
      <c r="AI48" s="637"/>
      <c r="AJ48" s="637"/>
      <c r="AK48" s="637"/>
      <c r="AL48" s="637"/>
      <c r="AM48" s="637"/>
      <c r="AN48" s="637"/>
      <c r="AO48" s="637"/>
      <c r="AP48" s="637"/>
      <c r="AQ48" s="637"/>
      <c r="AR48" s="637"/>
      <c r="AS48" s="637"/>
      <c r="AT48" s="637"/>
      <c r="AU48" s="635"/>
      <c r="AV48" s="637"/>
      <c r="BH48" s="630"/>
      <c r="BI48" s="630"/>
      <c r="BJ48" s="630"/>
      <c r="BK48" s="630"/>
      <c r="BL48" s="630"/>
      <c r="BM48" s="630"/>
      <c r="BN48" s="630"/>
    </row>
    <row r="49" spans="1:66" s="541" customFormat="1" x14ac:dyDescent="0.25">
      <c r="A49" s="272"/>
      <c r="B49" s="1027"/>
      <c r="C49" s="1061"/>
      <c r="D49" s="1062"/>
      <c r="E49" s="1063"/>
      <c r="F49" s="637"/>
      <c r="G49" s="637"/>
      <c r="H49" s="637"/>
      <c r="I49" s="637"/>
      <c r="J49" s="1070"/>
      <c r="K49" s="1071"/>
      <c r="L49" s="1071"/>
      <c r="M49" s="1072"/>
      <c r="N49" s="637"/>
      <c r="O49" s="637"/>
      <c r="P49" s="637"/>
      <c r="Q49" s="637"/>
      <c r="R49" s="637"/>
      <c r="S49" s="637"/>
      <c r="T49" s="637"/>
      <c r="U49" s="637"/>
      <c r="V49" s="637"/>
      <c r="W49" s="637"/>
      <c r="X49" s="637"/>
      <c r="Y49" s="637"/>
      <c r="Z49" s="637"/>
      <c r="AA49" s="637"/>
      <c r="AB49" s="637"/>
      <c r="AC49" s="637"/>
      <c r="AD49" s="681" t="s">
        <v>25</v>
      </c>
      <c r="AE49" s="637"/>
      <c r="AF49" s="637"/>
      <c r="AG49" s="637"/>
      <c r="AH49" s="681" t="s">
        <v>19</v>
      </c>
      <c r="AI49" s="637"/>
      <c r="AJ49" s="637"/>
      <c r="AK49" s="637"/>
      <c r="AL49" s="681" t="s">
        <v>65</v>
      </c>
      <c r="AM49" s="637"/>
      <c r="AN49" s="637"/>
      <c r="AO49" s="637"/>
      <c r="AP49" s="637"/>
      <c r="AQ49" s="637"/>
      <c r="AR49" s="637"/>
      <c r="AS49" s="637"/>
      <c r="AT49" s="637"/>
      <c r="AU49" s="635"/>
      <c r="AV49" s="637"/>
    </row>
    <row r="50" spans="1:66" s="541" customFormat="1" x14ac:dyDescent="0.25">
      <c r="A50" s="272"/>
      <c r="B50" s="1027"/>
      <c r="C50" s="1064"/>
      <c r="D50" s="1065"/>
      <c r="E50" s="1066"/>
      <c r="F50" s="637"/>
      <c r="G50" s="637"/>
      <c r="H50" s="637"/>
      <c r="I50" s="637"/>
      <c r="J50" s="1073"/>
      <c r="K50" s="1074"/>
      <c r="L50" s="1074"/>
      <c r="M50" s="1075"/>
      <c r="N50" s="637"/>
      <c r="O50" s="637"/>
      <c r="P50" s="637"/>
      <c r="Q50" s="637"/>
      <c r="R50" s="637"/>
      <c r="S50" s="637"/>
      <c r="T50" s="637"/>
      <c r="U50" s="637"/>
      <c r="V50" s="637"/>
      <c r="W50" s="637"/>
      <c r="X50" s="637"/>
      <c r="Y50" s="637"/>
      <c r="Z50" s="637"/>
      <c r="AA50" s="637"/>
      <c r="AB50" s="637"/>
      <c r="AC50" s="637"/>
      <c r="AD50" s="681" t="s">
        <v>31</v>
      </c>
      <c r="AE50" s="637"/>
      <c r="AF50" s="637"/>
      <c r="AG50" s="637"/>
      <c r="AH50" s="681" t="s">
        <v>21</v>
      </c>
      <c r="AI50" s="637"/>
      <c r="AJ50" s="637"/>
      <c r="AK50" s="637"/>
      <c r="AL50" s="681" t="s">
        <v>67</v>
      </c>
      <c r="AM50" s="637"/>
      <c r="AN50" s="637"/>
      <c r="AO50" s="637"/>
      <c r="AP50" s="637"/>
      <c r="AQ50" s="637"/>
      <c r="AR50" s="637"/>
      <c r="AS50" s="637"/>
      <c r="AT50" s="637"/>
      <c r="AU50" s="635"/>
      <c r="AV50" s="637"/>
    </row>
    <row r="51" spans="1:66" s="541" customFormat="1" x14ac:dyDescent="0.25">
      <c r="A51" s="272"/>
      <c r="B51" s="1027"/>
      <c r="C51" s="1064"/>
      <c r="D51" s="1065"/>
      <c r="E51" s="1066"/>
      <c r="F51" s="637"/>
      <c r="G51" s="637"/>
      <c r="H51" s="637"/>
      <c r="I51" s="637"/>
      <c r="J51" s="1073"/>
      <c r="K51" s="1074"/>
      <c r="L51" s="1074"/>
      <c r="M51" s="1075"/>
      <c r="N51" s="637"/>
      <c r="O51" s="637"/>
      <c r="P51" s="637"/>
      <c r="Q51" s="637"/>
      <c r="R51" s="637"/>
      <c r="S51" s="637"/>
      <c r="T51" s="637"/>
      <c r="U51" s="637"/>
      <c r="V51" s="637"/>
      <c r="W51" s="637"/>
      <c r="X51" s="637"/>
      <c r="Y51" s="637"/>
      <c r="Z51" s="637"/>
      <c r="AA51" s="637"/>
      <c r="AB51" s="637"/>
      <c r="AC51" s="637"/>
      <c r="AD51" s="681" t="s">
        <v>34</v>
      </c>
      <c r="AE51" s="637"/>
      <c r="AF51" s="637"/>
      <c r="AG51" s="637"/>
      <c r="AH51" s="681" t="s">
        <v>32</v>
      </c>
      <c r="AI51" s="637"/>
      <c r="AJ51" s="637"/>
      <c r="AK51" s="637"/>
      <c r="AL51" s="681" t="s">
        <v>68</v>
      </c>
      <c r="AM51" s="637"/>
      <c r="AN51" s="637"/>
      <c r="AO51" s="637"/>
      <c r="AP51" s="637"/>
      <c r="AQ51" s="637"/>
      <c r="AR51" s="637"/>
      <c r="AS51" s="637"/>
      <c r="AT51" s="637"/>
      <c r="AU51" s="635"/>
      <c r="AV51" s="637"/>
    </row>
    <row r="52" spans="1:66" s="541" customFormat="1" x14ac:dyDescent="0.25">
      <c r="A52" s="272"/>
      <c r="B52" s="1027"/>
      <c r="C52" s="1064"/>
      <c r="D52" s="1065"/>
      <c r="E52" s="1066"/>
      <c r="F52" s="637"/>
      <c r="G52" s="637"/>
      <c r="H52" s="637"/>
      <c r="I52" s="637"/>
      <c r="J52" s="1073"/>
      <c r="K52" s="1074"/>
      <c r="L52" s="1074"/>
      <c r="M52" s="1075"/>
      <c r="N52" s="637"/>
      <c r="O52" s="637"/>
      <c r="P52" s="637"/>
      <c r="Q52" s="637"/>
      <c r="R52" s="637"/>
      <c r="S52" s="637"/>
      <c r="T52" s="637"/>
      <c r="U52" s="637"/>
      <c r="V52" s="637"/>
      <c r="W52" s="637"/>
      <c r="X52" s="637"/>
      <c r="Y52" s="637"/>
      <c r="Z52" s="637"/>
      <c r="AA52" s="637"/>
      <c r="AB52" s="637"/>
      <c r="AC52" s="637"/>
      <c r="AD52" s="681" t="s">
        <v>37</v>
      </c>
      <c r="AE52" s="637"/>
      <c r="AF52" s="637"/>
      <c r="AG52" s="637"/>
      <c r="AH52" s="681" t="s">
        <v>35</v>
      </c>
      <c r="AI52" s="637"/>
      <c r="AJ52" s="637"/>
      <c r="AK52" s="637"/>
      <c r="AL52" s="681" t="s">
        <v>69</v>
      </c>
      <c r="AM52" s="637"/>
      <c r="AN52" s="637"/>
      <c r="AO52" s="637"/>
      <c r="AP52" s="637"/>
      <c r="AQ52" s="637"/>
      <c r="AR52" s="637"/>
      <c r="AS52" s="637"/>
      <c r="AT52" s="637"/>
      <c r="AU52" s="635"/>
      <c r="AV52" s="637"/>
    </row>
    <row r="53" spans="1:66" s="541" customFormat="1" x14ac:dyDescent="0.25">
      <c r="A53" s="272"/>
      <c r="B53" s="1027"/>
      <c r="C53" s="1064"/>
      <c r="D53" s="1065"/>
      <c r="E53" s="1066"/>
      <c r="F53" s="637"/>
      <c r="G53" s="637"/>
      <c r="H53" s="637"/>
      <c r="I53" s="637"/>
      <c r="J53" s="1073"/>
      <c r="K53" s="1074"/>
      <c r="L53" s="1074"/>
      <c r="M53" s="1075"/>
      <c r="N53" s="637"/>
      <c r="O53" s="637"/>
      <c r="P53" s="637"/>
      <c r="Q53" s="637"/>
      <c r="R53" s="637"/>
      <c r="S53" s="637"/>
      <c r="T53" s="637"/>
      <c r="U53" s="637"/>
      <c r="V53" s="637"/>
      <c r="W53" s="637"/>
      <c r="X53" s="637"/>
      <c r="Y53" s="637"/>
      <c r="Z53" s="637"/>
      <c r="AA53" s="637"/>
      <c r="AB53" s="637"/>
      <c r="AC53" s="637"/>
      <c r="AD53" s="681" t="s">
        <v>39</v>
      </c>
      <c r="AE53" s="637"/>
      <c r="AF53" s="637"/>
      <c r="AG53" s="637"/>
      <c r="AH53" s="681" t="s">
        <v>38</v>
      </c>
      <c r="AI53" s="637"/>
      <c r="AJ53" s="637"/>
      <c r="AK53" s="637"/>
      <c r="AL53" s="681" t="s">
        <v>25</v>
      </c>
      <c r="AM53" s="637"/>
      <c r="AN53" s="637"/>
      <c r="AO53" s="637"/>
      <c r="AP53" s="637"/>
      <c r="AQ53" s="637"/>
      <c r="AR53" s="637"/>
      <c r="AS53" s="637"/>
      <c r="AT53" s="637"/>
      <c r="AU53" s="635"/>
      <c r="AV53" s="637"/>
    </row>
    <row r="54" spans="1:66" s="541" customFormat="1" x14ac:dyDescent="0.25">
      <c r="A54" s="272"/>
      <c r="B54" s="1027"/>
      <c r="C54" s="1067"/>
      <c r="D54" s="1068"/>
      <c r="E54" s="1069"/>
      <c r="F54" s="637"/>
      <c r="G54" s="637"/>
      <c r="H54" s="637"/>
      <c r="I54" s="637"/>
      <c r="J54" s="1073"/>
      <c r="K54" s="1074"/>
      <c r="L54" s="1074"/>
      <c r="M54" s="1075"/>
      <c r="N54" s="637"/>
      <c r="O54" s="637"/>
      <c r="P54" s="637"/>
      <c r="Q54" s="637"/>
      <c r="R54" s="637"/>
      <c r="S54" s="637"/>
      <c r="T54" s="637"/>
      <c r="U54" s="637"/>
      <c r="V54" s="637"/>
      <c r="W54" s="637"/>
      <c r="X54" s="637"/>
      <c r="Y54" s="637"/>
      <c r="Z54" s="637"/>
      <c r="AA54" s="637"/>
      <c r="AB54" s="637"/>
      <c r="AC54" s="637"/>
      <c r="AD54" s="681" t="s">
        <v>33</v>
      </c>
      <c r="AE54" s="637"/>
      <c r="AF54" s="637"/>
      <c r="AG54" s="637"/>
      <c r="AH54" s="681" t="s">
        <v>40</v>
      </c>
      <c r="AI54" s="637"/>
      <c r="AJ54" s="637"/>
      <c r="AK54" s="637"/>
      <c r="AL54" s="681" t="s">
        <v>43</v>
      </c>
      <c r="AM54" s="637"/>
      <c r="AN54" s="637"/>
      <c r="AO54" s="637"/>
      <c r="AP54" s="637"/>
      <c r="AQ54" s="637"/>
      <c r="AR54" s="637"/>
      <c r="AS54" s="637"/>
      <c r="AT54" s="637"/>
      <c r="AU54" s="635"/>
      <c r="AV54" s="637"/>
    </row>
    <row r="55" spans="1:66" s="541" customFormat="1" x14ac:dyDescent="0.25">
      <c r="A55" s="272"/>
      <c r="B55" s="1027"/>
      <c r="C55" s="1030"/>
      <c r="D55" s="1031"/>
      <c r="E55" s="1032"/>
      <c r="F55" s="637"/>
      <c r="G55" s="637"/>
      <c r="H55" s="637"/>
      <c r="I55" s="637"/>
      <c r="J55" s="1033"/>
      <c r="K55" s="1034"/>
      <c r="L55" s="1034"/>
      <c r="M55" s="1035"/>
      <c r="N55" s="637"/>
      <c r="O55" s="637"/>
      <c r="P55" s="637"/>
      <c r="Q55" s="637"/>
      <c r="R55" s="637"/>
      <c r="S55" s="637"/>
      <c r="T55" s="637"/>
      <c r="U55" s="637"/>
      <c r="V55" s="637"/>
      <c r="W55" s="637"/>
      <c r="X55" s="637"/>
      <c r="Y55" s="637"/>
      <c r="Z55" s="637"/>
      <c r="AA55" s="637"/>
      <c r="AB55" s="637"/>
      <c r="AC55" s="637"/>
      <c r="AD55" s="681" t="s">
        <v>21</v>
      </c>
      <c r="AE55" s="637"/>
      <c r="AF55" s="637"/>
      <c r="AG55" s="637"/>
      <c r="AH55" s="681" t="s">
        <v>26</v>
      </c>
      <c r="AI55" s="637"/>
      <c r="AJ55" s="637"/>
      <c r="AK55" s="637"/>
      <c r="AL55" s="681" t="s">
        <v>33</v>
      </c>
      <c r="AM55" s="637"/>
      <c r="AN55" s="637"/>
      <c r="AO55" s="637"/>
      <c r="AP55" s="637"/>
      <c r="AQ55" s="637"/>
      <c r="AR55" s="637"/>
      <c r="AS55" s="637"/>
      <c r="AT55" s="637"/>
      <c r="AU55" s="635"/>
      <c r="AV55" s="637"/>
      <c r="BH55" s="630"/>
      <c r="BI55" s="630"/>
      <c r="BJ55" s="630"/>
      <c r="BK55" s="630"/>
      <c r="BL55" s="630"/>
      <c r="BM55" s="630"/>
      <c r="BN55" s="630"/>
    </row>
    <row r="56" spans="1:66" s="541" customFormat="1" ht="15.75" thickBot="1" x14ac:dyDescent="0.3">
      <c r="A56" s="272"/>
      <c r="B56" s="710"/>
      <c r="C56" s="711"/>
      <c r="D56" s="712"/>
      <c r="E56" s="712"/>
      <c r="F56" s="706"/>
      <c r="G56" s="706"/>
      <c r="H56" s="706"/>
      <c r="I56" s="706"/>
      <c r="J56" s="706"/>
      <c r="K56" s="706"/>
      <c r="L56" s="706"/>
      <c r="M56" s="706"/>
      <c r="N56" s="706"/>
      <c r="O56" s="706"/>
      <c r="P56" s="706"/>
      <c r="Q56" s="706"/>
      <c r="R56" s="706"/>
      <c r="S56" s="706"/>
      <c r="T56" s="706"/>
      <c r="U56" s="706"/>
      <c r="V56" s="706"/>
      <c r="W56" s="706"/>
      <c r="X56" s="706"/>
      <c r="Y56" s="706"/>
      <c r="Z56" s="706"/>
      <c r="AA56" s="706"/>
      <c r="AB56" s="706"/>
      <c r="AC56" s="706"/>
      <c r="AD56" s="706"/>
      <c r="AE56" s="706"/>
      <c r="AF56" s="706"/>
      <c r="AG56" s="706"/>
      <c r="AH56" s="706"/>
      <c r="AI56" s="706"/>
      <c r="AJ56" s="706"/>
      <c r="AK56" s="706"/>
      <c r="AL56" s="706"/>
      <c r="AM56" s="706"/>
      <c r="AN56" s="706"/>
      <c r="AO56" s="706"/>
      <c r="AP56" s="706"/>
      <c r="AQ56" s="706"/>
      <c r="AR56" s="706"/>
      <c r="AS56" s="706"/>
      <c r="AT56" s="706"/>
      <c r="AU56" s="635"/>
      <c r="AV56" s="637"/>
    </row>
    <row r="57" spans="1:66" s="541" customFormat="1" ht="16.5" customHeight="1" thickTop="1" x14ac:dyDescent="0.25">
      <c r="A57" s="272"/>
      <c r="B57" s="635"/>
      <c r="C57" s="713"/>
      <c r="D57" s="714"/>
      <c r="E57" s="714"/>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c r="AJ57" s="635"/>
      <c r="AK57" s="635"/>
      <c r="AL57" s="635"/>
      <c r="AM57" s="635"/>
      <c r="AN57" s="635"/>
      <c r="AO57" s="635"/>
      <c r="AP57" s="635"/>
      <c r="AQ57" s="635"/>
      <c r="AR57" s="635"/>
      <c r="AS57" s="635"/>
      <c r="AT57" s="635"/>
      <c r="AU57" s="635"/>
      <c r="AV57" s="637"/>
    </row>
    <row r="58" spans="1:66" s="541" customFormat="1" x14ac:dyDescent="0.25">
      <c r="A58" s="637"/>
      <c r="B58" s="637"/>
      <c r="C58" s="715"/>
      <c r="D58" s="716"/>
      <c r="E58" s="716"/>
      <c r="F58" s="637"/>
      <c r="G58" s="637"/>
      <c r="H58" s="637"/>
      <c r="I58" s="637"/>
      <c r="J58" s="637"/>
      <c r="K58" s="637"/>
      <c r="L58" s="637"/>
      <c r="M58" s="637"/>
      <c r="N58" s="637"/>
      <c r="O58" s="637"/>
      <c r="P58" s="637"/>
      <c r="Q58" s="637"/>
      <c r="R58" s="637"/>
      <c r="S58" s="637"/>
      <c r="T58" s="637"/>
      <c r="U58" s="637"/>
      <c r="V58" s="637"/>
      <c r="W58" s="637"/>
      <c r="X58" s="637"/>
      <c r="Y58" s="637"/>
      <c r="Z58" s="637"/>
      <c r="AA58" s="637"/>
      <c r="AB58" s="637"/>
      <c r="AC58" s="637"/>
      <c r="AD58" s="637"/>
      <c r="AE58" s="637"/>
      <c r="AF58" s="637"/>
      <c r="AG58" s="637"/>
      <c r="AH58" s="707" t="s">
        <v>3</v>
      </c>
      <c r="AI58" s="637"/>
      <c r="AJ58" s="637"/>
      <c r="AK58" s="637"/>
      <c r="AL58" s="681" t="s">
        <v>41</v>
      </c>
      <c r="AM58" s="637"/>
      <c r="AN58" s="637"/>
      <c r="AO58" s="637"/>
      <c r="AP58" s="637"/>
      <c r="AQ58" s="637"/>
      <c r="AR58" s="637"/>
      <c r="AS58" s="637"/>
      <c r="AT58" s="637"/>
      <c r="AU58" s="637"/>
      <c r="AV58" s="637"/>
    </row>
    <row r="59" spans="1:66" s="541" customFormat="1" x14ac:dyDescent="0.25">
      <c r="A59" s="637"/>
      <c r="B59" s="637"/>
      <c r="C59" s="715"/>
      <c r="D59" s="716"/>
      <c r="E59" s="716"/>
      <c r="F59" s="637"/>
      <c r="G59" s="637"/>
      <c r="H59" s="637"/>
      <c r="I59" s="637"/>
      <c r="J59" s="637"/>
      <c r="K59" s="637"/>
      <c r="L59" s="637"/>
      <c r="M59" s="637"/>
      <c r="N59" s="637"/>
      <c r="O59" s="637"/>
      <c r="P59" s="637"/>
      <c r="Q59" s="637"/>
      <c r="R59" s="637"/>
      <c r="S59" s="637"/>
      <c r="T59" s="637"/>
      <c r="U59" s="637"/>
      <c r="V59" s="637"/>
      <c r="W59" s="637"/>
      <c r="X59" s="637"/>
      <c r="Y59" s="637"/>
      <c r="Z59" s="637"/>
      <c r="AA59" s="637"/>
      <c r="AB59" s="637"/>
      <c r="AC59" s="637"/>
      <c r="AD59" s="637"/>
      <c r="AE59" s="637"/>
      <c r="AF59" s="637"/>
      <c r="AG59" s="637"/>
      <c r="AH59" s="707" t="s">
        <v>4</v>
      </c>
      <c r="AI59" s="637"/>
      <c r="AJ59" s="637"/>
      <c r="AK59" s="637"/>
      <c r="AL59" s="681" t="s">
        <v>31</v>
      </c>
      <c r="AM59" s="637"/>
      <c r="AN59" s="637"/>
      <c r="AO59" s="637"/>
      <c r="AP59" s="637"/>
      <c r="AQ59" s="637"/>
      <c r="AR59" s="637"/>
      <c r="AS59" s="637"/>
      <c r="AT59" s="637"/>
      <c r="AU59" s="637"/>
      <c r="AV59" s="637"/>
      <c r="BH59" s="548"/>
      <c r="BI59" s="548"/>
      <c r="BJ59" s="548"/>
      <c r="BK59" s="548"/>
      <c r="BL59" s="548"/>
      <c r="BM59" s="548"/>
      <c r="BN59" s="548"/>
    </row>
    <row r="61" spans="1:66" s="541" customFormat="1" x14ac:dyDescent="0.25">
      <c r="A61" s="637"/>
      <c r="B61" s="637"/>
      <c r="C61" s="715"/>
      <c r="D61" s="716"/>
      <c r="E61" s="716"/>
      <c r="F61" s="637"/>
      <c r="G61" s="637"/>
      <c r="H61" s="637"/>
      <c r="I61" s="637"/>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7"/>
      <c r="AH61" s="707" t="s">
        <v>6</v>
      </c>
      <c r="AI61" s="637"/>
      <c r="AJ61" s="637"/>
      <c r="AK61" s="637"/>
      <c r="AL61" s="681" t="s">
        <v>39</v>
      </c>
      <c r="AM61" s="637"/>
      <c r="AN61" s="637"/>
      <c r="AO61" s="637"/>
      <c r="AP61" s="637"/>
      <c r="AQ61" s="637"/>
      <c r="AR61" s="637"/>
      <c r="AS61" s="637"/>
      <c r="AT61" s="637"/>
      <c r="AU61" s="637"/>
      <c r="AV61" s="637"/>
      <c r="BC61" s="548"/>
      <c r="BD61" s="548"/>
      <c r="BE61" s="548"/>
      <c r="BF61" s="548"/>
      <c r="BG61" s="548"/>
      <c r="BH61" s="548"/>
      <c r="BI61" s="548"/>
      <c r="BJ61" s="548"/>
      <c r="BK61" s="548"/>
      <c r="BL61" s="548"/>
      <c r="BM61" s="548"/>
      <c r="BN61" s="548"/>
    </row>
    <row r="62" spans="1:66" s="541" customFormat="1" x14ac:dyDescent="0.25">
      <c r="A62" s="637"/>
      <c r="B62" s="637"/>
      <c r="C62" s="715"/>
      <c r="D62" s="716"/>
      <c r="E62" s="716"/>
      <c r="F62" s="637"/>
      <c r="G62" s="637"/>
      <c r="H62" s="637"/>
      <c r="I62" s="637"/>
      <c r="J62" s="637"/>
      <c r="K62" s="637"/>
      <c r="L62" s="637"/>
      <c r="M62" s="637"/>
      <c r="N62" s="637"/>
      <c r="O62" s="637"/>
      <c r="P62" s="637"/>
      <c r="Q62" s="637"/>
      <c r="R62" s="637"/>
      <c r="S62" s="637"/>
      <c r="T62" s="637"/>
      <c r="U62" s="637"/>
      <c r="V62" s="637"/>
      <c r="W62" s="637"/>
      <c r="X62" s="637"/>
      <c r="Y62" s="637"/>
      <c r="Z62" s="637"/>
      <c r="AA62" s="637"/>
      <c r="AB62" s="637"/>
      <c r="AC62" s="637"/>
      <c r="AD62" s="637"/>
      <c r="AE62" s="637"/>
      <c r="AF62" s="637"/>
      <c r="AG62" s="637"/>
      <c r="AH62" s="707" t="s">
        <v>7</v>
      </c>
      <c r="AI62" s="637"/>
      <c r="AJ62" s="637"/>
      <c r="AK62" s="637"/>
      <c r="AL62" s="681" t="s">
        <v>26</v>
      </c>
      <c r="AM62" s="637"/>
      <c r="AN62" s="637"/>
      <c r="AO62" s="637"/>
      <c r="AP62" s="637"/>
      <c r="AQ62" s="637"/>
      <c r="AR62" s="637"/>
      <c r="AS62" s="637"/>
      <c r="AT62" s="637"/>
      <c r="AU62" s="637"/>
      <c r="AV62" s="637"/>
      <c r="BC62" s="548"/>
      <c r="BF62" s="548"/>
      <c r="BG62" s="548"/>
      <c r="BH62" s="548"/>
      <c r="BI62" s="548"/>
      <c r="BJ62" s="548"/>
      <c r="BK62" s="548"/>
      <c r="BL62" s="548"/>
      <c r="BM62" s="548"/>
      <c r="BN62" s="548"/>
    </row>
    <row r="63" spans="1:66" s="541" customFormat="1" x14ac:dyDescent="0.25">
      <c r="A63" s="637"/>
      <c r="B63" s="637"/>
      <c r="C63" s="715"/>
      <c r="D63" s="716"/>
      <c r="E63" s="716"/>
      <c r="F63" s="637"/>
      <c r="G63" s="637"/>
      <c r="H63" s="637"/>
      <c r="I63" s="637"/>
      <c r="J63" s="637"/>
      <c r="K63" s="637"/>
      <c r="L63" s="637"/>
      <c r="M63" s="637"/>
      <c r="N63" s="637"/>
      <c r="O63" s="637"/>
      <c r="P63" s="637"/>
      <c r="Q63" s="637"/>
      <c r="R63" s="637"/>
      <c r="S63" s="637"/>
      <c r="T63" s="637"/>
      <c r="U63" s="637"/>
      <c r="V63" s="637"/>
      <c r="W63" s="637"/>
      <c r="X63" s="637"/>
      <c r="Y63" s="637"/>
      <c r="Z63" s="637"/>
      <c r="AA63" s="637"/>
      <c r="AB63" s="637"/>
      <c r="AC63" s="637"/>
      <c r="AD63" s="637"/>
      <c r="AE63" s="637"/>
      <c r="AF63" s="637"/>
      <c r="AG63" s="637"/>
      <c r="AH63" s="637"/>
      <c r="AI63" s="637"/>
      <c r="AJ63" s="637"/>
      <c r="AK63" s="637"/>
      <c r="AL63" s="637"/>
      <c r="AM63" s="637"/>
      <c r="AN63" s="637"/>
      <c r="AO63" s="637"/>
      <c r="AP63" s="637"/>
      <c r="AQ63" s="637"/>
      <c r="AR63" s="637"/>
      <c r="AS63" s="637"/>
      <c r="AT63" s="637"/>
      <c r="AU63" s="637"/>
      <c r="AV63" s="637"/>
      <c r="BC63" s="548"/>
      <c r="BD63" s="548"/>
      <c r="BE63" s="548"/>
    </row>
    <row r="64" spans="1:66" s="541" customFormat="1" x14ac:dyDescent="0.25">
      <c r="A64" s="637"/>
      <c r="B64" s="637"/>
      <c r="C64" s="715"/>
      <c r="D64" s="716"/>
      <c r="E64" s="716"/>
      <c r="F64" s="637"/>
      <c r="G64" s="637"/>
      <c r="H64" s="637"/>
      <c r="I64" s="637"/>
      <c r="J64" s="637"/>
      <c r="K64" s="637"/>
      <c r="L64" s="637"/>
      <c r="M64" s="637"/>
      <c r="N64" s="637"/>
      <c r="O64" s="637"/>
      <c r="P64" s="637"/>
      <c r="Q64" s="637"/>
      <c r="R64" s="637"/>
      <c r="S64" s="637"/>
      <c r="T64" s="637"/>
      <c r="U64" s="637"/>
      <c r="V64" s="637"/>
      <c r="W64" s="637"/>
      <c r="X64" s="637"/>
      <c r="Y64" s="637"/>
      <c r="Z64" s="637"/>
      <c r="AA64" s="637"/>
      <c r="AB64" s="637"/>
      <c r="AC64" s="637"/>
      <c r="AD64" s="637"/>
      <c r="AE64" s="637"/>
      <c r="AF64" s="637"/>
      <c r="AG64" s="637"/>
      <c r="AH64" s="637"/>
      <c r="AI64" s="637"/>
      <c r="AJ64" s="637"/>
      <c r="AK64" s="637"/>
      <c r="AL64" s="637"/>
      <c r="AM64" s="637"/>
      <c r="AN64" s="637"/>
      <c r="AO64" s="637"/>
      <c r="AP64" s="637"/>
      <c r="AQ64" s="637"/>
      <c r="AR64" s="637"/>
      <c r="AS64" s="637"/>
      <c r="AT64" s="637"/>
      <c r="AU64" s="637"/>
      <c r="AV64" s="637"/>
      <c r="AZ64" s="548"/>
      <c r="BA64" s="548"/>
      <c r="BB64" s="548"/>
      <c r="BC64" s="548"/>
      <c r="BD64" s="548"/>
      <c r="BE64" s="548"/>
    </row>
    <row r="65" spans="1:52" s="541" customFormat="1" x14ac:dyDescent="0.25">
      <c r="A65" s="637"/>
      <c r="B65" s="637"/>
      <c r="C65" s="715"/>
      <c r="D65" s="716"/>
      <c r="E65" s="716"/>
      <c r="F65" s="637"/>
      <c r="G65" s="637"/>
      <c r="H65" s="637"/>
      <c r="I65" s="637"/>
      <c r="J65" s="637"/>
      <c r="K65" s="637"/>
      <c r="L65" s="637"/>
      <c r="M65" s="637"/>
      <c r="N65" s="637"/>
      <c r="O65" s="637"/>
      <c r="P65" s="637"/>
      <c r="Q65" s="637"/>
      <c r="R65" s="637"/>
      <c r="S65" s="637"/>
      <c r="T65" s="637"/>
      <c r="U65" s="637"/>
      <c r="V65" s="637"/>
      <c r="W65" s="637"/>
      <c r="X65" s="637"/>
      <c r="Y65" s="637"/>
      <c r="Z65" s="637"/>
      <c r="AA65" s="637"/>
      <c r="AB65" s="637"/>
      <c r="AC65" s="637"/>
      <c r="AD65" s="637"/>
      <c r="AE65" s="637"/>
      <c r="AF65" s="637"/>
      <c r="AG65" s="637"/>
      <c r="AH65" s="637"/>
      <c r="AI65" s="637"/>
      <c r="AJ65" s="637"/>
      <c r="AK65" s="637"/>
      <c r="AL65" s="637"/>
      <c r="AM65" s="637"/>
      <c r="AN65" s="637"/>
      <c r="AO65" s="637"/>
      <c r="AP65" s="637"/>
      <c r="AQ65" s="637"/>
      <c r="AR65" s="637"/>
      <c r="AS65" s="637"/>
      <c r="AT65" s="637"/>
      <c r="AU65" s="637"/>
      <c r="AV65" s="637"/>
    </row>
    <row r="66" spans="1:52" s="541" customFormat="1" x14ac:dyDescent="0.25">
      <c r="A66" s="637"/>
      <c r="B66" s="637"/>
      <c r="C66" s="715"/>
      <c r="D66" s="716"/>
      <c r="E66" s="716"/>
      <c r="F66" s="637"/>
      <c r="G66" s="637"/>
      <c r="H66" s="637"/>
      <c r="I66" s="637"/>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7"/>
      <c r="AH66" s="637"/>
      <c r="AI66" s="637"/>
      <c r="AJ66" s="637"/>
      <c r="AK66" s="637"/>
      <c r="AL66" s="637"/>
      <c r="AM66" s="637"/>
      <c r="AN66" s="637"/>
      <c r="AO66" s="637"/>
      <c r="AP66" s="637"/>
      <c r="AQ66" s="637"/>
      <c r="AR66" s="637"/>
      <c r="AS66" s="637"/>
      <c r="AT66" s="637"/>
      <c r="AU66" s="637"/>
      <c r="AV66" s="637"/>
    </row>
    <row r="67" spans="1:52" s="541" customFormat="1" x14ac:dyDescent="0.25">
      <c r="A67" s="637"/>
      <c r="B67" s="637"/>
      <c r="C67" s="715"/>
      <c r="D67" s="716"/>
      <c r="E67" s="716"/>
      <c r="F67" s="637"/>
      <c r="G67" s="637"/>
      <c r="H67" s="637"/>
      <c r="I67" s="637"/>
      <c r="J67" s="637"/>
      <c r="K67" s="637"/>
      <c r="L67" s="637"/>
      <c r="M67" s="637"/>
      <c r="N67" s="637"/>
      <c r="O67" s="637"/>
      <c r="P67" s="637"/>
      <c r="Q67" s="637"/>
      <c r="R67" s="637"/>
      <c r="S67" s="637"/>
      <c r="T67" s="637"/>
      <c r="U67" s="637"/>
      <c r="V67" s="637"/>
      <c r="W67" s="637"/>
      <c r="X67" s="637"/>
      <c r="Y67" s="637"/>
      <c r="Z67" s="637"/>
      <c r="AA67" s="637"/>
      <c r="AB67" s="637"/>
      <c r="AC67" s="637"/>
      <c r="AD67" s="637"/>
      <c r="AE67" s="637"/>
      <c r="AF67" s="637"/>
      <c r="AG67" s="637"/>
      <c r="AH67" s="637"/>
      <c r="AI67" s="637"/>
      <c r="AJ67" s="637"/>
      <c r="AK67" s="637"/>
      <c r="AL67" s="637"/>
      <c r="AM67" s="637"/>
      <c r="AN67" s="637"/>
      <c r="AO67" s="637"/>
      <c r="AP67" s="637"/>
      <c r="AQ67" s="637"/>
      <c r="AR67" s="637"/>
      <c r="AS67" s="637"/>
      <c r="AT67" s="637"/>
      <c r="AU67" s="637"/>
      <c r="AV67" s="637"/>
    </row>
    <row r="68" spans="1:52" s="541" customFormat="1" x14ac:dyDescent="0.25">
      <c r="A68" s="637"/>
      <c r="B68" s="637"/>
      <c r="C68" s="715"/>
      <c r="D68" s="716"/>
      <c r="E68" s="716"/>
      <c r="F68" s="637"/>
      <c r="G68" s="637"/>
      <c r="H68" s="637"/>
      <c r="I68" s="637"/>
      <c r="J68" s="637"/>
      <c r="K68" s="637"/>
      <c r="L68" s="637"/>
      <c r="M68" s="637"/>
      <c r="N68" s="637"/>
      <c r="O68" s="637"/>
      <c r="P68" s="637"/>
      <c r="Q68" s="637"/>
      <c r="R68" s="637"/>
      <c r="S68" s="637"/>
      <c r="T68" s="637"/>
      <c r="U68" s="637"/>
      <c r="V68" s="637"/>
      <c r="W68" s="637"/>
      <c r="X68" s="637"/>
      <c r="Y68" s="637"/>
      <c r="Z68" s="637"/>
      <c r="AA68" s="637"/>
      <c r="AB68" s="637"/>
      <c r="AC68" s="637"/>
      <c r="AD68" s="637"/>
      <c r="AE68" s="637"/>
      <c r="AF68" s="637"/>
      <c r="AG68" s="637"/>
      <c r="AH68" s="637"/>
      <c r="AI68" s="637"/>
      <c r="AJ68" s="637"/>
      <c r="AK68" s="637"/>
      <c r="AL68" s="637"/>
      <c r="AM68" s="637"/>
      <c r="AN68" s="637"/>
      <c r="AO68" s="637"/>
      <c r="AP68" s="637"/>
      <c r="AQ68" s="637"/>
      <c r="AR68" s="637"/>
      <c r="AS68" s="637"/>
      <c r="AT68" s="637"/>
      <c r="AU68" s="637"/>
      <c r="AV68" s="637"/>
    </row>
    <row r="69" spans="1:52" s="541" customFormat="1" x14ac:dyDescent="0.25">
      <c r="A69" s="637"/>
      <c r="B69" s="637"/>
      <c r="C69" s="715"/>
      <c r="D69" s="716"/>
      <c r="E69" s="716"/>
      <c r="F69" s="637"/>
      <c r="G69" s="637"/>
      <c r="H69" s="637"/>
      <c r="I69" s="637"/>
      <c r="J69" s="637"/>
      <c r="K69" s="637"/>
      <c r="L69" s="637"/>
      <c r="M69" s="637"/>
      <c r="N69" s="637"/>
      <c r="O69" s="637"/>
      <c r="P69" s="637"/>
      <c r="Q69" s="637"/>
      <c r="R69" s="637"/>
      <c r="S69" s="637"/>
      <c r="T69" s="637"/>
      <c r="U69" s="637"/>
      <c r="V69" s="637"/>
      <c r="W69" s="637"/>
      <c r="X69" s="637"/>
      <c r="Y69" s="637"/>
      <c r="Z69" s="637"/>
      <c r="AA69" s="637"/>
      <c r="AB69" s="637"/>
      <c r="AC69" s="637"/>
      <c r="AD69" s="637"/>
      <c r="AE69" s="637"/>
      <c r="AF69" s="637"/>
      <c r="AG69" s="637"/>
      <c r="AH69" s="637"/>
      <c r="AI69" s="637"/>
      <c r="AJ69" s="637"/>
      <c r="AK69" s="637"/>
      <c r="AL69" s="637"/>
      <c r="AM69" s="637"/>
      <c r="AN69" s="637"/>
      <c r="AO69" s="637"/>
      <c r="AP69" s="637"/>
      <c r="AQ69" s="637"/>
      <c r="AR69" s="637"/>
      <c r="AS69" s="637"/>
      <c r="AT69" s="637"/>
      <c r="AU69" s="637"/>
      <c r="AV69" s="637"/>
      <c r="AZ69" s="541" t="s">
        <v>542</v>
      </c>
    </row>
    <row r="70" spans="1:52" s="541" customFormat="1" x14ac:dyDescent="0.25">
      <c r="A70" s="637"/>
      <c r="B70" s="637"/>
      <c r="C70" s="715"/>
      <c r="D70" s="716"/>
      <c r="E70" s="716"/>
      <c r="F70" s="637"/>
      <c r="G70" s="637"/>
      <c r="H70" s="637"/>
      <c r="I70" s="637"/>
      <c r="J70" s="637"/>
      <c r="K70" s="637"/>
      <c r="L70" s="637"/>
      <c r="M70" s="637"/>
      <c r="N70" s="637"/>
      <c r="O70" s="637"/>
      <c r="P70" s="637"/>
      <c r="Q70" s="637"/>
      <c r="R70" s="637"/>
      <c r="S70" s="637"/>
      <c r="T70" s="637"/>
      <c r="U70" s="637"/>
      <c r="V70" s="637"/>
      <c r="W70" s="637"/>
      <c r="X70" s="637"/>
      <c r="Y70" s="637"/>
      <c r="Z70" s="637"/>
      <c r="AA70" s="637"/>
      <c r="AB70" s="637"/>
      <c r="AC70" s="637"/>
      <c r="AD70" s="637"/>
      <c r="AE70" s="637"/>
      <c r="AF70" s="637"/>
      <c r="AG70" s="637"/>
      <c r="AH70" s="637"/>
      <c r="AI70" s="637"/>
      <c r="AJ70" s="637"/>
      <c r="AK70" s="637"/>
      <c r="AL70" s="637"/>
      <c r="AM70" s="637"/>
      <c r="AN70" s="637"/>
      <c r="AO70" s="637"/>
      <c r="AP70" s="637"/>
      <c r="AQ70" s="637"/>
      <c r="AR70" s="637"/>
      <c r="AS70" s="637"/>
      <c r="AT70" s="637"/>
      <c r="AU70" s="637"/>
      <c r="AV70" s="637"/>
    </row>
    <row r="71" spans="1:52" s="541" customFormat="1" x14ac:dyDescent="0.25">
      <c r="A71" s="637"/>
      <c r="B71" s="637"/>
      <c r="C71" s="715"/>
      <c r="D71" s="716"/>
      <c r="E71" s="716"/>
      <c r="F71" s="637"/>
      <c r="G71" s="637"/>
      <c r="H71" s="637"/>
      <c r="I71" s="637"/>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7"/>
      <c r="AH71" s="637"/>
      <c r="AI71" s="637"/>
      <c r="AJ71" s="637"/>
      <c r="AK71" s="637"/>
      <c r="AL71" s="637"/>
      <c r="AM71" s="637"/>
      <c r="AN71" s="637"/>
      <c r="AO71" s="637"/>
      <c r="AP71" s="637"/>
      <c r="AQ71" s="637"/>
      <c r="AR71" s="637"/>
      <c r="AS71" s="637"/>
      <c r="AT71" s="637"/>
      <c r="AU71" s="637"/>
      <c r="AV71" s="637"/>
    </row>
    <row r="72" spans="1:52" s="541" customFormat="1" x14ac:dyDescent="0.25">
      <c r="A72" s="637"/>
      <c r="B72" s="637"/>
      <c r="C72" s="715"/>
      <c r="D72" s="716"/>
      <c r="E72" s="716"/>
      <c r="F72" s="637"/>
      <c r="G72" s="637"/>
      <c r="H72" s="637"/>
      <c r="I72" s="637"/>
      <c r="J72" s="637"/>
      <c r="K72" s="637"/>
      <c r="L72" s="637"/>
      <c r="M72" s="637"/>
      <c r="N72" s="637"/>
      <c r="O72" s="637"/>
      <c r="P72" s="637"/>
      <c r="Q72" s="637"/>
      <c r="R72" s="637"/>
      <c r="S72" s="637"/>
      <c r="T72" s="637"/>
      <c r="U72" s="637"/>
      <c r="V72" s="637"/>
      <c r="W72" s="637"/>
      <c r="X72" s="637"/>
      <c r="Y72" s="637"/>
      <c r="Z72" s="637"/>
      <c r="AA72" s="637"/>
      <c r="AB72" s="637"/>
      <c r="AC72" s="637"/>
      <c r="AD72" s="637"/>
      <c r="AE72" s="637"/>
      <c r="AF72" s="637"/>
      <c r="AG72" s="637"/>
      <c r="AH72" s="637"/>
      <c r="AI72" s="637"/>
      <c r="AJ72" s="637"/>
      <c r="AK72" s="637"/>
      <c r="AL72" s="637"/>
      <c r="AM72" s="637"/>
      <c r="AN72" s="637"/>
      <c r="AO72" s="637"/>
      <c r="AP72" s="637"/>
      <c r="AQ72" s="637"/>
      <c r="AR72" s="637"/>
      <c r="AS72" s="637"/>
      <c r="AT72" s="637"/>
      <c r="AU72" s="637"/>
      <c r="AV72" s="637"/>
    </row>
    <row r="73" spans="1:52" s="541" customFormat="1" x14ac:dyDescent="0.25">
      <c r="A73" s="637"/>
      <c r="B73" s="637"/>
      <c r="C73" s="715"/>
      <c r="D73" s="716"/>
      <c r="E73" s="716"/>
      <c r="F73" s="637"/>
      <c r="G73" s="637"/>
      <c r="H73" s="637"/>
      <c r="I73" s="637"/>
      <c r="J73" s="637"/>
      <c r="K73" s="637"/>
      <c r="L73" s="637"/>
      <c r="M73" s="637"/>
      <c r="N73" s="637"/>
      <c r="O73" s="637"/>
      <c r="P73" s="637"/>
      <c r="Q73" s="637"/>
      <c r="R73" s="637"/>
      <c r="S73" s="637"/>
      <c r="T73" s="637"/>
      <c r="U73" s="637"/>
      <c r="V73" s="637"/>
      <c r="W73" s="637"/>
      <c r="X73" s="637"/>
      <c r="Y73" s="637"/>
      <c r="Z73" s="637"/>
      <c r="AA73" s="637"/>
      <c r="AB73" s="637"/>
      <c r="AC73" s="637"/>
      <c r="AD73" s="637"/>
      <c r="AE73" s="637"/>
      <c r="AF73" s="637"/>
      <c r="AG73" s="637"/>
      <c r="AH73" s="637"/>
      <c r="AI73" s="637"/>
      <c r="AJ73" s="637"/>
      <c r="AK73" s="637"/>
      <c r="AL73" s="637"/>
      <c r="AM73" s="637"/>
      <c r="AN73" s="637"/>
      <c r="AO73" s="637"/>
      <c r="AP73" s="637"/>
      <c r="AQ73" s="637"/>
      <c r="AR73" s="637"/>
      <c r="AS73" s="637"/>
      <c r="AT73" s="637"/>
      <c r="AU73" s="637"/>
      <c r="AV73" s="637"/>
      <c r="AZ73" s="541" t="s">
        <v>514</v>
      </c>
    </row>
    <row r="74" spans="1:52" s="541" customFormat="1" x14ac:dyDescent="0.25">
      <c r="A74" s="637"/>
      <c r="B74" s="637"/>
      <c r="C74" s="715"/>
      <c r="D74" s="716"/>
      <c r="E74" s="716"/>
      <c r="F74" s="637"/>
      <c r="G74" s="637"/>
      <c r="H74" s="637"/>
      <c r="I74" s="637"/>
      <c r="J74" s="637"/>
      <c r="K74" s="637"/>
      <c r="L74" s="637"/>
      <c r="M74" s="637"/>
      <c r="N74" s="637"/>
      <c r="O74" s="637"/>
      <c r="P74" s="637"/>
      <c r="Q74" s="637"/>
      <c r="R74" s="637"/>
      <c r="S74" s="637"/>
      <c r="T74" s="637"/>
      <c r="U74" s="637"/>
      <c r="V74" s="637"/>
      <c r="W74" s="637"/>
      <c r="X74" s="637"/>
      <c r="Y74" s="637"/>
      <c r="Z74" s="637"/>
      <c r="AA74" s="637"/>
      <c r="AB74" s="637"/>
      <c r="AC74" s="637"/>
      <c r="AD74" s="637"/>
      <c r="AE74" s="637"/>
      <c r="AF74" s="637"/>
      <c r="AG74" s="637"/>
      <c r="AH74" s="637"/>
      <c r="AI74" s="637"/>
      <c r="AJ74" s="637"/>
      <c r="AK74" s="637"/>
      <c r="AL74" s="637"/>
      <c r="AM74" s="637"/>
      <c r="AN74" s="637"/>
      <c r="AO74" s="637"/>
      <c r="AP74" s="637"/>
      <c r="AQ74" s="637"/>
      <c r="AR74" s="637"/>
      <c r="AS74" s="637"/>
      <c r="AT74" s="637"/>
      <c r="AU74" s="637"/>
      <c r="AV74" s="637"/>
    </row>
    <row r="75" spans="1:52" s="541" customFormat="1" x14ac:dyDescent="0.25">
      <c r="A75" s="637"/>
      <c r="B75" s="637"/>
      <c r="C75" s="715"/>
      <c r="D75" s="716"/>
      <c r="E75" s="716"/>
      <c r="F75" s="637"/>
      <c r="G75" s="637"/>
      <c r="H75" s="637"/>
      <c r="I75" s="637"/>
      <c r="J75" s="637"/>
      <c r="K75" s="637"/>
      <c r="L75" s="637"/>
      <c r="M75" s="637"/>
      <c r="N75" s="637"/>
      <c r="O75" s="637"/>
      <c r="P75" s="637"/>
      <c r="Q75" s="637"/>
      <c r="R75" s="637"/>
      <c r="S75" s="637"/>
      <c r="T75" s="637"/>
      <c r="U75" s="637"/>
      <c r="V75" s="637"/>
      <c r="W75" s="637"/>
      <c r="X75" s="637"/>
      <c r="Y75" s="637"/>
      <c r="Z75" s="637"/>
      <c r="AA75" s="637"/>
      <c r="AB75" s="637"/>
      <c r="AC75" s="637"/>
      <c r="AD75" s="637"/>
      <c r="AE75" s="637"/>
      <c r="AF75" s="637"/>
      <c r="AG75" s="637"/>
      <c r="AH75" s="637"/>
      <c r="AI75" s="637"/>
      <c r="AJ75" s="637"/>
      <c r="AK75" s="637"/>
      <c r="AL75" s="637"/>
      <c r="AM75" s="637"/>
      <c r="AN75" s="637"/>
      <c r="AO75" s="637"/>
      <c r="AP75" s="637"/>
      <c r="AQ75" s="637"/>
      <c r="AR75" s="637"/>
      <c r="AS75" s="637"/>
      <c r="AT75" s="637"/>
      <c r="AU75" s="637"/>
      <c r="AV75" s="637"/>
    </row>
    <row r="76" spans="1:52" s="541" customFormat="1" x14ac:dyDescent="0.25">
      <c r="A76" s="637"/>
      <c r="B76" s="637"/>
      <c r="C76" s="715"/>
      <c r="D76" s="716"/>
      <c r="E76" s="716"/>
      <c r="F76" s="637"/>
      <c r="G76" s="637"/>
      <c r="H76" s="637"/>
      <c r="I76" s="637"/>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7"/>
      <c r="AH76" s="637"/>
      <c r="AI76" s="637"/>
      <c r="AJ76" s="637"/>
      <c r="AK76" s="637"/>
      <c r="AL76" s="637"/>
      <c r="AM76" s="637"/>
      <c r="AN76" s="637"/>
      <c r="AO76" s="637"/>
      <c r="AP76" s="637"/>
      <c r="AQ76" s="637"/>
      <c r="AR76" s="637"/>
      <c r="AS76" s="637"/>
      <c r="AT76" s="637"/>
      <c r="AU76" s="637"/>
      <c r="AV76" s="637"/>
    </row>
    <row r="77" spans="1:52" s="541" customFormat="1" x14ac:dyDescent="0.25">
      <c r="A77" s="637"/>
      <c r="B77" s="637"/>
      <c r="C77" s="715"/>
      <c r="D77" s="716"/>
      <c r="E77" s="716"/>
      <c r="F77" s="637"/>
      <c r="G77" s="637"/>
      <c r="H77" s="637"/>
      <c r="I77" s="637"/>
      <c r="J77" s="637"/>
      <c r="K77" s="637"/>
      <c r="L77" s="637"/>
      <c r="M77" s="637"/>
      <c r="N77" s="637"/>
      <c r="O77" s="637"/>
      <c r="P77" s="637"/>
      <c r="Q77" s="637"/>
      <c r="R77" s="637"/>
      <c r="S77" s="637"/>
      <c r="T77" s="637"/>
      <c r="U77" s="637"/>
      <c r="V77" s="637"/>
      <c r="W77" s="637"/>
      <c r="X77" s="637"/>
      <c r="Y77" s="637"/>
      <c r="Z77" s="637"/>
      <c r="AA77" s="637"/>
      <c r="AB77" s="637"/>
      <c r="AC77" s="637"/>
      <c r="AD77" s="637"/>
      <c r="AE77" s="637"/>
      <c r="AF77" s="637"/>
      <c r="AG77" s="637"/>
      <c r="AH77" s="637"/>
      <c r="AI77" s="637"/>
      <c r="AJ77" s="637"/>
      <c r="AK77" s="637"/>
      <c r="AL77" s="637"/>
      <c r="AM77" s="637"/>
      <c r="AN77" s="637"/>
      <c r="AO77" s="637"/>
      <c r="AP77" s="637"/>
      <c r="AQ77" s="637"/>
      <c r="AR77" s="637"/>
      <c r="AS77" s="637"/>
      <c r="AT77" s="637"/>
      <c r="AU77" s="637"/>
      <c r="AV77" s="637"/>
    </row>
    <row r="78" spans="1:52" s="541" customFormat="1" x14ac:dyDescent="0.25">
      <c r="A78" s="637"/>
      <c r="B78" s="637"/>
      <c r="C78" s="715"/>
      <c r="D78" s="716"/>
      <c r="E78" s="716"/>
      <c r="F78" s="637"/>
      <c r="G78" s="637"/>
      <c r="H78" s="637"/>
      <c r="I78" s="637"/>
      <c r="J78" s="637"/>
      <c r="K78" s="637"/>
      <c r="L78" s="637"/>
      <c r="M78" s="637"/>
      <c r="N78" s="637"/>
      <c r="O78" s="637"/>
      <c r="P78" s="637"/>
      <c r="Q78" s="637"/>
      <c r="R78" s="637"/>
      <c r="S78" s="637"/>
      <c r="T78" s="637"/>
      <c r="U78" s="637"/>
      <c r="V78" s="637"/>
      <c r="W78" s="637"/>
      <c r="X78" s="637"/>
      <c r="Y78" s="637"/>
      <c r="Z78" s="637"/>
      <c r="AA78" s="637"/>
      <c r="AB78" s="637"/>
      <c r="AC78" s="637"/>
      <c r="AD78" s="637"/>
      <c r="AE78" s="637"/>
      <c r="AF78" s="637"/>
      <c r="AG78" s="637"/>
      <c r="AH78" s="637"/>
      <c r="AI78" s="637"/>
      <c r="AJ78" s="637"/>
      <c r="AK78" s="637"/>
      <c r="AL78" s="637"/>
      <c r="AM78" s="637"/>
      <c r="AN78" s="637"/>
      <c r="AO78" s="637"/>
      <c r="AP78" s="637"/>
      <c r="AQ78" s="637"/>
      <c r="AR78" s="637"/>
      <c r="AS78" s="637"/>
      <c r="AT78" s="637"/>
      <c r="AU78" s="637"/>
      <c r="AV78" s="637"/>
    </row>
    <row r="79" spans="1:52" s="541" customFormat="1" x14ac:dyDescent="0.25">
      <c r="A79" s="637"/>
      <c r="B79" s="637"/>
      <c r="C79" s="715"/>
      <c r="D79" s="716"/>
      <c r="E79" s="716"/>
      <c r="F79" s="637"/>
      <c r="G79" s="637"/>
      <c r="H79" s="637"/>
      <c r="I79" s="637"/>
      <c r="J79" s="637"/>
      <c r="K79" s="637"/>
      <c r="L79" s="637"/>
      <c r="M79" s="637"/>
      <c r="N79" s="637"/>
      <c r="O79" s="637"/>
      <c r="P79" s="637"/>
      <c r="Q79" s="637"/>
      <c r="R79" s="637"/>
      <c r="S79" s="637"/>
      <c r="T79" s="637"/>
      <c r="U79" s="637"/>
      <c r="V79" s="637"/>
      <c r="W79" s="637"/>
      <c r="X79" s="637"/>
      <c r="Y79" s="637"/>
      <c r="Z79" s="637"/>
      <c r="AA79" s="637"/>
      <c r="AB79" s="637"/>
      <c r="AC79" s="637"/>
      <c r="AD79" s="637"/>
      <c r="AE79" s="637"/>
      <c r="AF79" s="637"/>
      <c r="AG79" s="637"/>
      <c r="AH79" s="637"/>
      <c r="AI79" s="637"/>
      <c r="AJ79" s="637"/>
      <c r="AK79" s="637"/>
      <c r="AL79" s="637"/>
      <c r="AM79" s="637"/>
      <c r="AN79" s="637"/>
      <c r="AO79" s="637"/>
      <c r="AP79" s="637"/>
      <c r="AQ79" s="637"/>
      <c r="AR79" s="637"/>
      <c r="AS79" s="637"/>
      <c r="AT79" s="637"/>
      <c r="AU79" s="637"/>
      <c r="AV79" s="637"/>
    </row>
    <row r="80" spans="1:52" s="541" customFormat="1" x14ac:dyDescent="0.25">
      <c r="A80" s="637"/>
      <c r="B80" s="637"/>
      <c r="C80" s="715"/>
      <c r="D80" s="716"/>
      <c r="E80" s="716"/>
      <c r="F80" s="637"/>
      <c r="G80" s="637"/>
      <c r="H80" s="637"/>
      <c r="I80" s="637"/>
      <c r="J80" s="637"/>
      <c r="K80" s="637"/>
      <c r="L80" s="637"/>
      <c r="M80" s="637"/>
      <c r="N80" s="637"/>
      <c r="O80" s="637"/>
      <c r="P80" s="637"/>
      <c r="Q80" s="637"/>
      <c r="R80" s="637"/>
      <c r="S80" s="637"/>
      <c r="T80" s="637"/>
      <c r="U80" s="637"/>
      <c r="V80" s="637"/>
      <c r="W80" s="637"/>
      <c r="X80" s="637"/>
      <c r="Y80" s="637"/>
      <c r="Z80" s="637"/>
      <c r="AA80" s="637"/>
      <c r="AB80" s="637"/>
      <c r="AC80" s="637"/>
      <c r="AD80" s="637"/>
      <c r="AE80" s="637"/>
      <c r="AF80" s="637"/>
      <c r="AG80" s="637"/>
      <c r="AH80" s="637"/>
      <c r="AI80" s="637"/>
      <c r="AJ80" s="637"/>
      <c r="AK80" s="637"/>
      <c r="AL80" s="637"/>
      <c r="AM80" s="637"/>
      <c r="AN80" s="637"/>
      <c r="AO80" s="637"/>
      <c r="AP80" s="637"/>
      <c r="AQ80" s="637"/>
      <c r="AR80" s="637"/>
      <c r="AS80" s="637"/>
      <c r="AT80" s="637"/>
      <c r="AU80" s="637"/>
      <c r="AV80" s="637"/>
    </row>
    <row r="81" spans="1:53" s="541" customFormat="1" x14ac:dyDescent="0.25">
      <c r="A81" s="637"/>
      <c r="B81" s="637"/>
      <c r="C81" s="715"/>
      <c r="D81" s="716"/>
      <c r="E81" s="716"/>
      <c r="F81" s="637"/>
      <c r="G81" s="637"/>
      <c r="H81" s="637"/>
      <c r="I81" s="637"/>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7"/>
      <c r="AH81" s="637"/>
      <c r="AI81" s="637"/>
      <c r="AJ81" s="637"/>
      <c r="AK81" s="637"/>
      <c r="AL81" s="637"/>
      <c r="AM81" s="637"/>
      <c r="AN81" s="637"/>
      <c r="AO81" s="637"/>
      <c r="AP81" s="637"/>
      <c r="AQ81" s="637"/>
      <c r="AR81" s="637"/>
      <c r="AS81" s="637"/>
      <c r="AT81" s="637"/>
      <c r="AU81" s="637"/>
      <c r="AV81" s="637"/>
    </row>
    <row r="82" spans="1:53" s="541" customFormat="1" x14ac:dyDescent="0.25">
      <c r="A82" s="637"/>
      <c r="B82" s="637"/>
      <c r="C82" s="715"/>
      <c r="D82" s="716"/>
      <c r="E82" s="716"/>
      <c r="F82" s="637"/>
      <c r="G82" s="637"/>
      <c r="H82" s="637"/>
      <c r="I82" s="637"/>
      <c r="J82" s="637"/>
      <c r="K82" s="637"/>
      <c r="L82" s="637"/>
      <c r="M82" s="637"/>
      <c r="N82" s="637"/>
      <c r="O82" s="637"/>
      <c r="P82" s="637"/>
      <c r="Q82" s="637"/>
      <c r="R82" s="637"/>
      <c r="S82" s="637"/>
      <c r="T82" s="637"/>
      <c r="U82" s="637"/>
      <c r="V82" s="637"/>
      <c r="W82" s="637"/>
      <c r="X82" s="637"/>
      <c r="Y82" s="637"/>
      <c r="Z82" s="637"/>
      <c r="AA82" s="637"/>
      <c r="AB82" s="637"/>
      <c r="AC82" s="637"/>
      <c r="AD82" s="637"/>
      <c r="AE82" s="637"/>
      <c r="AF82" s="637"/>
      <c r="AG82" s="637"/>
      <c r="AH82" s="637"/>
      <c r="AI82" s="637"/>
      <c r="AJ82" s="637"/>
      <c r="AK82" s="637"/>
      <c r="AL82" s="637"/>
      <c r="AM82" s="637"/>
      <c r="AN82" s="637"/>
      <c r="AO82" s="637"/>
      <c r="AP82" s="637"/>
      <c r="AQ82" s="637"/>
      <c r="AR82" s="637"/>
      <c r="AS82" s="637"/>
      <c r="AT82" s="637"/>
      <c r="AU82" s="637"/>
      <c r="AV82" s="637"/>
    </row>
    <row r="83" spans="1:53" s="541" customFormat="1" x14ac:dyDescent="0.25">
      <c r="A83" s="637"/>
      <c r="B83" s="637"/>
      <c r="C83" s="715"/>
      <c r="D83" s="716"/>
      <c r="E83" s="716"/>
      <c r="F83" s="637"/>
      <c r="G83" s="637"/>
      <c r="H83" s="637"/>
      <c r="I83" s="637"/>
      <c r="J83" s="637"/>
      <c r="K83" s="637"/>
      <c r="L83" s="637"/>
      <c r="M83" s="637"/>
      <c r="N83" s="637"/>
      <c r="O83" s="637"/>
      <c r="P83" s="637"/>
      <c r="Q83" s="637"/>
      <c r="R83" s="637"/>
      <c r="S83" s="637"/>
      <c r="T83" s="637"/>
      <c r="U83" s="637"/>
      <c r="V83" s="637"/>
      <c r="W83" s="637"/>
      <c r="X83" s="637"/>
      <c r="Y83" s="637"/>
      <c r="Z83" s="637"/>
      <c r="AA83" s="637"/>
      <c r="AB83" s="637"/>
      <c r="AC83" s="637"/>
      <c r="AD83" s="637"/>
      <c r="AE83" s="637"/>
      <c r="AF83" s="637"/>
      <c r="AG83" s="637"/>
      <c r="AH83" s="637"/>
      <c r="AI83" s="637"/>
      <c r="AJ83" s="637"/>
      <c r="AK83" s="637"/>
      <c r="AL83" s="637"/>
      <c r="AM83" s="637"/>
      <c r="AN83" s="637"/>
      <c r="AO83" s="637"/>
      <c r="AP83" s="637"/>
      <c r="AQ83" s="637"/>
      <c r="AR83" s="637"/>
      <c r="AS83" s="637"/>
      <c r="AT83" s="637"/>
      <c r="AU83" s="637"/>
      <c r="AV83" s="637"/>
    </row>
    <row r="84" spans="1:53" s="541" customFormat="1" x14ac:dyDescent="0.25">
      <c r="A84" s="637"/>
      <c r="B84" s="637"/>
      <c r="C84" s="715"/>
      <c r="D84" s="716"/>
      <c r="E84" s="716"/>
      <c r="F84" s="637"/>
      <c r="G84" s="637"/>
      <c r="H84" s="637"/>
      <c r="I84" s="637"/>
      <c r="J84" s="637"/>
      <c r="K84" s="637"/>
      <c r="L84" s="637"/>
      <c r="M84" s="637"/>
      <c r="N84" s="637"/>
      <c r="O84" s="637"/>
      <c r="P84" s="637"/>
      <c r="Q84" s="637"/>
      <c r="R84" s="637"/>
      <c r="S84" s="637"/>
      <c r="T84" s="637"/>
      <c r="U84" s="637"/>
      <c r="V84" s="637"/>
      <c r="W84" s="637"/>
      <c r="X84" s="637"/>
      <c r="Y84" s="637"/>
      <c r="Z84" s="637"/>
      <c r="AA84" s="637"/>
      <c r="AB84" s="637"/>
      <c r="AC84" s="637"/>
      <c r="AD84" s="637"/>
      <c r="AE84" s="637"/>
      <c r="AF84" s="637"/>
      <c r="AG84" s="637"/>
      <c r="AH84" s="637"/>
      <c r="AI84" s="637"/>
      <c r="AJ84" s="637"/>
      <c r="AK84" s="637"/>
      <c r="AL84" s="637"/>
      <c r="AM84" s="637"/>
      <c r="AN84" s="637"/>
      <c r="AO84" s="637"/>
      <c r="AP84" s="637"/>
      <c r="AQ84" s="637"/>
      <c r="AR84" s="637"/>
      <c r="AS84" s="637"/>
      <c r="AT84" s="637"/>
      <c r="AU84" s="637"/>
      <c r="AV84" s="637"/>
    </row>
    <row r="85" spans="1:53" s="541" customFormat="1" x14ac:dyDescent="0.25">
      <c r="A85" s="637"/>
      <c r="B85" s="637"/>
      <c r="C85" s="715"/>
      <c r="D85" s="716"/>
      <c r="E85" s="716"/>
      <c r="F85" s="637"/>
      <c r="G85" s="637"/>
      <c r="H85" s="637"/>
      <c r="I85" s="637"/>
      <c r="J85" s="637"/>
      <c r="K85" s="637"/>
      <c r="L85" s="637"/>
      <c r="M85" s="637"/>
      <c r="N85" s="637"/>
      <c r="O85" s="637"/>
      <c r="P85" s="637"/>
      <c r="Q85" s="637"/>
      <c r="R85" s="637"/>
      <c r="S85" s="637"/>
      <c r="T85" s="637"/>
      <c r="U85" s="637"/>
      <c r="V85" s="637"/>
      <c r="W85" s="637"/>
      <c r="X85" s="637"/>
      <c r="Y85" s="637"/>
      <c r="Z85" s="637"/>
      <c r="AA85" s="637"/>
      <c r="AB85" s="637"/>
      <c r="AC85" s="637"/>
      <c r="AD85" s="637"/>
      <c r="AE85" s="637"/>
      <c r="AF85" s="637"/>
      <c r="AG85" s="637"/>
      <c r="AH85" s="637"/>
      <c r="AI85" s="637"/>
      <c r="AJ85" s="637"/>
      <c r="AK85" s="637"/>
      <c r="AL85" s="637"/>
      <c r="AM85" s="637"/>
      <c r="AN85" s="637"/>
      <c r="AO85" s="637"/>
      <c r="AP85" s="637"/>
      <c r="AQ85" s="637"/>
      <c r="AR85" s="637"/>
      <c r="AS85" s="637"/>
      <c r="AT85" s="637"/>
      <c r="AU85" s="637"/>
      <c r="AV85" s="637"/>
    </row>
    <row r="86" spans="1:53" s="541" customFormat="1" x14ac:dyDescent="0.25">
      <c r="A86" s="637"/>
      <c r="B86" s="637"/>
      <c r="C86" s="715"/>
      <c r="D86" s="716"/>
      <c r="E86" s="716"/>
      <c r="F86" s="637"/>
      <c r="G86" s="637"/>
      <c r="H86" s="637"/>
      <c r="I86" s="637"/>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7"/>
      <c r="AH86" s="637"/>
      <c r="AI86" s="637"/>
      <c r="AJ86" s="637"/>
      <c r="AK86" s="637"/>
      <c r="AL86" s="637"/>
      <c r="AM86" s="637"/>
      <c r="AN86" s="637"/>
      <c r="AO86" s="637"/>
      <c r="AP86" s="637"/>
      <c r="AQ86" s="637"/>
      <c r="AR86" s="637"/>
      <c r="AS86" s="637"/>
      <c r="AT86" s="637"/>
      <c r="AU86" s="637"/>
      <c r="AV86" s="637"/>
    </row>
    <row r="87" spans="1:53" s="541" customFormat="1" x14ac:dyDescent="0.25">
      <c r="A87" s="637"/>
      <c r="B87" s="637"/>
      <c r="C87" s="715"/>
      <c r="D87" s="716"/>
      <c r="E87" s="716"/>
      <c r="F87" s="637"/>
      <c r="G87" s="637"/>
      <c r="H87" s="637"/>
      <c r="I87" s="637"/>
      <c r="J87" s="637"/>
      <c r="K87" s="637"/>
      <c r="L87" s="637"/>
      <c r="M87" s="637"/>
      <c r="N87" s="637"/>
      <c r="O87" s="637"/>
      <c r="P87" s="637"/>
      <c r="Q87" s="637"/>
      <c r="R87" s="637"/>
      <c r="S87" s="637"/>
      <c r="T87" s="637"/>
      <c r="U87" s="637"/>
      <c r="V87" s="637"/>
      <c r="W87" s="637"/>
      <c r="X87" s="637"/>
      <c r="Y87" s="637"/>
      <c r="Z87" s="637"/>
      <c r="AA87" s="637"/>
      <c r="AB87" s="637"/>
      <c r="AC87" s="637"/>
      <c r="AD87" s="637"/>
      <c r="AE87" s="637"/>
      <c r="AF87" s="637"/>
      <c r="AG87" s="637"/>
      <c r="AH87" s="637"/>
      <c r="AI87" s="637"/>
      <c r="AJ87" s="637"/>
      <c r="AK87" s="637"/>
      <c r="AL87" s="637"/>
      <c r="AM87" s="637"/>
      <c r="AN87" s="637"/>
      <c r="AO87" s="637"/>
      <c r="AP87" s="637"/>
      <c r="AQ87" s="637"/>
      <c r="AR87" s="637"/>
      <c r="AS87" s="637"/>
      <c r="AT87" s="637"/>
      <c r="AU87" s="637"/>
      <c r="AV87" s="637"/>
    </row>
    <row r="88" spans="1:53" s="541" customFormat="1" x14ac:dyDescent="0.25">
      <c r="A88" s="637"/>
      <c r="B88" s="637"/>
      <c r="C88" s="715"/>
      <c r="D88" s="716"/>
      <c r="E88" s="716"/>
      <c r="F88" s="637"/>
      <c r="G88" s="637"/>
      <c r="H88" s="637"/>
      <c r="I88" s="637"/>
      <c r="J88" s="637"/>
      <c r="K88" s="637"/>
      <c r="L88" s="637"/>
      <c r="M88" s="637"/>
      <c r="N88" s="637"/>
      <c r="O88" s="637"/>
      <c r="P88" s="637"/>
      <c r="Q88" s="637"/>
      <c r="R88" s="637"/>
      <c r="S88" s="637"/>
      <c r="T88" s="637"/>
      <c r="U88" s="637"/>
      <c r="V88" s="637"/>
      <c r="W88" s="637"/>
      <c r="X88" s="637"/>
      <c r="Y88" s="637"/>
      <c r="Z88" s="637"/>
      <c r="AA88" s="637"/>
      <c r="AB88" s="637"/>
      <c r="AC88" s="637"/>
      <c r="AD88" s="637"/>
      <c r="AE88" s="637"/>
      <c r="AF88" s="637"/>
      <c r="AG88" s="637"/>
      <c r="AH88" s="637"/>
      <c r="AI88" s="637"/>
      <c r="AJ88" s="637"/>
      <c r="AK88" s="637"/>
      <c r="AL88" s="637"/>
      <c r="AM88" s="637"/>
      <c r="AN88" s="637"/>
      <c r="AO88" s="637"/>
      <c r="AP88" s="637"/>
      <c r="AQ88" s="637"/>
      <c r="AR88" s="637"/>
      <c r="AS88" s="637"/>
      <c r="AT88" s="637"/>
      <c r="AU88" s="637"/>
      <c r="AV88" s="637"/>
    </row>
    <row r="89" spans="1:53" s="541" customFormat="1" x14ac:dyDescent="0.25">
      <c r="A89" s="637"/>
      <c r="B89" s="637"/>
      <c r="C89" s="715"/>
      <c r="D89" s="716"/>
      <c r="E89" s="716"/>
      <c r="F89" s="637"/>
      <c r="G89" s="637"/>
      <c r="H89" s="637"/>
      <c r="I89" s="637"/>
      <c r="J89" s="637"/>
      <c r="K89" s="637"/>
      <c r="L89" s="637"/>
      <c r="M89" s="637"/>
      <c r="N89" s="637"/>
      <c r="O89" s="637"/>
      <c r="P89" s="637"/>
      <c r="Q89" s="637"/>
      <c r="R89" s="637"/>
      <c r="S89" s="637"/>
      <c r="T89" s="637"/>
      <c r="U89" s="637"/>
      <c r="V89" s="637"/>
      <c r="W89" s="637"/>
      <c r="X89" s="637"/>
      <c r="Y89" s="637"/>
      <c r="Z89" s="637"/>
      <c r="AA89" s="637"/>
      <c r="AB89" s="637"/>
      <c r="AC89" s="637"/>
      <c r="AD89" s="637"/>
      <c r="AE89" s="637"/>
      <c r="AF89" s="637"/>
      <c r="AG89" s="637"/>
      <c r="AH89" s="637"/>
      <c r="AI89" s="637"/>
      <c r="AJ89" s="637"/>
      <c r="AK89" s="637"/>
      <c r="AL89" s="637"/>
      <c r="AM89" s="637"/>
      <c r="AN89" s="637"/>
      <c r="AO89" s="637"/>
      <c r="AP89" s="637"/>
      <c r="AQ89" s="637"/>
      <c r="AR89" s="637"/>
      <c r="AS89" s="637"/>
      <c r="AT89" s="637"/>
      <c r="AU89" s="637"/>
      <c r="AV89" s="637"/>
    </row>
    <row r="90" spans="1:53" s="541" customFormat="1" x14ac:dyDescent="0.25">
      <c r="A90" s="637"/>
      <c r="B90" s="637"/>
      <c r="C90" s="715"/>
      <c r="D90" s="716"/>
      <c r="E90" s="716"/>
      <c r="F90" s="637"/>
      <c r="G90" s="637"/>
      <c r="H90" s="637"/>
      <c r="I90" s="637"/>
      <c r="J90" s="637"/>
      <c r="K90" s="637"/>
      <c r="L90" s="637"/>
      <c r="M90" s="637"/>
      <c r="N90" s="637"/>
      <c r="O90" s="637"/>
      <c r="P90" s="637"/>
      <c r="Q90" s="637"/>
      <c r="R90" s="637"/>
      <c r="S90" s="637"/>
      <c r="T90" s="637"/>
      <c r="U90" s="637"/>
      <c r="V90" s="637"/>
      <c r="W90" s="637"/>
      <c r="X90" s="637"/>
      <c r="Y90" s="637"/>
      <c r="Z90" s="637"/>
      <c r="AA90" s="637"/>
      <c r="AB90" s="637"/>
      <c r="AC90" s="637"/>
      <c r="AD90" s="637"/>
      <c r="AE90" s="637"/>
      <c r="AF90" s="637"/>
      <c r="AG90" s="637"/>
      <c r="AH90" s="637"/>
      <c r="AI90" s="637"/>
      <c r="AJ90" s="637"/>
      <c r="AK90" s="637"/>
      <c r="AL90" s="637"/>
      <c r="AM90" s="637"/>
      <c r="AN90" s="637"/>
      <c r="AO90" s="637"/>
      <c r="AP90" s="637"/>
      <c r="AQ90" s="637"/>
      <c r="AR90" s="637"/>
      <c r="AS90" s="637"/>
      <c r="AT90" s="637"/>
      <c r="AU90" s="637"/>
      <c r="AV90" s="637"/>
    </row>
    <row r="91" spans="1:53" s="541" customFormat="1" x14ac:dyDescent="0.25">
      <c r="A91" s="637"/>
      <c r="B91" s="637"/>
      <c r="C91" s="715"/>
      <c r="D91" s="716"/>
      <c r="E91" s="716"/>
      <c r="F91" s="637"/>
      <c r="G91" s="637"/>
      <c r="H91" s="637"/>
      <c r="I91" s="637"/>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7"/>
      <c r="AH91" s="637"/>
      <c r="AI91" s="637"/>
      <c r="AJ91" s="637"/>
      <c r="AK91" s="637"/>
      <c r="AL91" s="637"/>
      <c r="AM91" s="637"/>
      <c r="AN91" s="637"/>
      <c r="AO91" s="637"/>
      <c r="AP91" s="637"/>
      <c r="AQ91" s="637"/>
      <c r="AR91" s="637"/>
      <c r="AS91" s="637"/>
      <c r="AT91" s="637"/>
      <c r="AU91" s="637"/>
      <c r="AV91" s="637"/>
    </row>
    <row r="92" spans="1:53" s="541" customFormat="1" x14ac:dyDescent="0.25">
      <c r="A92" s="637"/>
      <c r="B92" s="637"/>
      <c r="C92" s="715"/>
      <c r="D92" s="716"/>
      <c r="E92" s="716"/>
      <c r="F92" s="637"/>
      <c r="G92" s="637"/>
      <c r="H92" s="637"/>
      <c r="I92" s="637"/>
      <c r="J92" s="637"/>
      <c r="K92" s="637"/>
      <c r="L92" s="637"/>
      <c r="M92" s="637"/>
      <c r="N92" s="637"/>
      <c r="O92" s="637"/>
      <c r="P92" s="637"/>
      <c r="Q92" s="637"/>
      <c r="R92" s="637"/>
      <c r="S92" s="637"/>
      <c r="T92" s="637"/>
      <c r="U92" s="637"/>
      <c r="V92" s="637"/>
      <c r="W92" s="637"/>
      <c r="X92" s="637"/>
      <c r="Y92" s="637"/>
      <c r="Z92" s="637"/>
      <c r="AA92" s="637"/>
      <c r="AB92" s="637"/>
      <c r="AC92" s="637"/>
      <c r="AD92" s="637"/>
      <c r="AE92" s="637"/>
      <c r="AF92" s="637"/>
      <c r="AG92" s="637"/>
      <c r="AH92" s="637"/>
      <c r="AI92" s="637"/>
      <c r="AJ92" s="637"/>
      <c r="AK92" s="637"/>
      <c r="AL92" s="637"/>
      <c r="AM92" s="637"/>
      <c r="AN92" s="637"/>
      <c r="AO92" s="637"/>
      <c r="AP92" s="637"/>
      <c r="AQ92" s="637"/>
      <c r="AR92" s="637"/>
      <c r="AS92" s="637"/>
      <c r="AT92" s="637"/>
      <c r="AU92" s="637"/>
      <c r="AV92" s="637"/>
    </row>
    <row r="93" spans="1:53" s="541" customFormat="1" x14ac:dyDescent="0.25">
      <c r="A93" s="637"/>
      <c r="B93" s="637"/>
      <c r="C93" s="715"/>
      <c r="D93" s="716"/>
      <c r="E93" s="716"/>
      <c r="F93" s="637"/>
      <c r="G93" s="637"/>
      <c r="H93" s="637"/>
      <c r="I93" s="637"/>
      <c r="J93" s="637"/>
      <c r="K93" s="637"/>
      <c r="L93" s="637"/>
      <c r="M93" s="637"/>
      <c r="N93" s="637"/>
      <c r="O93" s="637"/>
      <c r="P93" s="637"/>
      <c r="Q93" s="637"/>
      <c r="R93" s="637"/>
      <c r="S93" s="637"/>
      <c r="T93" s="637"/>
      <c r="U93" s="637"/>
      <c r="V93" s="637"/>
      <c r="W93" s="637"/>
      <c r="X93" s="637"/>
      <c r="Y93" s="637"/>
      <c r="Z93" s="637"/>
      <c r="AA93" s="637"/>
      <c r="AB93" s="637"/>
      <c r="AC93" s="637"/>
      <c r="AD93" s="637"/>
      <c r="AE93" s="637"/>
      <c r="AF93" s="637"/>
      <c r="AG93" s="637"/>
      <c r="AH93" s="637"/>
      <c r="AI93" s="637"/>
      <c r="AJ93" s="637"/>
      <c r="AK93" s="637"/>
      <c r="AL93" s="637"/>
      <c r="AM93" s="637"/>
      <c r="AN93" s="637"/>
      <c r="AO93" s="637"/>
      <c r="AP93" s="637"/>
      <c r="AQ93" s="637"/>
      <c r="AR93" s="637"/>
      <c r="AS93" s="637"/>
      <c r="AT93" s="637"/>
      <c r="AU93" s="637"/>
      <c r="AV93" s="637"/>
    </row>
    <row r="94" spans="1:53" s="541" customFormat="1" x14ac:dyDescent="0.25">
      <c r="A94" s="637"/>
      <c r="B94" s="637"/>
      <c r="C94" s="715"/>
      <c r="D94" s="716"/>
      <c r="E94" s="716"/>
      <c r="F94" s="637"/>
      <c r="G94" s="637"/>
      <c r="H94" s="637"/>
      <c r="I94" s="637"/>
      <c r="J94" s="637"/>
      <c r="K94" s="637"/>
      <c r="L94" s="637"/>
      <c r="M94" s="637"/>
      <c r="N94" s="637"/>
      <c r="O94" s="637"/>
      <c r="P94" s="637"/>
      <c r="Q94" s="637"/>
      <c r="R94" s="637"/>
      <c r="S94" s="637"/>
      <c r="T94" s="637"/>
      <c r="U94" s="637"/>
      <c r="V94" s="637"/>
      <c r="W94" s="637"/>
      <c r="X94" s="637"/>
      <c r="Y94" s="637"/>
      <c r="Z94" s="637"/>
      <c r="AA94" s="637"/>
      <c r="AB94" s="637"/>
      <c r="AC94" s="637"/>
      <c r="AD94" s="637"/>
      <c r="AE94" s="637"/>
      <c r="AF94" s="637"/>
      <c r="AG94" s="637"/>
      <c r="AH94" s="637"/>
      <c r="AI94" s="637"/>
      <c r="AJ94" s="637"/>
      <c r="AK94" s="637"/>
      <c r="AL94" s="637"/>
      <c r="AM94" s="637"/>
      <c r="AN94" s="637"/>
      <c r="AO94" s="637"/>
      <c r="AP94" s="637"/>
      <c r="AQ94" s="637"/>
      <c r="AR94" s="637"/>
      <c r="AS94" s="637"/>
      <c r="AT94" s="637"/>
      <c r="AU94" s="637"/>
      <c r="AV94" s="637"/>
      <c r="AZ94" s="630" t="s">
        <v>520</v>
      </c>
      <c r="BA94" s="541" t="s">
        <v>419</v>
      </c>
    </row>
    <row r="95" spans="1:53" s="541" customFormat="1" x14ac:dyDescent="0.25">
      <c r="A95" s="637"/>
      <c r="B95" s="637"/>
      <c r="C95" s="715"/>
      <c r="D95" s="716"/>
      <c r="E95" s="716"/>
      <c r="F95" s="637"/>
      <c r="G95" s="637"/>
      <c r="H95" s="637"/>
      <c r="I95" s="637"/>
      <c r="J95" s="637"/>
      <c r="K95" s="637"/>
      <c r="L95" s="637"/>
      <c r="M95" s="637"/>
      <c r="N95" s="637"/>
      <c r="O95" s="637"/>
      <c r="P95" s="637"/>
      <c r="Q95" s="637"/>
      <c r="R95" s="637"/>
      <c r="S95" s="637"/>
      <c r="T95" s="637"/>
      <c r="U95" s="637"/>
      <c r="V95" s="637"/>
      <c r="W95" s="637"/>
      <c r="X95" s="637"/>
      <c r="Y95" s="637"/>
      <c r="Z95" s="637"/>
      <c r="AA95" s="637"/>
      <c r="AB95" s="637"/>
      <c r="AC95" s="637"/>
      <c r="AD95" s="637"/>
      <c r="AE95" s="637"/>
      <c r="AF95" s="637"/>
      <c r="AG95" s="637"/>
      <c r="AH95" s="637"/>
      <c r="AI95" s="637"/>
      <c r="AJ95" s="637"/>
      <c r="AK95" s="637"/>
      <c r="AL95" s="637"/>
      <c r="AM95" s="637"/>
      <c r="AN95" s="637"/>
      <c r="AO95" s="637"/>
      <c r="AP95" s="637"/>
      <c r="AQ95" s="637"/>
      <c r="AR95" s="637"/>
      <c r="AS95" s="637"/>
      <c r="AT95" s="637"/>
      <c r="AU95" s="637"/>
      <c r="AV95" s="637"/>
      <c r="AY95" s="708" t="s">
        <v>661</v>
      </c>
      <c r="AZ95" s="541" t="s">
        <v>521</v>
      </c>
    </row>
    <row r="96" spans="1:53" s="541" customFormat="1" x14ac:dyDescent="0.25">
      <c r="A96" s="637"/>
      <c r="B96" s="637"/>
      <c r="C96" s="715"/>
      <c r="D96" s="716"/>
      <c r="E96" s="716"/>
      <c r="F96" s="637"/>
      <c r="G96" s="637"/>
      <c r="H96" s="637"/>
      <c r="I96" s="637"/>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7"/>
      <c r="AH96" s="637"/>
      <c r="AI96" s="637"/>
      <c r="AJ96" s="637"/>
      <c r="AK96" s="637"/>
      <c r="AL96" s="637"/>
      <c r="AM96" s="637"/>
      <c r="AN96" s="637"/>
      <c r="AO96" s="637"/>
      <c r="AP96" s="637"/>
      <c r="AQ96" s="637"/>
      <c r="AR96" s="637"/>
      <c r="AS96" s="637"/>
      <c r="AT96" s="637"/>
      <c r="AU96" s="637"/>
      <c r="AV96" s="637"/>
      <c r="AY96" s="708" t="s">
        <v>661</v>
      </c>
      <c r="AZ96" s="541" t="s">
        <v>522</v>
      </c>
    </row>
    <row r="97" spans="1:59" s="541" customFormat="1" x14ac:dyDescent="0.25">
      <c r="A97" s="637"/>
      <c r="B97" s="637"/>
      <c r="C97" s="715"/>
      <c r="D97" s="716"/>
      <c r="E97" s="716"/>
      <c r="F97" s="637"/>
      <c r="G97" s="637"/>
      <c r="H97" s="637"/>
      <c r="I97" s="637"/>
      <c r="J97" s="637"/>
      <c r="K97" s="637"/>
      <c r="L97" s="637"/>
      <c r="M97" s="637"/>
      <c r="N97" s="637"/>
      <c r="O97" s="637"/>
      <c r="P97" s="637"/>
      <c r="Q97" s="637"/>
      <c r="R97" s="637"/>
      <c r="S97" s="637"/>
      <c r="T97" s="637"/>
      <c r="U97" s="637"/>
      <c r="V97" s="637"/>
      <c r="W97" s="637"/>
      <c r="X97" s="637"/>
      <c r="Y97" s="637"/>
      <c r="Z97" s="637"/>
      <c r="AA97" s="637"/>
      <c r="AB97" s="637"/>
      <c r="AC97" s="637"/>
      <c r="AD97" s="637"/>
      <c r="AE97" s="637"/>
      <c r="AF97" s="637"/>
      <c r="AG97" s="637"/>
      <c r="AH97" s="637"/>
      <c r="AI97" s="637"/>
      <c r="AJ97" s="637"/>
      <c r="AK97" s="637"/>
      <c r="AL97" s="637"/>
      <c r="AM97" s="637"/>
      <c r="AN97" s="637"/>
      <c r="AO97" s="637"/>
      <c r="AP97" s="637"/>
      <c r="AQ97" s="637"/>
      <c r="AR97" s="637"/>
      <c r="AS97" s="637"/>
      <c r="AT97" s="637"/>
      <c r="AU97" s="637"/>
      <c r="AV97" s="637"/>
    </row>
    <row r="98" spans="1:59" s="541" customFormat="1" x14ac:dyDescent="0.25">
      <c r="A98" s="637"/>
      <c r="B98" s="637"/>
      <c r="C98" s="715"/>
      <c r="D98" s="716"/>
      <c r="E98" s="716"/>
      <c r="F98" s="637"/>
      <c r="G98" s="637"/>
      <c r="H98" s="637"/>
      <c r="I98" s="637"/>
      <c r="J98" s="637"/>
      <c r="K98" s="637"/>
      <c r="L98" s="637"/>
      <c r="M98" s="637"/>
      <c r="N98" s="637"/>
      <c r="O98" s="637"/>
      <c r="P98" s="637"/>
      <c r="Q98" s="637"/>
      <c r="R98" s="637"/>
      <c r="S98" s="637"/>
      <c r="T98" s="637"/>
      <c r="U98" s="637"/>
      <c r="V98" s="637"/>
      <c r="W98" s="637"/>
      <c r="X98" s="637"/>
      <c r="Y98" s="637"/>
      <c r="Z98" s="637"/>
      <c r="AA98" s="637"/>
      <c r="AB98" s="637"/>
      <c r="AC98" s="637"/>
      <c r="AD98" s="637"/>
      <c r="AE98" s="637"/>
      <c r="AF98" s="637"/>
      <c r="AG98" s="637"/>
      <c r="AH98" s="637"/>
      <c r="AI98" s="637"/>
      <c r="AJ98" s="637"/>
      <c r="AK98" s="637"/>
      <c r="AL98" s="637"/>
      <c r="AM98" s="637"/>
      <c r="AN98" s="637"/>
      <c r="AO98" s="637"/>
      <c r="AP98" s="637"/>
      <c r="AQ98" s="637"/>
      <c r="AR98" s="637"/>
      <c r="AS98" s="637"/>
      <c r="AT98" s="637"/>
      <c r="AU98" s="637"/>
      <c r="AV98" s="637"/>
    </row>
    <row r="99" spans="1:59" s="541" customFormat="1" x14ac:dyDescent="0.25">
      <c r="A99" s="637"/>
      <c r="B99" s="637"/>
      <c r="C99" s="715"/>
      <c r="D99" s="716"/>
      <c r="E99" s="716"/>
      <c r="F99" s="637"/>
      <c r="G99" s="637"/>
      <c r="H99" s="637"/>
      <c r="I99" s="637"/>
      <c r="J99" s="637"/>
      <c r="K99" s="637"/>
      <c r="L99" s="637"/>
      <c r="M99" s="637"/>
      <c r="N99" s="637"/>
      <c r="O99" s="637"/>
      <c r="P99" s="637"/>
      <c r="Q99" s="637"/>
      <c r="R99" s="637"/>
      <c r="S99" s="637"/>
      <c r="T99" s="637"/>
      <c r="U99" s="637"/>
      <c r="V99" s="637"/>
      <c r="W99" s="637"/>
      <c r="X99" s="637"/>
      <c r="Y99" s="637"/>
      <c r="Z99" s="637"/>
      <c r="AA99" s="637"/>
      <c r="AB99" s="637"/>
      <c r="AC99" s="637"/>
      <c r="AD99" s="637"/>
      <c r="AE99" s="637"/>
      <c r="AF99" s="637"/>
      <c r="AG99" s="637"/>
      <c r="AH99" s="637"/>
      <c r="AI99" s="637"/>
      <c r="AJ99" s="637"/>
      <c r="AK99" s="637"/>
      <c r="AL99" s="637"/>
      <c r="AM99" s="637"/>
      <c r="AN99" s="637"/>
      <c r="AO99" s="637"/>
      <c r="AP99" s="637"/>
      <c r="AQ99" s="637"/>
      <c r="AR99" s="637"/>
      <c r="AS99" s="637"/>
      <c r="AT99" s="637"/>
      <c r="AU99" s="637"/>
      <c r="AV99" s="637"/>
    </row>
    <row r="100" spans="1:59" s="541" customFormat="1" x14ac:dyDescent="0.25">
      <c r="A100" s="637"/>
      <c r="B100" s="637"/>
      <c r="C100" s="715"/>
      <c r="D100" s="716"/>
      <c r="E100" s="716"/>
      <c r="F100" s="637"/>
      <c r="G100" s="637"/>
      <c r="H100" s="637"/>
      <c r="I100" s="637"/>
      <c r="J100" s="637"/>
      <c r="K100" s="637"/>
      <c r="L100" s="637"/>
      <c r="M100" s="637"/>
      <c r="N100" s="637"/>
      <c r="O100" s="637"/>
      <c r="P100" s="637"/>
      <c r="Q100" s="637"/>
      <c r="R100" s="637"/>
      <c r="S100" s="637"/>
      <c r="T100" s="637"/>
      <c r="U100" s="637"/>
      <c r="V100" s="637"/>
      <c r="W100" s="637"/>
      <c r="X100" s="637"/>
      <c r="Y100" s="637"/>
      <c r="Z100" s="637"/>
      <c r="AA100" s="637"/>
      <c r="AB100" s="637"/>
      <c r="AC100" s="637"/>
      <c r="AD100" s="637"/>
      <c r="AE100" s="637"/>
      <c r="AF100" s="637"/>
      <c r="AG100" s="637"/>
      <c r="AH100" s="637"/>
      <c r="AI100" s="637"/>
      <c r="AJ100" s="637"/>
      <c r="AK100" s="637"/>
      <c r="AL100" s="637"/>
      <c r="AM100" s="637"/>
      <c r="AN100" s="637"/>
      <c r="AO100" s="637"/>
      <c r="AP100" s="637"/>
      <c r="AQ100" s="637"/>
      <c r="AR100" s="637"/>
      <c r="AS100" s="637"/>
      <c r="AT100" s="637"/>
      <c r="AU100" s="637"/>
      <c r="AV100" s="637"/>
    </row>
    <row r="101" spans="1:59" s="541" customFormat="1" x14ac:dyDescent="0.25">
      <c r="A101" s="637"/>
      <c r="B101" s="637"/>
      <c r="C101" s="715"/>
      <c r="D101" s="716"/>
      <c r="E101" s="716"/>
      <c r="F101" s="637"/>
      <c r="G101" s="637"/>
      <c r="H101" s="637"/>
      <c r="I101" s="637"/>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7"/>
      <c r="AH101" s="637"/>
      <c r="AI101" s="637"/>
      <c r="AJ101" s="637"/>
      <c r="AK101" s="637"/>
      <c r="AL101" s="637"/>
      <c r="AM101" s="637"/>
      <c r="AN101" s="637"/>
      <c r="AO101" s="637"/>
      <c r="AP101" s="637"/>
      <c r="AQ101" s="637"/>
      <c r="AR101" s="637"/>
      <c r="AS101" s="637"/>
      <c r="AT101" s="637"/>
      <c r="AU101" s="637"/>
      <c r="AV101" s="637"/>
      <c r="AZ101" s="630" t="s">
        <v>744</v>
      </c>
      <c r="BA101" s="630"/>
      <c r="BB101" s="630" t="s">
        <v>745</v>
      </c>
      <c r="BG101" s="541" t="s">
        <v>513</v>
      </c>
    </row>
    <row r="102" spans="1:59" s="541" customFormat="1" x14ac:dyDescent="0.25">
      <c r="A102" s="637"/>
      <c r="B102" s="637"/>
      <c r="C102" s="715"/>
      <c r="D102" s="716"/>
      <c r="E102" s="716"/>
      <c r="F102" s="637"/>
      <c r="G102" s="637"/>
      <c r="H102" s="637"/>
      <c r="I102" s="637"/>
      <c r="J102" s="637"/>
      <c r="K102" s="637"/>
      <c r="L102" s="637"/>
      <c r="M102" s="637"/>
      <c r="N102" s="637"/>
      <c r="O102" s="637"/>
      <c r="P102" s="637"/>
      <c r="Q102" s="637"/>
      <c r="R102" s="637"/>
      <c r="S102" s="637"/>
      <c r="T102" s="637"/>
      <c r="U102" s="637"/>
      <c r="V102" s="637"/>
      <c r="W102" s="637"/>
      <c r="X102" s="637"/>
      <c r="Y102" s="637"/>
      <c r="Z102" s="637"/>
      <c r="AA102" s="637"/>
      <c r="AB102" s="637"/>
      <c r="AC102" s="637"/>
      <c r="AD102" s="637"/>
      <c r="AE102" s="637"/>
      <c r="AF102" s="637"/>
      <c r="AG102" s="637"/>
      <c r="AH102" s="637"/>
      <c r="AI102" s="637"/>
      <c r="AJ102" s="637"/>
      <c r="AK102" s="637"/>
      <c r="AL102" s="637"/>
      <c r="AM102" s="637"/>
      <c r="AN102" s="637"/>
      <c r="AO102" s="637"/>
      <c r="AP102" s="637"/>
      <c r="AQ102" s="637"/>
      <c r="AR102" s="637"/>
      <c r="AS102" s="637"/>
      <c r="AT102" s="637"/>
      <c r="AU102" s="637"/>
      <c r="AV102" s="637"/>
      <c r="AZ102" s="709" t="s">
        <v>508</v>
      </c>
      <c r="BA102" s="709" t="s">
        <v>509</v>
      </c>
      <c r="BB102" s="709" t="s">
        <v>648</v>
      </c>
    </row>
    <row r="103" spans="1:59" s="541" customFormat="1" x14ac:dyDescent="0.25">
      <c r="A103" s="637"/>
      <c r="B103" s="637"/>
      <c r="C103" s="715"/>
      <c r="D103" s="716"/>
      <c r="E103" s="716"/>
      <c r="F103" s="637"/>
      <c r="G103" s="637"/>
      <c r="H103" s="637"/>
      <c r="I103" s="637"/>
      <c r="J103" s="637"/>
      <c r="K103" s="637"/>
      <c r="L103" s="637"/>
      <c r="M103" s="637"/>
      <c r="N103" s="637"/>
      <c r="O103" s="637"/>
      <c r="P103" s="637"/>
      <c r="Q103" s="637"/>
      <c r="R103" s="637"/>
      <c r="S103" s="637"/>
      <c r="T103" s="637"/>
      <c r="U103" s="637"/>
      <c r="V103" s="637"/>
      <c r="W103" s="637"/>
      <c r="X103" s="637"/>
      <c r="Y103" s="637"/>
      <c r="Z103" s="637"/>
      <c r="AA103" s="637"/>
      <c r="AB103" s="637"/>
      <c r="AC103" s="637"/>
      <c r="AD103" s="637"/>
      <c r="AE103" s="637"/>
      <c r="AF103" s="637"/>
      <c r="AG103" s="637"/>
      <c r="AH103" s="637"/>
      <c r="AI103" s="637"/>
      <c r="AJ103" s="637"/>
      <c r="AK103" s="637"/>
      <c r="AL103" s="637"/>
      <c r="AM103" s="637"/>
      <c r="AN103" s="637"/>
      <c r="AO103" s="637"/>
      <c r="AP103" s="637"/>
      <c r="AQ103" s="637"/>
      <c r="AR103" s="637"/>
      <c r="AS103" s="637"/>
      <c r="AT103" s="637"/>
      <c r="AU103" s="637"/>
      <c r="AV103" s="637"/>
      <c r="AZ103" s="709" t="s">
        <v>510</v>
      </c>
      <c r="BA103" s="709" t="s">
        <v>511</v>
      </c>
      <c r="BB103" s="709" t="s">
        <v>512</v>
      </c>
    </row>
    <row r="104" spans="1:59" s="541" customFormat="1" x14ac:dyDescent="0.25">
      <c r="A104" s="637"/>
      <c r="B104" s="637"/>
      <c r="C104" s="715"/>
      <c r="D104" s="716"/>
      <c r="E104" s="716"/>
      <c r="F104" s="637"/>
      <c r="G104" s="637"/>
      <c r="H104" s="637"/>
      <c r="I104" s="637"/>
      <c r="J104" s="637"/>
      <c r="K104" s="637"/>
      <c r="L104" s="637"/>
      <c r="M104" s="637"/>
      <c r="N104" s="637"/>
      <c r="O104" s="637"/>
      <c r="P104" s="637"/>
      <c r="Q104" s="637"/>
      <c r="R104" s="637"/>
      <c r="S104" s="637"/>
      <c r="T104" s="637"/>
      <c r="U104" s="637"/>
      <c r="V104" s="637"/>
      <c r="W104" s="637"/>
      <c r="X104" s="637"/>
      <c r="Y104" s="637"/>
      <c r="Z104" s="637"/>
      <c r="AA104" s="637"/>
      <c r="AB104" s="637"/>
      <c r="AC104" s="637"/>
      <c r="AD104" s="637"/>
      <c r="AE104" s="637"/>
      <c r="AF104" s="637"/>
      <c r="AG104" s="637"/>
      <c r="AH104" s="637"/>
      <c r="AI104" s="637"/>
      <c r="AJ104" s="637"/>
      <c r="AK104" s="637"/>
      <c r="AL104" s="637"/>
      <c r="AM104" s="637"/>
      <c r="AN104" s="637"/>
      <c r="AO104" s="637"/>
      <c r="AP104" s="637"/>
      <c r="AQ104" s="637"/>
      <c r="AR104" s="637"/>
      <c r="AS104" s="637"/>
      <c r="AT104" s="637"/>
      <c r="AU104" s="637"/>
      <c r="AV104" s="637"/>
      <c r="AZ104" s="709" t="s">
        <v>515</v>
      </c>
      <c r="BA104" s="709" t="s">
        <v>509</v>
      </c>
      <c r="BB104" s="709" t="s">
        <v>516</v>
      </c>
    </row>
    <row r="105" spans="1:59" s="541" customFormat="1" x14ac:dyDescent="0.25">
      <c r="A105" s="637"/>
      <c r="B105" s="637"/>
      <c r="C105" s="715"/>
      <c r="D105" s="716"/>
      <c r="E105" s="716"/>
      <c r="F105" s="637"/>
      <c r="G105" s="637"/>
      <c r="H105" s="637"/>
      <c r="I105" s="637"/>
      <c r="J105" s="637"/>
      <c r="K105" s="637"/>
      <c r="L105" s="637"/>
      <c r="M105" s="637"/>
      <c r="N105" s="637"/>
      <c r="O105" s="637"/>
      <c r="P105" s="637"/>
      <c r="Q105" s="637"/>
      <c r="R105" s="637"/>
      <c r="S105" s="637"/>
      <c r="T105" s="637"/>
      <c r="U105" s="637"/>
      <c r="V105" s="637"/>
      <c r="W105" s="637"/>
      <c r="X105" s="637"/>
      <c r="Y105" s="637"/>
      <c r="Z105" s="637"/>
      <c r="AA105" s="637"/>
      <c r="AB105" s="637"/>
      <c r="AC105" s="637"/>
      <c r="AD105" s="637"/>
      <c r="AE105" s="637"/>
      <c r="AF105" s="637"/>
      <c r="AG105" s="637"/>
      <c r="AH105" s="637"/>
      <c r="AI105" s="637"/>
      <c r="AJ105" s="637"/>
      <c r="AK105" s="637"/>
      <c r="AL105" s="637"/>
      <c r="AM105" s="637"/>
      <c r="AN105" s="637"/>
      <c r="AO105" s="637"/>
      <c r="AP105" s="637"/>
      <c r="AQ105" s="637"/>
      <c r="AR105" s="637"/>
      <c r="AS105" s="637"/>
      <c r="AT105" s="637"/>
      <c r="AU105" s="637"/>
      <c r="AV105" s="637"/>
      <c r="AZ105" s="709" t="s">
        <v>517</v>
      </c>
      <c r="BA105" s="709" t="s">
        <v>518</v>
      </c>
      <c r="BB105" s="709" t="s">
        <v>519</v>
      </c>
    </row>
    <row r="106" spans="1:59" s="541" customFormat="1" x14ac:dyDescent="0.25">
      <c r="A106" s="637"/>
      <c r="B106" s="637"/>
      <c r="C106" s="715"/>
      <c r="D106" s="716"/>
      <c r="E106" s="716"/>
      <c r="F106" s="637"/>
      <c r="G106" s="637"/>
      <c r="H106" s="637"/>
      <c r="I106" s="637"/>
      <c r="J106" s="637"/>
      <c r="K106" s="637"/>
      <c r="L106" s="637"/>
      <c r="M106" s="637"/>
      <c r="N106" s="637"/>
      <c r="O106" s="637"/>
      <c r="P106" s="637"/>
      <c r="Q106" s="637"/>
      <c r="R106" s="637"/>
      <c r="S106" s="637"/>
      <c r="T106" s="637"/>
      <c r="U106" s="637"/>
      <c r="V106" s="637"/>
      <c r="W106" s="637"/>
      <c r="X106" s="637"/>
      <c r="Y106" s="637"/>
      <c r="Z106" s="637"/>
      <c r="AA106" s="637"/>
      <c r="AB106" s="637"/>
      <c r="AC106" s="637"/>
      <c r="AD106" s="637"/>
      <c r="AE106" s="637"/>
      <c r="AF106" s="637"/>
      <c r="AG106" s="637"/>
      <c r="AH106" s="637"/>
      <c r="AI106" s="637"/>
      <c r="AJ106" s="637"/>
      <c r="AK106" s="637"/>
      <c r="AL106" s="637"/>
      <c r="AM106" s="637"/>
      <c r="AN106" s="637"/>
      <c r="AO106" s="637"/>
      <c r="AP106" s="637"/>
      <c r="AQ106" s="637"/>
      <c r="AR106" s="637"/>
      <c r="AS106" s="637"/>
      <c r="AT106" s="637"/>
      <c r="AU106" s="637"/>
      <c r="AV106" s="637"/>
    </row>
    <row r="107" spans="1:59" s="541" customFormat="1" x14ac:dyDescent="0.25">
      <c r="A107" s="637"/>
      <c r="B107" s="637"/>
      <c r="C107" s="715"/>
      <c r="D107" s="716"/>
      <c r="E107" s="716"/>
      <c r="F107" s="637"/>
      <c r="G107" s="637"/>
      <c r="H107" s="637"/>
      <c r="I107" s="637"/>
      <c r="J107" s="637"/>
      <c r="K107" s="637"/>
      <c r="L107" s="637"/>
      <c r="M107" s="637"/>
      <c r="N107" s="637"/>
      <c r="O107" s="637"/>
      <c r="P107" s="637"/>
      <c r="Q107" s="637"/>
      <c r="R107" s="637"/>
      <c r="S107" s="637"/>
      <c r="T107" s="637"/>
      <c r="U107" s="637"/>
      <c r="V107" s="637"/>
      <c r="W107" s="637"/>
      <c r="X107" s="637"/>
      <c r="Y107" s="637"/>
      <c r="Z107" s="637"/>
      <c r="AA107" s="637"/>
      <c r="AB107" s="637"/>
      <c r="AC107" s="637"/>
      <c r="AD107" s="637"/>
      <c r="AE107" s="637"/>
      <c r="AF107" s="637"/>
      <c r="AG107" s="637"/>
      <c r="AH107" s="637"/>
      <c r="AI107" s="637"/>
      <c r="AJ107" s="637"/>
      <c r="AK107" s="637"/>
      <c r="AL107" s="637"/>
      <c r="AM107" s="637"/>
      <c r="AN107" s="637"/>
      <c r="AO107" s="637"/>
      <c r="AP107" s="637"/>
      <c r="AQ107" s="637"/>
      <c r="AR107" s="637"/>
      <c r="AS107" s="637"/>
      <c r="AT107" s="637"/>
      <c r="AU107" s="637"/>
      <c r="AV107" s="637"/>
    </row>
    <row r="108" spans="1:59" s="541" customFormat="1" x14ac:dyDescent="0.25">
      <c r="A108" s="637"/>
      <c r="B108" s="637"/>
      <c r="C108" s="715"/>
      <c r="D108" s="716"/>
      <c r="E108" s="716"/>
      <c r="F108" s="637"/>
      <c r="G108" s="637"/>
      <c r="H108" s="637"/>
      <c r="I108" s="637"/>
      <c r="J108" s="637"/>
      <c r="K108" s="637"/>
      <c r="L108" s="637"/>
      <c r="M108" s="637"/>
      <c r="N108" s="637"/>
      <c r="O108" s="637"/>
      <c r="P108" s="637"/>
      <c r="Q108" s="637"/>
      <c r="R108" s="637"/>
      <c r="S108" s="637"/>
      <c r="T108" s="637"/>
      <c r="U108" s="637"/>
      <c r="V108" s="637"/>
      <c r="W108" s="637"/>
      <c r="X108" s="637"/>
      <c r="Y108" s="637"/>
      <c r="Z108" s="637"/>
      <c r="AA108" s="637"/>
      <c r="AB108" s="637"/>
      <c r="AC108" s="637"/>
      <c r="AD108" s="637"/>
      <c r="AE108" s="637"/>
      <c r="AF108" s="637"/>
      <c r="AG108" s="637"/>
      <c r="AH108" s="637"/>
      <c r="AI108" s="637"/>
      <c r="AJ108" s="637"/>
      <c r="AK108" s="637"/>
      <c r="AL108" s="637"/>
      <c r="AM108" s="637"/>
      <c r="AN108" s="637"/>
      <c r="AO108" s="637"/>
      <c r="AP108" s="637"/>
      <c r="AQ108" s="637"/>
      <c r="AR108" s="637"/>
      <c r="AS108" s="637"/>
      <c r="AT108" s="637"/>
      <c r="AU108" s="637"/>
      <c r="AV108" s="637"/>
    </row>
    <row r="109" spans="1:59" s="541" customFormat="1" x14ac:dyDescent="0.25">
      <c r="A109" s="637"/>
      <c r="B109" s="637"/>
      <c r="C109" s="715"/>
      <c r="D109" s="716"/>
      <c r="E109" s="716"/>
      <c r="F109" s="637"/>
      <c r="G109" s="637"/>
      <c r="H109" s="637"/>
      <c r="I109" s="637"/>
      <c r="J109" s="637"/>
      <c r="K109" s="637"/>
      <c r="L109" s="637"/>
      <c r="M109" s="637"/>
      <c r="N109" s="637"/>
      <c r="O109" s="637"/>
      <c r="P109" s="637"/>
      <c r="Q109" s="637"/>
      <c r="R109" s="637"/>
      <c r="S109" s="637"/>
      <c r="T109" s="637"/>
      <c r="U109" s="637"/>
      <c r="V109" s="637"/>
      <c r="W109" s="637"/>
      <c r="X109" s="637"/>
      <c r="Y109" s="637"/>
      <c r="Z109" s="637"/>
      <c r="AA109" s="637"/>
      <c r="AB109" s="637"/>
      <c r="AC109" s="637"/>
      <c r="AD109" s="637"/>
      <c r="AE109" s="637"/>
      <c r="AF109" s="637"/>
      <c r="AG109" s="637"/>
      <c r="AH109" s="637"/>
      <c r="AI109" s="637"/>
      <c r="AJ109" s="637"/>
      <c r="AK109" s="637"/>
      <c r="AL109" s="637"/>
      <c r="AM109" s="637"/>
      <c r="AN109" s="637"/>
      <c r="AO109" s="637"/>
      <c r="AP109" s="637"/>
      <c r="AQ109" s="637"/>
      <c r="AR109" s="637"/>
      <c r="AS109" s="637"/>
      <c r="AT109" s="637"/>
      <c r="AU109" s="637"/>
      <c r="AV109" s="637"/>
    </row>
    <row r="110" spans="1:59" s="541" customFormat="1" x14ac:dyDescent="0.25">
      <c r="A110" s="637"/>
      <c r="B110" s="637"/>
      <c r="C110" s="715"/>
      <c r="D110" s="716"/>
      <c r="E110" s="716"/>
      <c r="F110" s="637"/>
      <c r="G110" s="637"/>
      <c r="H110" s="637"/>
      <c r="I110" s="637"/>
      <c r="J110" s="637"/>
      <c r="K110" s="637"/>
      <c r="L110" s="637"/>
      <c r="M110" s="637"/>
      <c r="N110" s="637"/>
      <c r="O110" s="637"/>
      <c r="P110" s="637"/>
      <c r="Q110" s="637"/>
      <c r="R110" s="637"/>
      <c r="S110" s="637"/>
      <c r="T110" s="637"/>
      <c r="U110" s="637"/>
      <c r="V110" s="637"/>
      <c r="W110" s="637"/>
      <c r="X110" s="637"/>
      <c r="Y110" s="637"/>
      <c r="Z110" s="637"/>
      <c r="AA110" s="637"/>
      <c r="AB110" s="637"/>
      <c r="AC110" s="637"/>
      <c r="AD110" s="637"/>
      <c r="AE110" s="637"/>
      <c r="AF110" s="637"/>
      <c r="AG110" s="637"/>
      <c r="AH110" s="637"/>
      <c r="AI110" s="637"/>
      <c r="AJ110" s="637"/>
      <c r="AK110" s="637"/>
      <c r="AL110" s="637"/>
      <c r="AM110" s="637"/>
      <c r="AN110" s="637"/>
      <c r="AO110" s="637"/>
      <c r="AP110" s="637"/>
      <c r="AQ110" s="637"/>
      <c r="AR110" s="637"/>
      <c r="AS110" s="637"/>
      <c r="AT110" s="637"/>
      <c r="AU110" s="637"/>
      <c r="AV110" s="637"/>
      <c r="AZ110" s="709" t="s">
        <v>523</v>
      </c>
      <c r="BA110" s="709" t="s">
        <v>83</v>
      </c>
      <c r="BB110" s="709" t="s">
        <v>524</v>
      </c>
    </row>
    <row r="111" spans="1:59" s="541" customFormat="1" x14ac:dyDescent="0.25">
      <c r="A111" s="637"/>
      <c r="B111" s="637"/>
      <c r="C111" s="715"/>
      <c r="D111" s="716"/>
      <c r="E111" s="716"/>
      <c r="F111" s="637"/>
      <c r="G111" s="637"/>
      <c r="H111" s="637"/>
      <c r="I111" s="637"/>
      <c r="J111" s="637"/>
      <c r="K111" s="637"/>
      <c r="L111" s="637"/>
      <c r="M111" s="637"/>
      <c r="N111" s="637"/>
      <c r="O111" s="637"/>
      <c r="P111" s="637"/>
      <c r="Q111" s="637"/>
      <c r="R111" s="637"/>
      <c r="S111" s="637"/>
      <c r="T111" s="637"/>
      <c r="U111" s="637"/>
      <c r="V111" s="637"/>
      <c r="W111" s="637"/>
      <c r="X111" s="637"/>
      <c r="Y111" s="637"/>
      <c r="Z111" s="637"/>
      <c r="AA111" s="637"/>
      <c r="AB111" s="637"/>
      <c r="AC111" s="637"/>
      <c r="AD111" s="637"/>
      <c r="AE111" s="637"/>
      <c r="AF111" s="637"/>
      <c r="AG111" s="637"/>
      <c r="AH111" s="637"/>
      <c r="AI111" s="637"/>
      <c r="AJ111" s="637"/>
      <c r="AK111" s="637"/>
      <c r="AL111" s="637"/>
      <c r="AM111" s="637"/>
      <c r="AN111" s="637"/>
      <c r="AO111" s="637"/>
      <c r="AP111" s="637"/>
      <c r="AQ111" s="637"/>
      <c r="AR111" s="637"/>
      <c r="AS111" s="637"/>
      <c r="AT111" s="637"/>
      <c r="AU111" s="637"/>
      <c r="AV111" s="637"/>
      <c r="AZ111" s="709" t="s">
        <v>527</v>
      </c>
      <c r="BA111" s="709" t="s">
        <v>186</v>
      </c>
    </row>
    <row r="112" spans="1:59" s="541" customFormat="1" x14ac:dyDescent="0.25">
      <c r="A112" s="637"/>
      <c r="B112" s="637"/>
      <c r="C112" s="715"/>
      <c r="D112" s="716"/>
      <c r="E112" s="716"/>
      <c r="F112" s="637"/>
      <c r="G112" s="637"/>
      <c r="H112" s="637"/>
      <c r="I112" s="637"/>
      <c r="J112" s="637"/>
      <c r="K112" s="637"/>
      <c r="L112" s="637"/>
      <c r="M112" s="637"/>
      <c r="N112" s="637"/>
      <c r="O112" s="637"/>
      <c r="P112" s="637"/>
      <c r="Q112" s="637"/>
      <c r="R112" s="637"/>
      <c r="S112" s="637"/>
      <c r="T112" s="637"/>
      <c r="U112" s="637"/>
      <c r="V112" s="637"/>
      <c r="W112" s="637"/>
      <c r="X112" s="637"/>
      <c r="Y112" s="637"/>
      <c r="Z112" s="637"/>
      <c r="AA112" s="637"/>
      <c r="AB112" s="637"/>
      <c r="AC112" s="637"/>
      <c r="AD112" s="637"/>
      <c r="AE112" s="637"/>
      <c r="AF112" s="637"/>
      <c r="AG112" s="637"/>
      <c r="AH112" s="637"/>
      <c r="AI112" s="637"/>
      <c r="AJ112" s="637"/>
      <c r="AK112" s="637"/>
      <c r="AL112" s="637"/>
      <c r="AM112" s="637"/>
      <c r="AN112" s="637"/>
      <c r="AO112" s="637"/>
      <c r="AP112" s="637"/>
      <c r="AQ112" s="637"/>
      <c r="AR112" s="637"/>
      <c r="AS112" s="637"/>
      <c r="AT112" s="637"/>
      <c r="AU112" s="637"/>
      <c r="AV112" s="637"/>
      <c r="AZ112" s="709" t="s">
        <v>528</v>
      </c>
      <c r="BA112" s="709" t="s">
        <v>185</v>
      </c>
    </row>
    <row r="113" spans="1:55" s="541" customFormat="1" x14ac:dyDescent="0.25">
      <c r="A113" s="637"/>
      <c r="B113" s="637"/>
      <c r="C113" s="715"/>
      <c r="D113" s="716"/>
      <c r="E113" s="716"/>
      <c r="F113" s="637"/>
      <c r="G113" s="637"/>
      <c r="H113" s="637"/>
      <c r="I113" s="637"/>
      <c r="J113" s="637"/>
      <c r="K113" s="637"/>
      <c r="L113" s="637"/>
      <c r="M113" s="637"/>
      <c r="N113" s="637"/>
      <c r="O113" s="637"/>
      <c r="P113" s="637"/>
      <c r="Q113" s="637"/>
      <c r="R113" s="637"/>
      <c r="S113" s="637"/>
      <c r="T113" s="637"/>
      <c r="U113" s="637"/>
      <c r="V113" s="637"/>
      <c r="W113" s="637"/>
      <c r="X113" s="637"/>
      <c r="Y113" s="637"/>
      <c r="Z113" s="637"/>
      <c r="AA113" s="637"/>
      <c r="AB113" s="637"/>
      <c r="AC113" s="637"/>
      <c r="AD113" s="637"/>
      <c r="AE113" s="637"/>
      <c r="AF113" s="637"/>
      <c r="AG113" s="637"/>
      <c r="AH113" s="637"/>
      <c r="AI113" s="637"/>
      <c r="AJ113" s="637"/>
      <c r="AK113" s="637"/>
      <c r="AL113" s="637"/>
      <c r="AM113" s="637"/>
      <c r="AN113" s="637"/>
      <c r="AO113" s="637"/>
      <c r="AP113" s="637"/>
      <c r="AQ113" s="637"/>
      <c r="AR113" s="637"/>
      <c r="AS113" s="637"/>
      <c r="AT113" s="637"/>
      <c r="AU113" s="637"/>
      <c r="AV113" s="637"/>
      <c r="AZ113" s="709" t="s">
        <v>530</v>
      </c>
      <c r="BA113" s="709" t="s">
        <v>531</v>
      </c>
      <c r="BB113" s="709" t="s">
        <v>532</v>
      </c>
    </row>
    <row r="114" spans="1:55" s="541" customFormat="1" x14ac:dyDescent="0.25">
      <c r="A114" s="637"/>
      <c r="B114" s="637"/>
      <c r="C114" s="715"/>
      <c r="D114" s="716"/>
      <c r="E114" s="716"/>
      <c r="F114" s="637"/>
      <c r="G114" s="637"/>
      <c r="H114" s="637"/>
      <c r="I114" s="637"/>
      <c r="J114" s="637"/>
      <c r="K114" s="637"/>
      <c r="L114" s="637"/>
      <c r="M114" s="637"/>
      <c r="N114" s="637"/>
      <c r="O114" s="637"/>
      <c r="P114" s="637"/>
      <c r="Q114" s="637"/>
      <c r="R114" s="637"/>
      <c r="S114" s="637"/>
      <c r="T114" s="637"/>
      <c r="U114" s="637"/>
      <c r="V114" s="637"/>
      <c r="W114" s="637"/>
      <c r="X114" s="637"/>
      <c r="Y114" s="637"/>
      <c r="Z114" s="637"/>
      <c r="AA114" s="637"/>
      <c r="AB114" s="637"/>
      <c r="AC114" s="637"/>
      <c r="AD114" s="637"/>
      <c r="AE114" s="637"/>
      <c r="AF114" s="637"/>
      <c r="AG114" s="637"/>
      <c r="AH114" s="637"/>
      <c r="AI114" s="637"/>
      <c r="AJ114" s="637"/>
      <c r="AK114" s="637"/>
      <c r="AL114" s="637"/>
      <c r="AM114" s="637"/>
      <c r="AN114" s="637"/>
      <c r="AO114" s="637"/>
      <c r="AP114" s="637"/>
      <c r="AQ114" s="637"/>
      <c r="AR114" s="637"/>
      <c r="AS114" s="637"/>
      <c r="AT114" s="637"/>
      <c r="AU114" s="637"/>
      <c r="AV114" s="637"/>
      <c r="AZ114" s="709" t="s">
        <v>533</v>
      </c>
      <c r="BA114" s="709" t="s">
        <v>534</v>
      </c>
      <c r="BB114" s="709" t="s">
        <v>535</v>
      </c>
    </row>
    <row r="115" spans="1:55" s="541" customFormat="1" x14ac:dyDescent="0.25">
      <c r="A115" s="637"/>
      <c r="B115" s="637"/>
      <c r="C115" s="715"/>
      <c r="D115" s="716"/>
      <c r="E115" s="716"/>
      <c r="F115" s="637"/>
      <c r="G115" s="637"/>
      <c r="H115" s="637"/>
      <c r="I115" s="637"/>
      <c r="J115" s="637"/>
      <c r="K115" s="637"/>
      <c r="L115" s="637"/>
      <c r="M115" s="637"/>
      <c r="N115" s="637"/>
      <c r="O115" s="637"/>
      <c r="P115" s="637"/>
      <c r="Q115" s="637"/>
      <c r="R115" s="637"/>
      <c r="S115" s="637"/>
      <c r="T115" s="637"/>
      <c r="U115" s="637"/>
      <c r="V115" s="637"/>
      <c r="W115" s="637"/>
      <c r="X115" s="637"/>
      <c r="Y115" s="637"/>
      <c r="Z115" s="637"/>
      <c r="AA115" s="637"/>
      <c r="AB115" s="637"/>
      <c r="AC115" s="637"/>
      <c r="AD115" s="637"/>
      <c r="AE115" s="637"/>
      <c r="AF115" s="637"/>
      <c r="AG115" s="637"/>
      <c r="AH115" s="637"/>
      <c r="AI115" s="637"/>
      <c r="AJ115" s="637"/>
      <c r="AK115" s="637"/>
      <c r="AL115" s="637"/>
      <c r="AM115" s="637"/>
      <c r="AN115" s="637"/>
      <c r="AO115" s="637"/>
      <c r="AP115" s="637"/>
      <c r="AQ115" s="637"/>
      <c r="AR115" s="637"/>
      <c r="AS115" s="637"/>
      <c r="AT115" s="637"/>
      <c r="AU115" s="637"/>
      <c r="AV115" s="637"/>
      <c r="AZ115" s="709" t="s">
        <v>633</v>
      </c>
      <c r="BA115" s="709" t="s">
        <v>536</v>
      </c>
      <c r="BB115" s="709" t="s">
        <v>537</v>
      </c>
    </row>
    <row r="116" spans="1:55" s="541" customFormat="1" x14ac:dyDescent="0.25">
      <c r="A116" s="637"/>
      <c r="B116" s="637"/>
      <c r="C116" s="715"/>
      <c r="D116" s="716"/>
      <c r="E116" s="716"/>
      <c r="F116" s="637"/>
      <c r="G116" s="637"/>
      <c r="H116" s="637"/>
      <c r="I116" s="637"/>
      <c r="J116" s="637"/>
      <c r="K116" s="637"/>
      <c r="L116" s="637"/>
      <c r="M116" s="637"/>
      <c r="N116" s="637"/>
      <c r="O116" s="637"/>
      <c r="P116" s="637"/>
      <c r="Q116" s="637"/>
      <c r="R116" s="637"/>
      <c r="S116" s="637"/>
      <c r="T116" s="637"/>
      <c r="U116" s="637"/>
      <c r="V116" s="637"/>
      <c r="W116" s="637"/>
      <c r="X116" s="637"/>
      <c r="Y116" s="637"/>
      <c r="Z116" s="637"/>
      <c r="AA116" s="637"/>
      <c r="AB116" s="637"/>
      <c r="AC116" s="637"/>
      <c r="AD116" s="637"/>
      <c r="AE116" s="637"/>
      <c r="AF116" s="637"/>
      <c r="AG116" s="637"/>
      <c r="AH116" s="637"/>
      <c r="AI116" s="637"/>
      <c r="AJ116" s="637"/>
      <c r="AK116" s="637"/>
      <c r="AL116" s="637"/>
      <c r="AM116" s="637"/>
      <c r="AN116" s="637"/>
      <c r="AO116" s="637"/>
      <c r="AP116" s="637"/>
      <c r="AQ116" s="637"/>
      <c r="AR116" s="637"/>
      <c r="AS116" s="637"/>
      <c r="AT116" s="637"/>
      <c r="AU116" s="637"/>
      <c r="AV116" s="637"/>
    </row>
    <row r="117" spans="1:55" s="541" customFormat="1" x14ac:dyDescent="0.25">
      <c r="A117" s="637"/>
      <c r="B117" s="637"/>
      <c r="C117" s="715"/>
      <c r="D117" s="716"/>
      <c r="E117" s="716"/>
      <c r="F117" s="637"/>
      <c r="G117" s="637"/>
      <c r="H117" s="637"/>
      <c r="I117" s="637"/>
      <c r="J117" s="637"/>
      <c r="K117" s="637"/>
      <c r="L117" s="637"/>
      <c r="M117" s="637"/>
      <c r="N117" s="637"/>
      <c r="O117" s="637"/>
      <c r="P117" s="637"/>
      <c r="Q117" s="637"/>
      <c r="R117" s="637"/>
      <c r="S117" s="637"/>
      <c r="T117" s="637"/>
      <c r="U117" s="637"/>
      <c r="V117" s="637"/>
      <c r="W117" s="637"/>
      <c r="X117" s="637"/>
      <c r="Y117" s="637"/>
      <c r="Z117" s="637"/>
      <c r="AA117" s="637"/>
      <c r="AB117" s="637"/>
      <c r="AC117" s="637"/>
      <c r="AD117" s="637"/>
      <c r="AE117" s="637"/>
      <c r="AF117" s="637"/>
      <c r="AG117" s="637"/>
      <c r="AH117" s="637"/>
      <c r="AI117" s="637"/>
      <c r="AJ117" s="637"/>
      <c r="AK117" s="637"/>
      <c r="AL117" s="637"/>
      <c r="AM117" s="637"/>
      <c r="AN117" s="637"/>
      <c r="AO117" s="637"/>
      <c r="AP117" s="637"/>
      <c r="AQ117" s="637"/>
      <c r="AR117" s="637"/>
      <c r="AS117" s="637"/>
      <c r="AT117" s="637"/>
      <c r="AU117" s="637"/>
      <c r="AV117" s="637"/>
      <c r="AZ117" s="709" t="s">
        <v>538</v>
      </c>
      <c r="BA117" s="709" t="s">
        <v>286</v>
      </c>
      <c r="BB117" s="709" t="s">
        <v>539</v>
      </c>
    </row>
    <row r="118" spans="1:55" s="541" customFormat="1" x14ac:dyDescent="0.25">
      <c r="A118" s="637"/>
      <c r="B118" s="637"/>
      <c r="C118" s="715"/>
      <c r="D118" s="716"/>
      <c r="E118" s="716"/>
      <c r="F118" s="637"/>
      <c r="G118" s="637"/>
      <c r="H118" s="637"/>
      <c r="I118" s="637"/>
      <c r="J118" s="637"/>
      <c r="K118" s="637"/>
      <c r="L118" s="637"/>
      <c r="M118" s="637"/>
      <c r="N118" s="637"/>
      <c r="O118" s="637"/>
      <c r="P118" s="637"/>
      <c r="Q118" s="637"/>
      <c r="R118" s="637"/>
      <c r="S118" s="637"/>
      <c r="T118" s="637"/>
      <c r="U118" s="637"/>
      <c r="V118" s="637"/>
      <c r="W118" s="637"/>
      <c r="X118" s="637"/>
      <c r="Y118" s="637"/>
      <c r="Z118" s="637"/>
      <c r="AA118" s="637"/>
      <c r="AB118" s="637"/>
      <c r="AC118" s="637"/>
      <c r="AD118" s="637"/>
      <c r="AE118" s="637"/>
      <c r="AF118" s="637"/>
      <c r="AG118" s="637"/>
      <c r="AH118" s="637"/>
      <c r="AI118" s="637"/>
      <c r="AJ118" s="637"/>
      <c r="AK118" s="637"/>
      <c r="AL118" s="637"/>
      <c r="AM118" s="637"/>
      <c r="AN118" s="637"/>
      <c r="AO118" s="637"/>
      <c r="AP118" s="637"/>
      <c r="AQ118" s="637"/>
      <c r="AR118" s="637"/>
      <c r="AS118" s="637"/>
      <c r="AT118" s="637"/>
      <c r="AU118" s="637"/>
      <c r="AV118" s="637"/>
    </row>
    <row r="119" spans="1:55" s="541" customFormat="1" x14ac:dyDescent="0.25">
      <c r="A119" s="637"/>
      <c r="B119" s="637"/>
      <c r="C119" s="715"/>
      <c r="D119" s="716"/>
      <c r="E119" s="716"/>
      <c r="F119" s="637"/>
      <c r="G119" s="637"/>
      <c r="H119" s="637"/>
      <c r="I119" s="637"/>
      <c r="J119" s="637"/>
      <c r="K119" s="637"/>
      <c r="L119" s="637"/>
      <c r="M119" s="637"/>
      <c r="N119" s="637"/>
      <c r="O119" s="637"/>
      <c r="P119" s="637"/>
      <c r="Q119" s="637"/>
      <c r="R119" s="637"/>
      <c r="S119" s="637"/>
      <c r="T119" s="637"/>
      <c r="U119" s="637"/>
      <c r="V119" s="637"/>
      <c r="W119" s="637"/>
      <c r="X119" s="637"/>
      <c r="Y119" s="637"/>
      <c r="Z119" s="637"/>
      <c r="AA119" s="637"/>
      <c r="AB119" s="637"/>
      <c r="AC119" s="637"/>
      <c r="AD119" s="637"/>
      <c r="AE119" s="637"/>
      <c r="AF119" s="637"/>
      <c r="AG119" s="637"/>
      <c r="AH119" s="637"/>
      <c r="AI119" s="637"/>
      <c r="AJ119" s="637"/>
      <c r="AK119" s="637"/>
      <c r="AL119" s="637"/>
      <c r="AM119" s="637"/>
      <c r="AN119" s="637"/>
      <c r="AO119" s="637"/>
      <c r="AP119" s="637"/>
      <c r="AQ119" s="637"/>
      <c r="AR119" s="637"/>
      <c r="AS119" s="637"/>
      <c r="AT119" s="637"/>
      <c r="AU119" s="637"/>
      <c r="AV119" s="637"/>
    </row>
    <row r="120" spans="1:55" s="541" customFormat="1" x14ac:dyDescent="0.25">
      <c r="A120" s="637"/>
      <c r="B120" s="637"/>
      <c r="C120" s="715"/>
      <c r="D120" s="716"/>
      <c r="E120" s="716"/>
      <c r="F120" s="637"/>
      <c r="G120" s="637"/>
      <c r="H120" s="637"/>
      <c r="I120" s="637"/>
      <c r="J120" s="637"/>
      <c r="K120" s="637"/>
      <c r="L120" s="637"/>
      <c r="M120" s="637"/>
      <c r="N120" s="637"/>
      <c r="O120" s="637"/>
      <c r="P120" s="637"/>
      <c r="Q120" s="637"/>
      <c r="R120" s="637"/>
      <c r="S120" s="637"/>
      <c r="T120" s="637"/>
      <c r="U120" s="637"/>
      <c r="V120" s="637"/>
      <c r="W120" s="637"/>
      <c r="X120" s="637"/>
      <c r="Y120" s="637"/>
      <c r="Z120" s="637"/>
      <c r="AA120" s="637"/>
      <c r="AB120" s="637"/>
      <c r="AC120" s="637"/>
      <c r="AD120" s="637"/>
      <c r="AE120" s="637"/>
      <c r="AF120" s="637"/>
      <c r="AG120" s="637"/>
      <c r="AH120" s="637"/>
      <c r="AI120" s="637"/>
      <c r="AJ120" s="637"/>
      <c r="AK120" s="637"/>
      <c r="AL120" s="637"/>
      <c r="AM120" s="637"/>
      <c r="AN120" s="637"/>
      <c r="AO120" s="637"/>
      <c r="AP120" s="637"/>
      <c r="AQ120" s="637"/>
      <c r="AR120" s="637"/>
      <c r="AS120" s="637"/>
      <c r="AT120" s="637"/>
      <c r="AU120" s="637"/>
      <c r="AV120" s="637"/>
      <c r="AZ120" s="709" t="s">
        <v>635</v>
      </c>
      <c r="BA120" s="709" t="s">
        <v>83</v>
      </c>
      <c r="BB120" s="709" t="s">
        <v>526</v>
      </c>
    </row>
    <row r="121" spans="1:55" s="541" customFormat="1" x14ac:dyDescent="0.25">
      <c r="A121" s="637"/>
      <c r="B121" s="637"/>
      <c r="C121" s="715"/>
      <c r="D121" s="716"/>
      <c r="E121" s="716"/>
      <c r="F121" s="637"/>
      <c r="G121" s="637"/>
      <c r="H121" s="637"/>
      <c r="I121" s="637"/>
      <c r="J121" s="637"/>
      <c r="K121" s="637"/>
      <c r="L121" s="637"/>
      <c r="M121" s="637"/>
      <c r="N121" s="637"/>
      <c r="O121" s="637"/>
      <c r="P121" s="637"/>
      <c r="Q121" s="637"/>
      <c r="R121" s="637"/>
      <c r="S121" s="637"/>
      <c r="T121" s="637"/>
      <c r="U121" s="637"/>
      <c r="V121" s="637"/>
      <c r="W121" s="637"/>
      <c r="X121" s="637"/>
      <c r="Y121" s="637"/>
      <c r="Z121" s="637"/>
      <c r="AA121" s="637"/>
      <c r="AB121" s="637"/>
      <c r="AC121" s="637"/>
      <c r="AD121" s="637"/>
      <c r="AE121" s="637"/>
      <c r="AF121" s="637"/>
      <c r="AG121" s="637"/>
      <c r="AH121" s="637"/>
      <c r="AI121" s="637"/>
      <c r="AJ121" s="637"/>
      <c r="AK121" s="637"/>
      <c r="AL121" s="637"/>
      <c r="AM121" s="637"/>
      <c r="AN121" s="637"/>
      <c r="AO121" s="637"/>
      <c r="AP121" s="637"/>
      <c r="AQ121" s="637"/>
      <c r="AR121" s="637"/>
      <c r="AS121" s="637"/>
      <c r="AT121" s="637"/>
      <c r="AU121" s="637"/>
      <c r="AV121" s="637"/>
      <c r="AZ121" s="709" t="s">
        <v>636</v>
      </c>
      <c r="BA121" s="709" t="s">
        <v>83</v>
      </c>
      <c r="BB121" s="709" t="s">
        <v>634</v>
      </c>
    </row>
    <row r="122" spans="1:55" s="541" customFormat="1" x14ac:dyDescent="0.25">
      <c r="A122" s="637"/>
      <c r="B122" s="637"/>
      <c r="C122" s="715"/>
      <c r="D122" s="716"/>
      <c r="E122" s="716"/>
      <c r="F122" s="637"/>
      <c r="G122" s="637"/>
      <c r="H122" s="637"/>
      <c r="I122" s="637"/>
      <c r="J122" s="637"/>
      <c r="K122" s="637"/>
      <c r="L122" s="637"/>
      <c r="M122" s="637"/>
      <c r="N122" s="637"/>
      <c r="O122" s="637"/>
      <c r="P122" s="637"/>
      <c r="Q122" s="637"/>
      <c r="R122" s="637"/>
      <c r="S122" s="637"/>
      <c r="T122" s="637"/>
      <c r="U122" s="637"/>
      <c r="V122" s="637"/>
      <c r="W122" s="637"/>
      <c r="X122" s="637"/>
      <c r="Y122" s="637"/>
      <c r="Z122" s="637"/>
      <c r="AA122" s="637"/>
      <c r="AB122" s="637"/>
      <c r="AC122" s="637"/>
      <c r="AD122" s="637"/>
      <c r="AE122" s="637"/>
      <c r="AF122" s="637"/>
      <c r="AG122" s="637"/>
      <c r="AH122" s="637"/>
      <c r="AI122" s="637"/>
      <c r="AJ122" s="637"/>
      <c r="AK122" s="637"/>
      <c r="AL122" s="637"/>
      <c r="AM122" s="637"/>
      <c r="AN122" s="637"/>
      <c r="AO122" s="637"/>
      <c r="AP122" s="637"/>
      <c r="AQ122" s="637"/>
      <c r="AR122" s="637"/>
      <c r="AS122" s="637"/>
      <c r="AT122" s="637"/>
      <c r="AU122" s="637"/>
      <c r="AV122" s="637"/>
      <c r="AZ122" s="709" t="s">
        <v>642</v>
      </c>
      <c r="BA122" s="709" t="s">
        <v>351</v>
      </c>
      <c r="BB122" s="709" t="s">
        <v>643</v>
      </c>
      <c r="BC122" s="541" t="s">
        <v>639</v>
      </c>
    </row>
    <row r="123" spans="1:55" s="541" customFormat="1" x14ac:dyDescent="0.25">
      <c r="A123" s="637"/>
      <c r="B123" s="637"/>
      <c r="C123" s="715"/>
      <c r="D123" s="716"/>
      <c r="E123" s="716"/>
      <c r="F123" s="637"/>
      <c r="G123" s="637"/>
      <c r="H123" s="637"/>
      <c r="I123" s="637"/>
      <c r="J123" s="637"/>
      <c r="K123" s="637"/>
      <c r="L123" s="637"/>
      <c r="M123" s="637"/>
      <c r="N123" s="637"/>
      <c r="O123" s="637"/>
      <c r="P123" s="637"/>
      <c r="Q123" s="637"/>
      <c r="R123" s="637"/>
      <c r="S123" s="637"/>
      <c r="T123" s="637"/>
      <c r="U123" s="637"/>
      <c r="V123" s="637"/>
      <c r="W123" s="637"/>
      <c r="X123" s="637"/>
      <c r="Y123" s="637"/>
      <c r="Z123" s="637"/>
      <c r="AA123" s="637"/>
      <c r="AB123" s="637"/>
      <c r="AC123" s="637"/>
      <c r="AD123" s="637"/>
      <c r="AE123" s="637"/>
      <c r="AF123" s="637"/>
      <c r="AG123" s="637"/>
      <c r="AH123" s="637"/>
      <c r="AI123" s="637"/>
      <c r="AJ123" s="637"/>
      <c r="AK123" s="637"/>
      <c r="AL123" s="637"/>
      <c r="AM123" s="637"/>
      <c r="AN123" s="637"/>
      <c r="AO123" s="637"/>
      <c r="AP123" s="637"/>
      <c r="AQ123" s="637"/>
      <c r="AR123" s="637"/>
      <c r="AS123" s="637"/>
      <c r="AT123" s="637"/>
      <c r="AU123" s="637"/>
      <c r="AV123" s="637"/>
      <c r="AZ123" s="709" t="s">
        <v>645</v>
      </c>
      <c r="BA123" s="709" t="s">
        <v>644</v>
      </c>
      <c r="BB123" s="709" t="s">
        <v>638</v>
      </c>
      <c r="BC123" s="541" t="s">
        <v>640</v>
      </c>
    </row>
    <row r="124" spans="1:55" s="541" customFormat="1" x14ac:dyDescent="0.25">
      <c r="A124" s="637"/>
      <c r="B124" s="637"/>
      <c r="C124" s="715"/>
      <c r="D124" s="716"/>
      <c r="E124" s="716"/>
      <c r="F124" s="637"/>
      <c r="G124" s="637"/>
      <c r="H124" s="637"/>
      <c r="I124" s="637"/>
      <c r="J124" s="637"/>
      <c r="K124" s="637"/>
      <c r="L124" s="637"/>
      <c r="M124" s="637"/>
      <c r="N124" s="637"/>
      <c r="O124" s="637"/>
      <c r="P124" s="637"/>
      <c r="Q124" s="637"/>
      <c r="R124" s="637"/>
      <c r="S124" s="637"/>
      <c r="T124" s="637"/>
      <c r="U124" s="637"/>
      <c r="V124" s="637"/>
      <c r="W124" s="637"/>
      <c r="X124" s="637"/>
      <c r="Y124" s="637"/>
      <c r="Z124" s="637"/>
      <c r="AA124" s="637"/>
      <c r="AB124" s="637"/>
      <c r="AC124" s="637"/>
      <c r="AD124" s="637"/>
      <c r="AE124" s="637"/>
      <c r="AF124" s="637"/>
      <c r="AG124" s="637"/>
      <c r="AH124" s="637"/>
      <c r="AI124" s="637"/>
      <c r="AJ124" s="637"/>
      <c r="AK124" s="637"/>
      <c r="AL124" s="637"/>
      <c r="AM124" s="637"/>
      <c r="AN124" s="637"/>
      <c r="AO124" s="637"/>
      <c r="AP124" s="637"/>
      <c r="AQ124" s="637"/>
      <c r="AR124" s="637"/>
      <c r="AS124" s="637"/>
      <c r="AT124" s="637"/>
      <c r="AU124" s="637"/>
      <c r="AV124" s="637"/>
      <c r="AZ124" s="709" t="s">
        <v>647</v>
      </c>
      <c r="BA124" s="709" t="s">
        <v>646</v>
      </c>
      <c r="BB124" s="709" t="s">
        <v>638</v>
      </c>
      <c r="BC124" s="541" t="s">
        <v>641</v>
      </c>
    </row>
    <row r="125" spans="1:55" s="541" customFormat="1" x14ac:dyDescent="0.25">
      <c r="A125" s="637"/>
      <c r="B125" s="637"/>
      <c r="C125" s="715"/>
      <c r="D125" s="716"/>
      <c r="E125" s="716"/>
      <c r="F125" s="637"/>
      <c r="G125" s="637"/>
      <c r="H125" s="637"/>
      <c r="I125" s="637"/>
      <c r="J125" s="637"/>
      <c r="K125" s="637"/>
      <c r="L125" s="637"/>
      <c r="M125" s="637"/>
      <c r="N125" s="637"/>
      <c r="O125" s="637"/>
      <c r="P125" s="637"/>
      <c r="Q125" s="637"/>
      <c r="R125" s="637"/>
      <c r="S125" s="637"/>
      <c r="T125" s="637"/>
      <c r="U125" s="637"/>
      <c r="V125" s="637"/>
      <c r="W125" s="637"/>
      <c r="X125" s="637"/>
      <c r="Y125" s="637"/>
      <c r="Z125" s="637"/>
      <c r="AA125" s="637"/>
      <c r="AB125" s="637"/>
      <c r="AC125" s="637"/>
      <c r="AD125" s="637"/>
      <c r="AE125" s="637"/>
      <c r="AF125" s="637"/>
      <c r="AG125" s="637"/>
      <c r="AH125" s="637"/>
      <c r="AI125" s="637"/>
      <c r="AJ125" s="637"/>
      <c r="AK125" s="637"/>
      <c r="AL125" s="637"/>
      <c r="AM125" s="637"/>
      <c r="AN125" s="637"/>
      <c r="AO125" s="637"/>
      <c r="AP125" s="637"/>
      <c r="AQ125" s="637"/>
      <c r="AR125" s="637"/>
      <c r="AS125" s="637"/>
      <c r="AT125" s="637"/>
      <c r="AU125" s="637"/>
      <c r="AV125" s="637"/>
    </row>
    <row r="126" spans="1:55" s="541" customFormat="1" x14ac:dyDescent="0.25">
      <c r="A126" s="637"/>
      <c r="B126" s="637"/>
      <c r="C126" s="715"/>
      <c r="D126" s="716"/>
      <c r="E126" s="716"/>
      <c r="F126" s="637"/>
      <c r="G126" s="637"/>
      <c r="H126" s="637"/>
      <c r="I126" s="637"/>
      <c r="J126" s="637"/>
      <c r="K126" s="637"/>
      <c r="L126" s="637"/>
      <c r="M126" s="637"/>
      <c r="N126" s="637"/>
      <c r="O126" s="637"/>
      <c r="P126" s="637"/>
      <c r="Q126" s="637"/>
      <c r="R126" s="637"/>
      <c r="S126" s="637"/>
      <c r="T126" s="637"/>
      <c r="U126" s="637"/>
      <c r="V126" s="637"/>
      <c r="W126" s="637"/>
      <c r="X126" s="637"/>
      <c r="Y126" s="637"/>
      <c r="Z126" s="637"/>
      <c r="AA126" s="637"/>
      <c r="AB126" s="637"/>
      <c r="AC126" s="637"/>
      <c r="AD126" s="637"/>
      <c r="AE126" s="637"/>
      <c r="AF126" s="637"/>
      <c r="AG126" s="637"/>
      <c r="AH126" s="637"/>
      <c r="AI126" s="637"/>
      <c r="AJ126" s="637"/>
      <c r="AK126" s="637"/>
      <c r="AL126" s="637"/>
      <c r="AM126" s="637"/>
      <c r="AN126" s="637"/>
      <c r="AO126" s="637"/>
      <c r="AP126" s="637"/>
      <c r="AQ126" s="637"/>
      <c r="AR126" s="637"/>
      <c r="AS126" s="637"/>
      <c r="AT126" s="637"/>
      <c r="AU126" s="637"/>
      <c r="AV126" s="637"/>
    </row>
    <row r="127" spans="1:55" s="541" customFormat="1" x14ac:dyDescent="0.25">
      <c r="A127" s="637"/>
      <c r="B127" s="637"/>
      <c r="C127" s="715"/>
      <c r="D127" s="716"/>
      <c r="E127" s="716"/>
      <c r="F127" s="637"/>
      <c r="G127" s="637"/>
      <c r="H127" s="637"/>
      <c r="I127" s="637"/>
      <c r="J127" s="637"/>
      <c r="K127" s="637"/>
      <c r="L127" s="637"/>
      <c r="M127" s="637"/>
      <c r="N127" s="637"/>
      <c r="O127" s="637"/>
      <c r="P127" s="637"/>
      <c r="Q127" s="637"/>
      <c r="R127" s="637"/>
      <c r="S127" s="637"/>
      <c r="T127" s="637"/>
      <c r="U127" s="637"/>
      <c r="V127" s="637"/>
      <c r="W127" s="637"/>
      <c r="X127" s="637"/>
      <c r="Y127" s="637"/>
      <c r="Z127" s="637"/>
      <c r="AA127" s="637"/>
      <c r="AB127" s="637"/>
      <c r="AC127" s="637"/>
      <c r="AD127" s="637"/>
      <c r="AE127" s="637"/>
      <c r="AF127" s="637"/>
      <c r="AG127" s="637"/>
      <c r="AH127" s="637"/>
      <c r="AI127" s="637"/>
      <c r="AJ127" s="637"/>
      <c r="AK127" s="637"/>
      <c r="AL127" s="637"/>
      <c r="AM127" s="637"/>
      <c r="AN127" s="637"/>
      <c r="AO127" s="637"/>
      <c r="AP127" s="637"/>
      <c r="AQ127" s="637"/>
      <c r="AR127" s="637"/>
      <c r="AS127" s="637"/>
      <c r="AT127" s="637"/>
      <c r="AU127" s="637"/>
      <c r="AV127" s="637"/>
      <c r="AZ127" s="709" t="s">
        <v>746</v>
      </c>
      <c r="BA127" s="709" t="s">
        <v>650</v>
      </c>
      <c r="BB127" s="709" t="s">
        <v>649</v>
      </c>
    </row>
    <row r="128" spans="1:55" s="541" customFormat="1" x14ac:dyDescent="0.25">
      <c r="A128" s="637"/>
      <c r="B128" s="637"/>
      <c r="C128" s="715"/>
      <c r="D128" s="716"/>
      <c r="E128" s="716"/>
      <c r="F128" s="637"/>
      <c r="G128" s="637"/>
      <c r="H128" s="637"/>
      <c r="I128" s="637"/>
      <c r="J128" s="637"/>
      <c r="K128" s="637"/>
      <c r="L128" s="637"/>
      <c r="M128" s="637"/>
      <c r="N128" s="637"/>
      <c r="O128" s="637"/>
      <c r="P128" s="637"/>
      <c r="Q128" s="637"/>
      <c r="R128" s="637"/>
      <c r="S128" s="637"/>
      <c r="T128" s="637"/>
      <c r="U128" s="637"/>
      <c r="V128" s="637"/>
      <c r="W128" s="637"/>
      <c r="X128" s="637"/>
      <c r="Y128" s="637"/>
      <c r="Z128" s="637"/>
      <c r="AA128" s="637"/>
      <c r="AB128" s="637"/>
      <c r="AC128" s="637"/>
      <c r="AD128" s="637"/>
      <c r="AE128" s="637"/>
      <c r="AF128" s="637"/>
      <c r="AG128" s="637"/>
      <c r="AH128" s="637"/>
      <c r="AI128" s="637"/>
      <c r="AJ128" s="637"/>
      <c r="AK128" s="637"/>
      <c r="AL128" s="637"/>
      <c r="AM128" s="637"/>
      <c r="AN128" s="637"/>
      <c r="AO128" s="637"/>
      <c r="AP128" s="637"/>
      <c r="AQ128" s="637"/>
      <c r="AR128" s="637"/>
      <c r="AS128" s="637"/>
      <c r="AT128" s="637"/>
      <c r="AU128" s="637"/>
      <c r="AV128" s="637"/>
      <c r="AZ128" s="709" t="s">
        <v>540</v>
      </c>
      <c r="BA128" s="709" t="s">
        <v>455</v>
      </c>
      <c r="BB128" s="709" t="s">
        <v>651</v>
      </c>
    </row>
    <row r="129" spans="1:54" s="541" customFormat="1" x14ac:dyDescent="0.25">
      <c r="A129" s="637"/>
      <c r="B129" s="637"/>
      <c r="C129" s="715"/>
      <c r="D129" s="716"/>
      <c r="E129" s="716"/>
      <c r="F129" s="637"/>
      <c r="G129" s="637"/>
      <c r="H129" s="637"/>
      <c r="I129" s="637"/>
      <c r="J129" s="637"/>
      <c r="K129" s="637"/>
      <c r="L129" s="637"/>
      <c r="M129" s="637"/>
      <c r="N129" s="637"/>
      <c r="O129" s="637"/>
      <c r="P129" s="637"/>
      <c r="Q129" s="637"/>
      <c r="R129" s="637"/>
      <c r="S129" s="637"/>
      <c r="T129" s="637"/>
      <c r="U129" s="637"/>
      <c r="V129" s="637"/>
      <c r="W129" s="637"/>
      <c r="X129" s="637"/>
      <c r="Y129" s="637"/>
      <c r="Z129" s="637"/>
      <c r="AA129" s="637"/>
      <c r="AB129" s="637"/>
      <c r="AC129" s="637"/>
      <c r="AD129" s="637"/>
      <c r="AE129" s="637"/>
      <c r="AF129" s="637"/>
      <c r="AG129" s="637"/>
      <c r="AH129" s="637"/>
      <c r="AI129" s="637"/>
      <c r="AJ129" s="637"/>
      <c r="AK129" s="637"/>
      <c r="AL129" s="637"/>
      <c r="AM129" s="637"/>
      <c r="AN129" s="637"/>
      <c r="AO129" s="637"/>
      <c r="AP129" s="637"/>
      <c r="AQ129" s="637"/>
      <c r="AR129" s="637"/>
      <c r="AS129" s="637"/>
      <c r="AT129" s="637"/>
      <c r="AU129" s="637"/>
      <c r="AV129" s="637"/>
    </row>
    <row r="130" spans="1:54" s="541" customFormat="1" x14ac:dyDescent="0.25">
      <c r="A130" s="637"/>
      <c r="B130" s="637"/>
      <c r="C130" s="715"/>
      <c r="D130" s="716"/>
      <c r="E130" s="716"/>
      <c r="F130" s="637"/>
      <c r="G130" s="637"/>
      <c r="H130" s="637"/>
      <c r="I130" s="637"/>
      <c r="J130" s="637"/>
      <c r="K130" s="637"/>
      <c r="L130" s="637"/>
      <c r="M130" s="637"/>
      <c r="N130" s="637"/>
      <c r="O130" s="637"/>
      <c r="P130" s="637"/>
      <c r="Q130" s="637"/>
      <c r="R130" s="637"/>
      <c r="S130" s="637"/>
      <c r="T130" s="637"/>
      <c r="U130" s="637"/>
      <c r="V130" s="637"/>
      <c r="W130" s="637"/>
      <c r="X130" s="637"/>
      <c r="Y130" s="637"/>
      <c r="Z130" s="637"/>
      <c r="AA130" s="637"/>
      <c r="AB130" s="637"/>
      <c r="AC130" s="637"/>
      <c r="AD130" s="637"/>
      <c r="AE130" s="637"/>
      <c r="AF130" s="637"/>
      <c r="AG130" s="637"/>
      <c r="AH130" s="637"/>
      <c r="AI130" s="637"/>
      <c r="AJ130" s="637"/>
      <c r="AK130" s="637"/>
      <c r="AL130" s="637"/>
      <c r="AM130" s="637"/>
      <c r="AN130" s="637"/>
      <c r="AO130" s="637"/>
      <c r="AP130" s="637"/>
      <c r="AQ130" s="637"/>
      <c r="AR130" s="637"/>
      <c r="AS130" s="637"/>
      <c r="AT130" s="637"/>
      <c r="AU130" s="637"/>
      <c r="AV130" s="637"/>
      <c r="AZ130" s="709" t="s">
        <v>435</v>
      </c>
      <c r="BA130" s="709" t="s">
        <v>359</v>
      </c>
      <c r="BB130" s="709" t="s">
        <v>653</v>
      </c>
    </row>
    <row r="131" spans="1:54" s="541" customFormat="1" x14ac:dyDescent="0.25">
      <c r="A131" s="637"/>
      <c r="B131" s="637"/>
      <c r="C131" s="715"/>
      <c r="D131" s="716"/>
      <c r="E131" s="716"/>
      <c r="F131" s="637"/>
      <c r="G131" s="637"/>
      <c r="H131" s="637"/>
      <c r="I131" s="637"/>
      <c r="J131" s="637"/>
      <c r="K131" s="637"/>
      <c r="L131" s="637"/>
      <c r="M131" s="637"/>
      <c r="N131" s="637"/>
      <c r="O131" s="637"/>
      <c r="P131" s="637"/>
      <c r="Q131" s="637"/>
      <c r="R131" s="637"/>
      <c r="S131" s="637"/>
      <c r="T131" s="637"/>
      <c r="U131" s="637"/>
      <c r="V131" s="637"/>
      <c r="W131" s="637"/>
      <c r="X131" s="637"/>
      <c r="Y131" s="637"/>
      <c r="Z131" s="637"/>
      <c r="AA131" s="637"/>
      <c r="AB131" s="637"/>
      <c r="AC131" s="637"/>
      <c r="AD131" s="637"/>
      <c r="AE131" s="637"/>
      <c r="AF131" s="637"/>
      <c r="AG131" s="637"/>
      <c r="AH131" s="637"/>
      <c r="AI131" s="637"/>
      <c r="AJ131" s="637"/>
      <c r="AK131" s="637"/>
      <c r="AL131" s="637"/>
      <c r="AM131" s="637"/>
      <c r="AN131" s="637"/>
      <c r="AO131" s="637"/>
      <c r="AP131" s="637"/>
      <c r="AQ131" s="637"/>
      <c r="AR131" s="637"/>
      <c r="AS131" s="637"/>
      <c r="AT131" s="637"/>
      <c r="AU131" s="637"/>
      <c r="AV131" s="637"/>
      <c r="AZ131" s="709" t="s">
        <v>654</v>
      </c>
      <c r="BA131" s="709" t="s">
        <v>289</v>
      </c>
      <c r="BB131" s="709" t="s">
        <v>655</v>
      </c>
    </row>
    <row r="132" spans="1:54" s="541" customFormat="1" x14ac:dyDescent="0.25">
      <c r="A132" s="637"/>
      <c r="B132" s="637"/>
      <c r="C132" s="715"/>
      <c r="D132" s="716"/>
      <c r="E132" s="716"/>
      <c r="F132" s="637"/>
      <c r="G132" s="637"/>
      <c r="H132" s="637"/>
      <c r="I132" s="637"/>
      <c r="J132" s="637"/>
      <c r="K132" s="637"/>
      <c r="L132" s="637"/>
      <c r="M132" s="637"/>
      <c r="N132" s="637"/>
      <c r="O132" s="637"/>
      <c r="P132" s="637"/>
      <c r="Q132" s="637"/>
      <c r="R132" s="637"/>
      <c r="S132" s="637"/>
      <c r="T132" s="637"/>
      <c r="U132" s="637"/>
      <c r="V132" s="637"/>
      <c r="W132" s="637"/>
      <c r="X132" s="637"/>
      <c r="Y132" s="637"/>
      <c r="Z132" s="637"/>
      <c r="AA132" s="637"/>
      <c r="AB132" s="637"/>
      <c r="AC132" s="637"/>
      <c r="AD132" s="637"/>
      <c r="AE132" s="637"/>
      <c r="AF132" s="637"/>
      <c r="AG132" s="637"/>
      <c r="AH132" s="637"/>
      <c r="AI132" s="637"/>
      <c r="AJ132" s="637"/>
      <c r="AK132" s="637"/>
      <c r="AL132" s="637"/>
      <c r="AM132" s="637"/>
      <c r="AN132" s="637"/>
      <c r="AO132" s="637"/>
      <c r="AP132" s="637"/>
      <c r="AQ132" s="637"/>
      <c r="AR132" s="637"/>
      <c r="AS132" s="637"/>
      <c r="AT132" s="637"/>
      <c r="AU132" s="637"/>
      <c r="AV132" s="637"/>
      <c r="AZ132" s="709" t="s">
        <v>656</v>
      </c>
      <c r="BA132" s="709" t="s">
        <v>662</v>
      </c>
      <c r="BB132" s="709" t="s">
        <v>541</v>
      </c>
    </row>
    <row r="133" spans="1:54" s="541" customFormat="1" x14ac:dyDescent="0.25">
      <c r="A133" s="637"/>
      <c r="B133" s="637"/>
      <c r="C133" s="715"/>
      <c r="D133" s="716"/>
      <c r="E133" s="716"/>
      <c r="F133" s="637"/>
      <c r="G133" s="637"/>
      <c r="H133" s="637"/>
      <c r="I133" s="637"/>
      <c r="J133" s="637"/>
      <c r="K133" s="637"/>
      <c r="L133" s="637"/>
      <c r="M133" s="637"/>
      <c r="N133" s="637"/>
      <c r="O133" s="637"/>
      <c r="P133" s="637"/>
      <c r="Q133" s="637"/>
      <c r="R133" s="637"/>
      <c r="S133" s="637"/>
      <c r="T133" s="637"/>
      <c r="U133" s="637"/>
      <c r="V133" s="637"/>
      <c r="W133" s="637"/>
      <c r="X133" s="637"/>
      <c r="Y133" s="637"/>
      <c r="Z133" s="637"/>
      <c r="AA133" s="637"/>
      <c r="AB133" s="637"/>
      <c r="AC133" s="637"/>
      <c r="AD133" s="637"/>
      <c r="AE133" s="637"/>
      <c r="AF133" s="637"/>
      <c r="AG133" s="637"/>
      <c r="AH133" s="637"/>
      <c r="AI133" s="637"/>
      <c r="AJ133" s="637"/>
      <c r="AK133" s="637"/>
      <c r="AL133" s="637"/>
      <c r="AM133" s="637"/>
      <c r="AN133" s="637"/>
      <c r="AO133" s="637"/>
      <c r="AP133" s="637"/>
      <c r="AQ133" s="637"/>
      <c r="AR133" s="637"/>
      <c r="AS133" s="637"/>
      <c r="AT133" s="637"/>
      <c r="AU133" s="637"/>
      <c r="AV133" s="637"/>
    </row>
    <row r="134" spans="1:54" s="541" customFormat="1" x14ac:dyDescent="0.25">
      <c r="A134" s="637"/>
      <c r="B134" s="637"/>
      <c r="C134" s="715"/>
      <c r="D134" s="716"/>
      <c r="E134" s="716"/>
      <c r="F134" s="637"/>
      <c r="G134" s="637"/>
      <c r="H134" s="637"/>
      <c r="I134" s="637"/>
      <c r="J134" s="637"/>
      <c r="K134" s="637"/>
      <c r="L134" s="637"/>
      <c r="M134" s="637"/>
      <c r="N134" s="637"/>
      <c r="O134" s="637"/>
      <c r="P134" s="637"/>
      <c r="Q134" s="637"/>
      <c r="R134" s="637"/>
      <c r="S134" s="637"/>
      <c r="T134" s="637"/>
      <c r="U134" s="637"/>
      <c r="V134" s="637"/>
      <c r="W134" s="637"/>
      <c r="X134" s="637"/>
      <c r="Y134" s="637"/>
      <c r="Z134" s="637"/>
      <c r="AA134" s="637"/>
      <c r="AB134" s="637"/>
      <c r="AC134" s="637"/>
      <c r="AD134" s="637"/>
      <c r="AE134" s="637"/>
      <c r="AF134" s="637"/>
      <c r="AG134" s="637"/>
      <c r="AH134" s="637"/>
      <c r="AI134" s="637"/>
      <c r="AJ134" s="637"/>
      <c r="AK134" s="637"/>
      <c r="AL134" s="637"/>
      <c r="AM134" s="637"/>
      <c r="AN134" s="637"/>
      <c r="AO134" s="637"/>
      <c r="AP134" s="637"/>
      <c r="AQ134" s="637"/>
      <c r="AR134" s="637"/>
      <c r="AS134" s="637"/>
      <c r="AT134" s="637"/>
      <c r="AU134" s="637"/>
      <c r="AV134" s="637"/>
      <c r="AY134" s="708" t="s">
        <v>661</v>
      </c>
      <c r="AZ134" s="541" t="s">
        <v>657</v>
      </c>
      <c r="BA134" s="541" t="s">
        <v>85</v>
      </c>
      <c r="BB134" s="541" t="s">
        <v>658</v>
      </c>
    </row>
    <row r="135" spans="1:54" x14ac:dyDescent="0.25">
      <c r="AY135" s="708" t="s">
        <v>661</v>
      </c>
      <c r="AZ135" s="541" t="s">
        <v>660</v>
      </c>
      <c r="BA135" s="541" t="s">
        <v>85</v>
      </c>
      <c r="BB135" s="541" t="s">
        <v>659</v>
      </c>
    </row>
  </sheetData>
  <sheetProtection algorithmName="SHA-512" hashValue="NprsrRm6usPFhq+ul85rup2TEvP2gSz2y1MoODluX7urHrUCK4rFp1Y2avdjCbzEVLCauxt3oc8Iemu0RQyHYQ==" saltValue="4PSQfDVqlg9Tu9fCPt9vRw==" spinCount="100000" sheet="1" objects="1" scenarios="1" selectLockedCells="1"/>
  <protectedRanges>
    <protectedRange sqref="K6:K38" name="Range2"/>
    <protectedRange sqref="D36:D43 D27:D34 K41:W41 K39:W39 D6:D25 D47 K47:L47" name="Range1"/>
  </protectedRanges>
  <mergeCells count="13">
    <mergeCell ref="C53:E53"/>
    <mergeCell ref="C54:E54"/>
    <mergeCell ref="J49:M49"/>
    <mergeCell ref="J50:M50"/>
    <mergeCell ref="J51:M51"/>
    <mergeCell ref="J52:M52"/>
    <mergeCell ref="J53:M53"/>
    <mergeCell ref="J54:M54"/>
    <mergeCell ref="P5:Q5"/>
    <mergeCell ref="C49:E49"/>
    <mergeCell ref="C50:E50"/>
    <mergeCell ref="C51:E51"/>
    <mergeCell ref="C52:E52"/>
  </mergeCells>
  <phoneticPr fontId="20" type="noConversion"/>
  <conditionalFormatting sqref="K18">
    <cfRule type="expression" dxfId="70" priority="8">
      <formula>J18&lt;&gt;""</formula>
    </cfRule>
  </conditionalFormatting>
  <conditionalFormatting sqref="K19:K37">
    <cfRule type="expression" dxfId="69" priority="7">
      <formula>J19&lt;&gt;""</formula>
    </cfRule>
  </conditionalFormatting>
  <conditionalFormatting sqref="K10">
    <cfRule type="expression" dxfId="68" priority="6">
      <formula>$J$10&lt;&gt;""</formula>
    </cfRule>
  </conditionalFormatting>
  <conditionalFormatting sqref="K12">
    <cfRule type="expression" dxfId="67" priority="140">
      <formula>$K$11=$AB$23</formula>
    </cfRule>
  </conditionalFormatting>
  <conditionalFormatting sqref="K8:K9">
    <cfRule type="expression" dxfId="66" priority="5">
      <formula>$J$8&lt;&gt;""</formula>
    </cfRule>
  </conditionalFormatting>
  <conditionalFormatting sqref="K38">
    <cfRule type="expression" dxfId="65" priority="4">
      <formula>J38&lt;&gt;""</formula>
    </cfRule>
  </conditionalFormatting>
  <conditionalFormatting sqref="BC50 BC52 AY50 AY52 AZ115:BA115 AY48 BB48:BC48 AZ112:BA113 AY39:AY40 AZ120:AZ121 BC120 BD39:BD40 BB121:BC121 AY34 AZ84:BA84 BC21:BC24 AY21:AY24 AZ102:BA105 AY29 BA29:BD29 AZ96">
    <cfRule type="expression" dxfId="64" priority="141">
      <formula>$D$29="nei"</formula>
    </cfRule>
  </conditionalFormatting>
  <conditionalFormatting sqref="BC50:BC52 AZ111:BA115 AZ110 AY38:AY40 AZ120:AZ121 BC38:BD38 BC120 BD39:BD40 BB121:BC121 AY33:AY34 AZ83:BA84 BC20:BD20 BC21:BC24 AY21:AY24 BA20 AZ102:BA105 AZ101 BB101 AY28:AY29 BA28:BD29 AZ95:AZ96 BC49:BD49 AZ62 BB48:BC48 BB57:BC57 AY48:AY52 AY57">
    <cfRule type="expression" dxfId="63" priority="142">
      <formula>$D$25="x"</formula>
    </cfRule>
  </conditionalFormatting>
  <conditionalFormatting sqref="AZ19:BD19 AZ94 BA27:BD27 AZ32:BE32 AZ37:BD37 AZ46:BD46">
    <cfRule type="expression" dxfId="62" priority="167">
      <formula>$D$25="x"</formula>
    </cfRule>
  </conditionalFormatting>
  <conditionalFormatting sqref="D24">
    <cfRule type="expression" dxfId="61" priority="3">
      <formula>$D$6=$AC$8</formula>
    </cfRule>
  </conditionalFormatting>
  <conditionalFormatting sqref="L6:L17 L19:L39">
    <cfRule type="expression" dxfId="60" priority="1">
      <formula>$P6="Ja"</formula>
    </cfRule>
  </conditionalFormatting>
  <dataValidations count="12">
    <dataValidation type="list" allowBlank="1" showInputMessage="1" showErrorMessage="1" sqref="D983050 D65546 D131082 D196618 D262154 D327690 D393226 D458762 D524298 D589834 D655370 D720906 D786442 D851978 D917514">
      <formula1>$AW$13:$AW$14</formula1>
    </dataValidation>
    <dataValidation type="list" allowBlank="1" showInputMessage="1" showErrorMessage="1" sqref="K6">
      <formula1>$AB$7:$AB$10</formula1>
    </dataValidation>
    <dataValidation type="list" allowBlank="1" showInputMessage="1" showErrorMessage="1" sqref="K7">
      <formula1>$AB$13:$AB$18</formula1>
    </dataValidation>
    <dataValidation type="list" allowBlank="1" showInputMessage="1" showErrorMessage="1" sqref="K12">
      <formula1>AC25:AC28</formula1>
    </dataValidation>
    <dataValidation type="list" allowBlank="1" showInputMessage="1" showErrorMessage="1" sqref="K16">
      <formula1>$P$16:$Q$16</formula1>
    </dataValidation>
    <dataValidation type="list" allowBlank="1" showInputMessage="1" showErrorMessage="1" sqref="K20">
      <formula1>$P$20:$Q$20</formula1>
    </dataValidation>
    <dataValidation type="list" allowBlank="1" showInputMessage="1" showErrorMessage="1" sqref="K21">
      <formula1>$P$21:$Q$21</formula1>
    </dataValidation>
    <dataValidation type="list" allowBlank="1" showInputMessage="1" showErrorMessage="1" sqref="K22:K38">
      <formula1>$P22:$Q22</formula1>
    </dataValidation>
    <dataValidation type="list" allowBlank="1" showInputMessage="1" showErrorMessage="1" sqref="K10">
      <formula1>$N$10:$Q$10</formula1>
    </dataValidation>
    <dataValidation type="list" allowBlank="1" showInputMessage="1" showErrorMessage="1" sqref="K11">
      <formula1>$AB$23:$AB$24</formula1>
    </dataValidation>
    <dataValidation type="list" allowBlank="1" showInputMessage="1" showErrorMessage="1" sqref="K14">
      <formula1>$AB$32:$AB$33</formula1>
    </dataValidation>
    <dataValidation type="list" allowBlank="1" showInputMessage="1" showErrorMessage="1" sqref="D6">
      <formula1>$AC$7:$AC$9</formula1>
    </dataValidation>
  </dataValidations>
  <pageMargins left="0.7" right="0.7" top="0.78740157499999996" bottom="0.78740157499999996" header="0.3" footer="0.3"/>
  <pageSetup paperSize="11" scale="10" orientation="portrait" r:id="rId1"/>
  <ignoredErrors>
    <ignoredError sqref="P16:Q17 P20:Q35 R6:R29 P19:Q19 R31:R37" unlockedFormula="1"/>
    <ignoredError sqref="J20:J26 J28:J29 J31:J33"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IW6979"/>
  <sheetViews>
    <sheetView topLeftCell="A193" zoomScale="70" zoomScaleNormal="70" zoomScalePageLayoutView="80" workbookViewId="0">
      <selection activeCell="A281" sqref="A281"/>
    </sheetView>
  </sheetViews>
  <sheetFormatPr baseColWidth="10" defaultColWidth="9.140625" defaultRowHeight="12.75" x14ac:dyDescent="0.2"/>
  <cols>
    <col min="1" max="1" width="16.7109375" style="129" customWidth="1"/>
    <col min="2" max="2" width="9.7109375" style="10" customWidth="1"/>
    <col min="3" max="3" width="34.7109375" style="130" customWidth="1"/>
    <col min="4" max="4" width="8.7109375" style="130" customWidth="1"/>
    <col min="5" max="5" width="23.7109375" style="130" customWidth="1"/>
    <col min="6" max="6" width="8.7109375" style="130" customWidth="1"/>
    <col min="7" max="9" width="8.7109375" style="133" customWidth="1"/>
    <col min="10" max="10" width="8.7109375" style="134" customWidth="1"/>
    <col min="11" max="11" width="8.7109375" style="133" customWidth="1"/>
    <col min="12" max="12" width="11.7109375" style="10" customWidth="1"/>
    <col min="13" max="13" width="8.7109375" style="10" customWidth="1"/>
    <col min="14" max="14" width="12.140625" style="10" customWidth="1"/>
    <col min="15" max="15" width="15.28515625" style="10" customWidth="1"/>
    <col min="16" max="16" width="12.28515625" style="10" customWidth="1"/>
    <col min="17" max="17" width="12" style="10" customWidth="1"/>
    <col min="18" max="18" width="16.85546875" style="10" customWidth="1"/>
    <col min="19" max="19" width="14.42578125" style="10" customWidth="1"/>
    <col min="20" max="20" width="13" style="10" customWidth="1"/>
    <col min="21" max="21" width="14.85546875" style="10" customWidth="1"/>
    <col min="22" max="22" width="10.7109375" style="10" customWidth="1"/>
    <col min="23" max="23" width="8.7109375" style="10" customWidth="1"/>
    <col min="24" max="24" width="26.42578125" style="10" customWidth="1"/>
    <col min="25" max="42" width="8.7109375" style="10" hidden="1" customWidth="1"/>
    <col min="43" max="43" width="9.140625" style="10" hidden="1" customWidth="1"/>
    <col min="44" max="44" width="21.85546875" style="10" hidden="1" customWidth="1"/>
    <col min="45" max="45" width="9.7109375" style="10" hidden="1" customWidth="1"/>
    <col min="46" max="46" width="17.85546875" style="10" hidden="1" customWidth="1"/>
    <col min="47" max="47" width="11.42578125" style="10" hidden="1" customWidth="1"/>
    <col min="48" max="48" width="17.140625" style="10" hidden="1" customWidth="1"/>
    <col min="49" max="49" width="12" style="10" hidden="1" customWidth="1"/>
    <col min="50" max="50" width="14.42578125" style="10" hidden="1" customWidth="1"/>
    <col min="51" max="51" width="9.140625" style="10" hidden="1" customWidth="1"/>
    <col min="52" max="52" width="18.28515625" style="10" hidden="1" customWidth="1"/>
    <col min="53" max="53" width="9.140625" style="10" hidden="1" customWidth="1"/>
    <col min="54" max="54" width="29.28515625" style="10" hidden="1" customWidth="1"/>
    <col min="55" max="55" width="26.85546875" style="10" hidden="1" customWidth="1"/>
    <col min="56" max="56" width="21.42578125" style="10" hidden="1" customWidth="1"/>
    <col min="57" max="57" width="9.140625" style="10" hidden="1" customWidth="1"/>
    <col min="58" max="58" width="9.42578125" style="10" hidden="1" customWidth="1"/>
    <col min="59" max="60" width="9.140625" style="10" hidden="1" customWidth="1"/>
    <col min="61" max="61" width="9.42578125" style="10" hidden="1" customWidth="1"/>
    <col min="62" max="63" width="9.140625" style="10" hidden="1" customWidth="1"/>
    <col min="64" max="64" width="13" style="10" hidden="1" customWidth="1"/>
    <col min="65" max="75" width="9.140625" style="10" hidden="1" customWidth="1"/>
    <col min="76" max="76" width="9.42578125" style="10" hidden="1" customWidth="1"/>
    <col min="77" max="117" width="9.140625" style="10" hidden="1" customWidth="1"/>
    <col min="118" max="118" width="9.42578125" style="10" hidden="1" customWidth="1"/>
    <col min="119" max="123" width="9.140625" style="10" hidden="1" customWidth="1"/>
    <col min="124" max="124" width="9.42578125" style="10" hidden="1" customWidth="1"/>
    <col min="125" max="133" width="9.140625" style="10" hidden="1" customWidth="1"/>
    <col min="134" max="136" width="9.42578125" style="10" hidden="1" customWidth="1"/>
    <col min="137" max="144" width="9.140625" style="10" hidden="1" customWidth="1"/>
    <col min="145" max="148" width="9.140625" style="10"/>
    <col min="149" max="162" width="9.140625" style="6"/>
    <col min="163" max="16384" width="9.140625" style="10"/>
  </cols>
  <sheetData>
    <row r="1" spans="1:162" hidden="1" x14ac:dyDescent="0.2">
      <c r="A1" s="5"/>
      <c r="B1" s="6"/>
      <c r="C1" s="7"/>
      <c r="D1" s="7"/>
      <c r="E1" s="7"/>
      <c r="F1" s="7"/>
      <c r="G1" s="8"/>
      <c r="H1" s="8"/>
      <c r="I1" s="8"/>
      <c r="J1" s="9"/>
      <c r="K1" s="8"/>
      <c r="L1" s="6"/>
      <c r="M1" s="6"/>
      <c r="N1" s="6"/>
      <c r="O1" s="6"/>
      <c r="P1" s="6"/>
      <c r="Q1" s="6"/>
      <c r="R1" s="6"/>
      <c r="S1" s="6"/>
      <c r="T1" s="6"/>
      <c r="U1" s="6"/>
      <c r="V1" s="6"/>
      <c r="W1" s="6"/>
      <c r="X1" s="6"/>
      <c r="EN1" s="6"/>
      <c r="EO1" s="6"/>
      <c r="EP1" s="6"/>
      <c r="EQ1" s="6"/>
      <c r="ER1" s="6"/>
    </row>
    <row r="2" spans="1:162" ht="13.5" hidden="1" thickTop="1" x14ac:dyDescent="0.2">
      <c r="A2" s="5"/>
      <c r="B2" s="6"/>
      <c r="C2" s="7"/>
      <c r="D2" s="7"/>
      <c r="E2" s="7"/>
      <c r="F2" s="7"/>
      <c r="G2" s="8"/>
      <c r="H2" s="8"/>
      <c r="I2" s="8"/>
      <c r="J2" s="9"/>
      <c r="K2" s="8"/>
      <c r="L2" s="6"/>
      <c r="M2" s="1106" t="s">
        <v>206</v>
      </c>
      <c r="N2" s="1107"/>
      <c r="O2" s="1107"/>
      <c r="P2" s="1107"/>
      <c r="Q2" s="1107"/>
      <c r="R2" s="1107"/>
      <c r="S2" s="1107"/>
      <c r="T2" s="1107"/>
      <c r="U2" s="1107"/>
      <c r="V2" s="1107"/>
      <c r="W2" s="1108"/>
      <c r="X2" s="6"/>
      <c r="EN2" s="6"/>
      <c r="EO2" s="6"/>
      <c r="EP2" s="6"/>
      <c r="EQ2" s="6"/>
      <c r="ER2" s="6"/>
    </row>
    <row r="3" spans="1:162" hidden="1" x14ac:dyDescent="0.2">
      <c r="A3" s="5"/>
      <c r="B3" s="6"/>
      <c r="C3" s="7"/>
      <c r="D3" s="7"/>
      <c r="E3" s="7"/>
      <c r="F3" s="7"/>
      <c r="G3" s="8"/>
      <c r="H3" s="8"/>
      <c r="I3" s="8"/>
      <c r="J3" s="9"/>
      <c r="K3" s="8"/>
      <c r="L3" s="6"/>
      <c r="M3" s="1109"/>
      <c r="N3" s="1110"/>
      <c r="O3" s="1110"/>
      <c r="P3" s="1110"/>
      <c r="Q3" s="1110"/>
      <c r="R3" s="1110"/>
      <c r="S3" s="1110"/>
      <c r="T3" s="1110"/>
      <c r="U3" s="1110"/>
      <c r="V3" s="1110"/>
      <c r="W3" s="1111"/>
      <c r="X3" s="6"/>
      <c r="EN3" s="6"/>
      <c r="EO3" s="6"/>
      <c r="EP3" s="6"/>
      <c r="EQ3" s="6"/>
      <c r="ER3" s="6"/>
    </row>
    <row r="4" spans="1:162" hidden="1" x14ac:dyDescent="0.2">
      <c r="A4" s="5"/>
      <c r="B4" s="6"/>
      <c r="C4" s="7"/>
      <c r="D4" s="7"/>
      <c r="E4" s="7"/>
      <c r="F4" s="7"/>
      <c r="G4" s="8"/>
      <c r="H4" s="8"/>
      <c r="I4" s="8"/>
      <c r="J4" s="9"/>
      <c r="K4" s="8"/>
      <c r="L4" s="6"/>
      <c r="M4" s="1109"/>
      <c r="N4" s="1110"/>
      <c r="O4" s="1110"/>
      <c r="P4" s="1110"/>
      <c r="Q4" s="1110"/>
      <c r="R4" s="1110"/>
      <c r="S4" s="1110"/>
      <c r="T4" s="1110"/>
      <c r="U4" s="1110"/>
      <c r="V4" s="1110"/>
      <c r="W4" s="1111"/>
      <c r="X4" s="6"/>
      <c r="EN4" s="6"/>
      <c r="EO4" s="6"/>
      <c r="EP4" s="6"/>
      <c r="EQ4" s="6"/>
      <c r="ER4" s="6"/>
    </row>
    <row r="5" spans="1:162" hidden="1" x14ac:dyDescent="0.2">
      <c r="A5" s="5"/>
      <c r="B5" s="6"/>
      <c r="C5" s="7"/>
      <c r="D5" s="7"/>
      <c r="E5" s="7"/>
      <c r="F5" s="7"/>
      <c r="G5" s="8"/>
      <c r="H5" s="8"/>
      <c r="I5" s="8"/>
      <c r="J5" s="9"/>
      <c r="K5" s="8"/>
      <c r="L5" s="6"/>
      <c r="M5" s="1109"/>
      <c r="N5" s="1110"/>
      <c r="O5" s="1110"/>
      <c r="P5" s="1110"/>
      <c r="Q5" s="1110"/>
      <c r="R5" s="1110"/>
      <c r="S5" s="1110"/>
      <c r="T5" s="1110"/>
      <c r="U5" s="1110"/>
      <c r="V5" s="1110"/>
      <c r="W5" s="1111"/>
      <c r="X5" s="6"/>
      <c r="EN5" s="6"/>
      <c r="EO5" s="6"/>
      <c r="EP5" s="6"/>
      <c r="EQ5" s="6"/>
      <c r="ER5" s="6"/>
    </row>
    <row r="6" spans="1:162" hidden="1" x14ac:dyDescent="0.2">
      <c r="A6" s="5"/>
      <c r="B6" s="6"/>
      <c r="C6" s="7"/>
      <c r="D6" s="7"/>
      <c r="E6" s="7"/>
      <c r="F6" s="7"/>
      <c r="G6" s="8"/>
      <c r="H6" s="8"/>
      <c r="I6" s="8"/>
      <c r="J6" s="9"/>
      <c r="K6" s="8"/>
      <c r="L6" s="6"/>
      <c r="M6" s="1109"/>
      <c r="N6" s="1110"/>
      <c r="O6" s="1110"/>
      <c r="P6" s="1110"/>
      <c r="Q6" s="1110"/>
      <c r="R6" s="1110"/>
      <c r="S6" s="1110"/>
      <c r="T6" s="1110"/>
      <c r="U6" s="1110"/>
      <c r="V6" s="1110"/>
      <c r="W6" s="1111"/>
      <c r="X6" s="6"/>
      <c r="EN6" s="6"/>
      <c r="EO6" s="6"/>
      <c r="EP6" s="6"/>
      <c r="EQ6" s="6"/>
      <c r="ER6" s="6"/>
    </row>
    <row r="7" spans="1:162" s="14" customFormat="1" ht="13.5" hidden="1" thickBot="1" x14ac:dyDescent="0.25">
      <c r="A7" s="5"/>
      <c r="B7" s="6"/>
      <c r="C7" s="11"/>
      <c r="D7" s="11"/>
      <c r="E7" s="12"/>
      <c r="F7" s="13"/>
      <c r="G7" s="13"/>
      <c r="H7" s="13"/>
      <c r="I7" s="13"/>
      <c r="J7" s="13"/>
      <c r="K7" s="13"/>
      <c r="L7" s="13"/>
      <c r="M7" s="1112"/>
      <c r="N7" s="1113"/>
      <c r="O7" s="1113"/>
      <c r="P7" s="1113"/>
      <c r="Q7" s="1113"/>
      <c r="R7" s="1113"/>
      <c r="S7" s="1113"/>
      <c r="T7" s="1113"/>
      <c r="U7" s="1113"/>
      <c r="V7" s="1113"/>
      <c r="W7" s="1114"/>
      <c r="X7" s="6"/>
      <c r="EN7" s="6"/>
      <c r="EO7" s="6"/>
      <c r="EP7" s="6"/>
      <c r="EQ7" s="6"/>
      <c r="ER7" s="6"/>
      <c r="ES7" s="6"/>
      <c r="ET7" s="6"/>
      <c r="EU7" s="6"/>
      <c r="EV7" s="6"/>
      <c r="EW7" s="6"/>
      <c r="EX7" s="6"/>
      <c r="EY7" s="6"/>
      <c r="EZ7" s="6"/>
      <c r="FA7" s="6"/>
      <c r="FB7" s="6"/>
      <c r="FC7" s="6"/>
      <c r="FD7" s="6"/>
      <c r="FE7" s="6"/>
      <c r="FF7" s="6"/>
    </row>
    <row r="8" spans="1:162" s="14" customFormat="1" hidden="1" x14ac:dyDescent="0.2">
      <c r="A8" s="5"/>
      <c r="B8" s="6"/>
      <c r="C8" s="11"/>
      <c r="D8" s="11"/>
      <c r="E8" s="9"/>
      <c r="F8" s="13"/>
      <c r="G8" s="13"/>
      <c r="H8" s="13"/>
      <c r="I8" s="13"/>
      <c r="J8" s="13"/>
      <c r="K8" s="13"/>
      <c r="L8" s="13"/>
      <c r="M8" s="13"/>
      <c r="N8" s="13"/>
      <c r="O8" s="13"/>
      <c r="P8" s="13"/>
      <c r="Q8" s="13"/>
      <c r="R8" s="13"/>
      <c r="S8" s="13"/>
      <c r="T8" s="13"/>
      <c r="U8" s="13"/>
      <c r="V8" s="13"/>
      <c r="W8" s="13"/>
      <c r="X8" s="6"/>
      <c r="EN8" s="6"/>
      <c r="EO8" s="6"/>
      <c r="EP8" s="6"/>
      <c r="EQ8" s="6"/>
      <c r="ER8" s="6"/>
      <c r="ES8" s="6"/>
      <c r="ET8" s="6"/>
      <c r="EU8" s="6"/>
      <c r="EV8" s="6"/>
      <c r="EW8" s="6"/>
      <c r="EX8" s="6"/>
      <c r="EY8" s="6"/>
      <c r="EZ8" s="6"/>
      <c r="FA8" s="6"/>
      <c r="FB8" s="6"/>
      <c r="FC8" s="6"/>
      <c r="FD8" s="6"/>
      <c r="FE8" s="6"/>
      <c r="FF8" s="6"/>
    </row>
    <row r="9" spans="1:162" s="14" customFormat="1" ht="13.5" hidden="1" thickTop="1" x14ac:dyDescent="0.2">
      <c r="A9" s="5"/>
      <c r="B9" s="6"/>
      <c r="C9" s="11"/>
      <c r="D9" s="11"/>
      <c r="E9" s="15"/>
      <c r="F9" s="9"/>
      <c r="G9" s="16"/>
      <c r="H9" s="16"/>
      <c r="I9" s="16"/>
      <c r="J9" s="15"/>
      <c r="K9" s="16"/>
      <c r="L9" s="17"/>
      <c r="M9" s="1119"/>
      <c r="N9" s="1121" t="s">
        <v>317</v>
      </c>
      <c r="O9" s="1121"/>
      <c r="P9" s="1121"/>
      <c r="Q9" s="1121"/>
      <c r="R9" s="1121"/>
      <c r="S9" s="1121"/>
      <c r="T9" s="1121"/>
      <c r="U9" s="1121"/>
      <c r="V9" s="1121"/>
      <c r="W9" s="1122"/>
      <c r="X9" s="6"/>
      <c r="EN9" s="6"/>
      <c r="EO9" s="6"/>
      <c r="EP9" s="6"/>
      <c r="EQ9" s="6"/>
      <c r="ER9" s="6"/>
      <c r="ES9" s="6"/>
      <c r="ET9" s="6"/>
      <c r="EU9" s="6"/>
      <c r="EV9" s="6"/>
      <c r="EW9" s="6"/>
      <c r="EX9" s="6"/>
      <c r="EY9" s="6"/>
      <c r="EZ9" s="6"/>
      <c r="FA9" s="6"/>
      <c r="FB9" s="6"/>
      <c r="FC9" s="6"/>
      <c r="FD9" s="6"/>
      <c r="FE9" s="6"/>
      <c r="FF9" s="6"/>
    </row>
    <row r="10" spans="1:162" s="14" customFormat="1" hidden="1" x14ac:dyDescent="0.2">
      <c r="A10" s="5"/>
      <c r="B10" s="6"/>
      <c r="C10" s="18"/>
      <c r="D10" s="18"/>
      <c r="E10" s="15"/>
      <c r="F10" s="15"/>
      <c r="G10" s="16"/>
      <c r="H10" s="16"/>
      <c r="I10" s="16"/>
      <c r="J10" s="15"/>
      <c r="K10" s="16"/>
      <c r="L10" s="16"/>
      <c r="M10" s="1120"/>
      <c r="N10" s="1115"/>
      <c r="O10" s="1115"/>
      <c r="P10" s="1115"/>
      <c r="Q10" s="1115"/>
      <c r="R10" s="1115"/>
      <c r="S10" s="1115"/>
      <c r="T10" s="1115"/>
      <c r="U10" s="1115"/>
      <c r="V10" s="1115"/>
      <c r="W10" s="1116"/>
      <c r="X10" s="6"/>
      <c r="EN10" s="6"/>
      <c r="EO10" s="6"/>
      <c r="EP10" s="6"/>
      <c r="EQ10" s="6"/>
      <c r="ER10" s="6"/>
      <c r="ES10" s="6"/>
      <c r="ET10" s="6"/>
      <c r="EU10" s="6"/>
      <c r="EV10" s="6"/>
      <c r="EW10" s="6"/>
      <c r="EX10" s="6"/>
      <c r="EY10" s="6"/>
      <c r="EZ10" s="6"/>
      <c r="FA10" s="6"/>
      <c r="FB10" s="6"/>
      <c r="FC10" s="6"/>
      <c r="FD10" s="6"/>
      <c r="FE10" s="6"/>
      <c r="FF10" s="6"/>
    </row>
    <row r="11" spans="1:162" s="14" customFormat="1" hidden="1" x14ac:dyDescent="0.2">
      <c r="A11" s="5"/>
      <c r="B11" s="6"/>
      <c r="C11" s="18"/>
      <c r="D11" s="18"/>
      <c r="E11" s="9"/>
      <c r="F11" s="9"/>
      <c r="G11" s="8"/>
      <c r="H11" s="8"/>
      <c r="I11" s="8"/>
      <c r="J11" s="9"/>
      <c r="K11" s="8"/>
      <c r="L11" s="19"/>
      <c r="M11" s="1120"/>
      <c r="N11" s="1115"/>
      <c r="O11" s="1115"/>
      <c r="P11" s="1115"/>
      <c r="Q11" s="1115"/>
      <c r="R11" s="1115"/>
      <c r="S11" s="1115"/>
      <c r="T11" s="1115"/>
      <c r="U11" s="1115"/>
      <c r="V11" s="1115"/>
      <c r="W11" s="1116"/>
      <c r="X11" s="6"/>
      <c r="EN11" s="6"/>
      <c r="EO11" s="6"/>
      <c r="EP11" s="6"/>
      <c r="EQ11" s="6"/>
      <c r="ER11" s="6"/>
      <c r="ES11" s="6"/>
      <c r="ET11" s="6"/>
      <c r="EU11" s="6"/>
      <c r="EV11" s="6"/>
      <c r="EW11" s="6"/>
      <c r="EX11" s="6"/>
      <c r="EY11" s="6"/>
      <c r="EZ11" s="6"/>
      <c r="FA11" s="6"/>
      <c r="FB11" s="6"/>
      <c r="FC11" s="6"/>
      <c r="FD11" s="6"/>
      <c r="FE11" s="6"/>
      <c r="FF11" s="6"/>
    </row>
    <row r="12" spans="1:162" s="14" customFormat="1" hidden="1" x14ac:dyDescent="0.2">
      <c r="A12" s="5"/>
      <c r="B12" s="6"/>
      <c r="C12" s="18"/>
      <c r="D12" s="18"/>
      <c r="E12" s="9"/>
      <c r="F12" s="9"/>
      <c r="G12" s="8"/>
      <c r="H12" s="8"/>
      <c r="I12" s="8"/>
      <c r="J12" s="9"/>
      <c r="K12" s="8"/>
      <c r="L12" s="15"/>
      <c r="M12" s="1103"/>
      <c r="N12" s="1115" t="s">
        <v>316</v>
      </c>
      <c r="O12" s="1115"/>
      <c r="P12" s="1115"/>
      <c r="Q12" s="1115"/>
      <c r="R12" s="1115"/>
      <c r="S12" s="1115"/>
      <c r="T12" s="1115"/>
      <c r="U12" s="1115"/>
      <c r="V12" s="1115"/>
      <c r="W12" s="1116"/>
      <c r="X12" s="6"/>
      <c r="EN12" s="6"/>
      <c r="EO12" s="6"/>
      <c r="EP12" s="6"/>
      <c r="EQ12" s="6"/>
      <c r="ER12" s="6"/>
      <c r="ES12" s="6"/>
      <c r="ET12" s="6"/>
      <c r="EU12" s="6"/>
      <c r="EV12" s="6"/>
      <c r="EW12" s="6"/>
      <c r="EX12" s="6"/>
      <c r="EY12" s="6"/>
      <c r="EZ12" s="6"/>
      <c r="FA12" s="6"/>
      <c r="FB12" s="6"/>
      <c r="FC12" s="6"/>
      <c r="FD12" s="6"/>
      <c r="FE12" s="6"/>
      <c r="FF12" s="6"/>
    </row>
    <row r="13" spans="1:162" s="14" customFormat="1" hidden="1" x14ac:dyDescent="0.2">
      <c r="A13" s="5"/>
      <c r="B13" s="6"/>
      <c r="C13" s="18"/>
      <c r="D13" s="18"/>
      <c r="E13" s="9"/>
      <c r="F13" s="9"/>
      <c r="G13" s="8"/>
      <c r="H13" s="8"/>
      <c r="I13" s="8"/>
      <c r="J13" s="9"/>
      <c r="K13" s="8"/>
      <c r="L13" s="15"/>
      <c r="M13" s="1103"/>
      <c r="N13" s="1115"/>
      <c r="O13" s="1115"/>
      <c r="P13" s="1115"/>
      <c r="Q13" s="1115"/>
      <c r="R13" s="1115"/>
      <c r="S13" s="1115"/>
      <c r="T13" s="1115"/>
      <c r="U13" s="1115"/>
      <c r="V13" s="1115"/>
      <c r="W13" s="1116"/>
      <c r="X13" s="6"/>
      <c r="EN13" s="6"/>
      <c r="EO13" s="6"/>
      <c r="EP13" s="6"/>
      <c r="EQ13" s="6"/>
      <c r="ER13" s="6"/>
      <c r="ES13" s="6"/>
      <c r="ET13" s="6"/>
      <c r="EU13" s="6"/>
      <c r="EV13" s="6"/>
      <c r="EW13" s="6"/>
      <c r="EX13" s="6"/>
      <c r="EY13" s="6"/>
      <c r="EZ13" s="6"/>
      <c r="FA13" s="6"/>
      <c r="FB13" s="6"/>
      <c r="FC13" s="6"/>
      <c r="FD13" s="6"/>
      <c r="FE13" s="6"/>
      <c r="FF13" s="6"/>
    </row>
    <row r="14" spans="1:162" s="14" customFormat="1" hidden="1" x14ac:dyDescent="0.2">
      <c r="A14" s="5"/>
      <c r="B14" s="6"/>
      <c r="C14" s="18"/>
      <c r="D14" s="18"/>
      <c r="E14" s="9"/>
      <c r="F14" s="9"/>
      <c r="G14" s="8"/>
      <c r="H14" s="8"/>
      <c r="I14" s="8"/>
      <c r="J14" s="9"/>
      <c r="K14" s="8"/>
      <c r="L14" s="15"/>
      <c r="M14" s="1103"/>
      <c r="N14" s="1115"/>
      <c r="O14" s="1115"/>
      <c r="P14" s="1115"/>
      <c r="Q14" s="1115"/>
      <c r="R14" s="1115"/>
      <c r="S14" s="1115"/>
      <c r="T14" s="1115"/>
      <c r="U14" s="1115"/>
      <c r="V14" s="1115"/>
      <c r="W14" s="1116"/>
      <c r="X14" s="6"/>
      <c r="EN14" s="6"/>
      <c r="EO14" s="6"/>
      <c r="EP14" s="6"/>
      <c r="EQ14" s="6"/>
      <c r="ER14" s="6"/>
      <c r="ES14" s="6"/>
      <c r="ET14" s="6"/>
      <c r="EU14" s="6"/>
      <c r="EV14" s="6"/>
      <c r="EW14" s="6"/>
      <c r="EX14" s="6"/>
      <c r="EY14" s="6"/>
      <c r="EZ14" s="6"/>
      <c r="FA14" s="6"/>
      <c r="FB14" s="6"/>
      <c r="FC14" s="6"/>
      <c r="FD14" s="6"/>
      <c r="FE14" s="6"/>
      <c r="FF14" s="6"/>
    </row>
    <row r="15" spans="1:162" s="14" customFormat="1" hidden="1" x14ac:dyDescent="0.2">
      <c r="A15" s="5"/>
      <c r="B15" s="6"/>
      <c r="C15" s="18"/>
      <c r="D15" s="18"/>
      <c r="E15" s="9"/>
      <c r="F15" s="9"/>
      <c r="G15" s="8"/>
      <c r="H15" s="8"/>
      <c r="I15" s="8"/>
      <c r="J15" s="9"/>
      <c r="K15" s="8"/>
      <c r="L15" s="15"/>
      <c r="M15" s="1103"/>
      <c r="N15" s="1115" t="s">
        <v>315</v>
      </c>
      <c r="O15" s="1115"/>
      <c r="P15" s="1115"/>
      <c r="Q15" s="1115"/>
      <c r="R15" s="1115"/>
      <c r="S15" s="1115"/>
      <c r="T15" s="1115"/>
      <c r="U15" s="1115"/>
      <c r="V15" s="1115"/>
      <c r="W15" s="1116"/>
      <c r="X15" s="6"/>
      <c r="EN15" s="6"/>
      <c r="EO15" s="6"/>
      <c r="EP15" s="6"/>
      <c r="EQ15" s="6"/>
      <c r="ER15" s="6"/>
      <c r="ES15" s="6"/>
      <c r="ET15" s="6"/>
      <c r="EU15" s="6"/>
      <c r="EV15" s="6"/>
      <c r="EW15" s="6"/>
      <c r="EX15" s="6"/>
      <c r="EY15" s="6"/>
      <c r="EZ15" s="6"/>
      <c r="FA15" s="6"/>
      <c r="FB15" s="6"/>
      <c r="FC15" s="6"/>
      <c r="FD15" s="6"/>
      <c r="FE15" s="6"/>
      <c r="FF15" s="6"/>
    </row>
    <row r="16" spans="1:162" s="14" customFormat="1" hidden="1" x14ac:dyDescent="0.2">
      <c r="A16" s="5"/>
      <c r="B16" s="6"/>
      <c r="C16" s="18"/>
      <c r="D16" s="18"/>
      <c r="E16" s="9"/>
      <c r="F16" s="9"/>
      <c r="G16" s="8"/>
      <c r="H16" s="8"/>
      <c r="I16" s="8"/>
      <c r="J16" s="9"/>
      <c r="K16" s="8"/>
      <c r="L16" s="15"/>
      <c r="M16" s="1103"/>
      <c r="N16" s="1115"/>
      <c r="O16" s="1115"/>
      <c r="P16" s="1115"/>
      <c r="Q16" s="1115"/>
      <c r="R16" s="1115"/>
      <c r="S16" s="1115"/>
      <c r="T16" s="1115"/>
      <c r="U16" s="1115"/>
      <c r="V16" s="1115"/>
      <c r="W16" s="1116"/>
      <c r="X16" s="6"/>
      <c r="EN16" s="6"/>
      <c r="EO16" s="6"/>
      <c r="EP16" s="6"/>
      <c r="EQ16" s="6"/>
      <c r="ER16" s="6"/>
      <c r="ES16" s="6"/>
      <c r="ET16" s="6"/>
      <c r="EU16" s="6"/>
      <c r="EV16" s="6"/>
      <c r="EW16" s="6"/>
      <c r="EX16" s="6"/>
      <c r="EY16" s="6"/>
      <c r="EZ16" s="6"/>
      <c r="FA16" s="6"/>
      <c r="FB16" s="6"/>
      <c r="FC16" s="6"/>
      <c r="FD16" s="6"/>
      <c r="FE16" s="6"/>
      <c r="FF16" s="6"/>
    </row>
    <row r="17" spans="1:162" s="14" customFormat="1" hidden="1" x14ac:dyDescent="0.2">
      <c r="A17" s="5"/>
      <c r="B17" s="6"/>
      <c r="C17" s="18"/>
      <c r="D17" s="18"/>
      <c r="E17" s="9"/>
      <c r="F17" s="9"/>
      <c r="G17" s="8"/>
      <c r="H17" s="8"/>
      <c r="I17" s="8"/>
      <c r="J17" s="9"/>
      <c r="K17" s="8"/>
      <c r="L17" s="15"/>
      <c r="M17" s="1103"/>
      <c r="N17" s="1115"/>
      <c r="O17" s="1115"/>
      <c r="P17" s="1115"/>
      <c r="Q17" s="1115"/>
      <c r="R17" s="1115"/>
      <c r="S17" s="1115"/>
      <c r="T17" s="1115"/>
      <c r="U17" s="1115"/>
      <c r="V17" s="1115"/>
      <c r="W17" s="1116"/>
      <c r="X17" s="6"/>
      <c r="EN17" s="6"/>
      <c r="EO17" s="6"/>
      <c r="EP17" s="6"/>
      <c r="EQ17" s="6"/>
      <c r="ER17" s="6"/>
      <c r="ES17" s="6"/>
      <c r="ET17" s="6"/>
      <c r="EU17" s="6"/>
      <c r="EV17" s="6"/>
      <c r="EW17" s="6"/>
      <c r="EX17" s="6"/>
      <c r="EY17" s="6"/>
      <c r="EZ17" s="6"/>
      <c r="FA17" s="6"/>
      <c r="FB17" s="6"/>
      <c r="FC17" s="6"/>
      <c r="FD17" s="6"/>
      <c r="FE17" s="6"/>
      <c r="FF17" s="6"/>
    </row>
    <row r="18" spans="1:162" s="14" customFormat="1" hidden="1" x14ac:dyDescent="0.2">
      <c r="A18" s="5"/>
      <c r="B18" s="6"/>
      <c r="C18" s="18"/>
      <c r="D18" s="18"/>
      <c r="E18" s="9"/>
      <c r="F18" s="9"/>
      <c r="G18" s="8"/>
      <c r="H18" s="8"/>
      <c r="I18" s="8"/>
      <c r="J18" s="9"/>
      <c r="K18" s="8"/>
      <c r="L18" s="15"/>
      <c r="M18" s="1103"/>
      <c r="N18" s="1115" t="s">
        <v>314</v>
      </c>
      <c r="O18" s="1115"/>
      <c r="P18" s="1115"/>
      <c r="Q18" s="1115"/>
      <c r="R18" s="1115"/>
      <c r="S18" s="1115"/>
      <c r="T18" s="1115"/>
      <c r="U18" s="1115"/>
      <c r="V18" s="1115"/>
      <c r="W18" s="1116"/>
      <c r="X18" s="6"/>
      <c r="EN18" s="6"/>
      <c r="EO18" s="6"/>
      <c r="EP18" s="6"/>
      <c r="EQ18" s="6"/>
      <c r="ER18" s="6"/>
      <c r="ES18" s="6"/>
      <c r="ET18" s="6"/>
      <c r="EU18" s="6"/>
      <c r="EV18" s="6"/>
      <c r="EW18" s="6"/>
      <c r="EX18" s="6"/>
      <c r="EY18" s="6"/>
      <c r="EZ18" s="6"/>
      <c r="FA18" s="6"/>
      <c r="FB18" s="6"/>
      <c r="FC18" s="6"/>
      <c r="FD18" s="6"/>
      <c r="FE18" s="6"/>
      <c r="FF18" s="6"/>
    </row>
    <row r="19" spans="1:162" s="14" customFormat="1" hidden="1" x14ac:dyDescent="0.2">
      <c r="A19" s="5"/>
      <c r="B19" s="6"/>
      <c r="C19" s="18"/>
      <c r="D19" s="18"/>
      <c r="E19" s="12"/>
      <c r="F19" s="1163"/>
      <c r="G19" s="20"/>
      <c r="H19" s="20"/>
      <c r="I19" s="20"/>
      <c r="J19" s="13"/>
      <c r="K19" s="13"/>
      <c r="L19" s="13"/>
      <c r="M19" s="1103"/>
      <c r="N19" s="1115"/>
      <c r="O19" s="1115"/>
      <c r="P19" s="1115"/>
      <c r="Q19" s="1115"/>
      <c r="R19" s="1115"/>
      <c r="S19" s="1115"/>
      <c r="T19" s="1115"/>
      <c r="U19" s="1115"/>
      <c r="V19" s="1115"/>
      <c r="W19" s="1116"/>
      <c r="X19" s="6"/>
      <c r="EN19" s="6"/>
      <c r="EO19" s="6"/>
      <c r="EP19" s="6"/>
      <c r="EQ19" s="6"/>
      <c r="ER19" s="6"/>
      <c r="ES19" s="6"/>
      <c r="ET19" s="6"/>
      <c r="EU19" s="6"/>
      <c r="EV19" s="6"/>
      <c r="EW19" s="6"/>
      <c r="EX19" s="6"/>
      <c r="EY19" s="6"/>
      <c r="EZ19" s="6"/>
      <c r="FA19" s="6"/>
      <c r="FB19" s="6"/>
      <c r="FC19" s="6"/>
      <c r="FD19" s="6"/>
      <c r="FE19" s="6"/>
      <c r="FF19" s="6"/>
    </row>
    <row r="20" spans="1:162" s="14" customFormat="1" ht="13.5" hidden="1" thickBot="1" x14ac:dyDescent="0.25">
      <c r="A20" s="5"/>
      <c r="B20" s="6"/>
      <c r="C20" s="18"/>
      <c r="D20" s="18"/>
      <c r="E20" s="9"/>
      <c r="F20" s="1163"/>
      <c r="G20" s="13"/>
      <c r="H20" s="13"/>
      <c r="I20" s="13"/>
      <c r="J20" s="13"/>
      <c r="K20" s="13"/>
      <c r="L20" s="13"/>
      <c r="M20" s="1104"/>
      <c r="N20" s="1117"/>
      <c r="O20" s="1117"/>
      <c r="P20" s="1117"/>
      <c r="Q20" s="1117"/>
      <c r="R20" s="1117"/>
      <c r="S20" s="1117"/>
      <c r="T20" s="1117"/>
      <c r="U20" s="1117"/>
      <c r="V20" s="1117"/>
      <c r="W20" s="1118"/>
      <c r="X20" s="6"/>
      <c r="EN20" s="6"/>
      <c r="EO20" s="6"/>
      <c r="EP20" s="6"/>
      <c r="EQ20" s="6"/>
      <c r="ER20" s="6"/>
      <c r="ES20" s="6"/>
      <c r="ET20" s="6"/>
      <c r="EU20" s="6"/>
      <c r="EV20" s="6"/>
      <c r="EW20" s="6"/>
      <c r="EX20" s="6"/>
      <c r="EY20" s="6"/>
      <c r="EZ20" s="6"/>
      <c r="FA20" s="6"/>
      <c r="FB20" s="6"/>
      <c r="FC20" s="6"/>
      <c r="FD20" s="6"/>
      <c r="FE20" s="6"/>
      <c r="FF20" s="6"/>
    </row>
    <row r="21" spans="1:162" s="14" customFormat="1" hidden="1" x14ac:dyDescent="0.2">
      <c r="A21" s="5"/>
      <c r="B21" s="6"/>
      <c r="C21" s="18"/>
      <c r="D21" s="18"/>
      <c r="E21" s="9"/>
      <c r="F21" s="1163"/>
      <c r="G21" s="8"/>
      <c r="H21" s="8"/>
      <c r="I21" s="8"/>
      <c r="J21" s="8"/>
      <c r="K21" s="8"/>
      <c r="L21" s="9"/>
      <c r="M21" s="9"/>
      <c r="N21" s="9"/>
      <c r="O21" s="9"/>
      <c r="P21" s="9"/>
      <c r="Q21" s="9"/>
      <c r="R21" s="9"/>
      <c r="S21" s="9"/>
      <c r="T21" s="9"/>
      <c r="U21" s="9"/>
      <c r="V21" s="9"/>
      <c r="W21" s="9"/>
      <c r="X21" s="6"/>
      <c r="EN21" s="6"/>
      <c r="EO21" s="6"/>
      <c r="EP21" s="6"/>
      <c r="EQ21" s="6"/>
      <c r="ER21" s="6"/>
      <c r="ES21" s="6"/>
      <c r="ET21" s="6"/>
      <c r="EU21" s="6"/>
      <c r="EV21" s="6"/>
      <c r="EW21" s="6"/>
      <c r="EX21" s="6"/>
      <c r="EY21" s="6"/>
      <c r="EZ21" s="6"/>
      <c r="FA21" s="6"/>
      <c r="FB21" s="6"/>
      <c r="FC21" s="6"/>
      <c r="FD21" s="6"/>
      <c r="FE21" s="6"/>
      <c r="FF21" s="6"/>
    </row>
    <row r="22" spans="1:162" s="14" customFormat="1" hidden="1" x14ac:dyDescent="0.2">
      <c r="A22" s="5"/>
      <c r="B22" s="6"/>
      <c r="C22" s="18"/>
      <c r="D22" s="18"/>
      <c r="E22" s="9"/>
      <c r="F22" s="9"/>
      <c r="G22" s="21"/>
      <c r="H22" s="21"/>
      <c r="I22" s="21"/>
      <c r="J22" s="9"/>
      <c r="K22" s="8"/>
      <c r="L22" s="9"/>
      <c r="M22" s="1123" t="s">
        <v>313</v>
      </c>
      <c r="N22" s="1124"/>
      <c r="O22" s="1124"/>
      <c r="P22" s="1124"/>
      <c r="Q22" s="1124"/>
      <c r="R22" s="1124"/>
      <c r="S22" s="1124"/>
      <c r="T22" s="1124"/>
      <c r="U22" s="1124"/>
      <c r="V22" s="1124"/>
      <c r="W22" s="1125"/>
      <c r="X22" s="6"/>
      <c r="EN22" s="6"/>
      <c r="EO22" s="6"/>
      <c r="EP22" s="6"/>
      <c r="EQ22" s="6"/>
      <c r="ER22" s="6"/>
      <c r="ES22" s="6"/>
      <c r="ET22" s="6"/>
      <c r="EU22" s="6"/>
      <c r="EV22" s="6"/>
      <c r="EW22" s="6"/>
      <c r="EX22" s="6"/>
      <c r="EY22" s="6"/>
      <c r="EZ22" s="6"/>
      <c r="FA22" s="6"/>
      <c r="FB22" s="6"/>
      <c r="FC22" s="6"/>
      <c r="FD22" s="6"/>
      <c r="FE22" s="6"/>
      <c r="FF22" s="6"/>
    </row>
    <row r="23" spans="1:162" s="14" customFormat="1" ht="13.5" hidden="1" thickBot="1" x14ac:dyDescent="0.25">
      <c r="A23" s="5"/>
      <c r="B23" s="6"/>
      <c r="C23" s="18"/>
      <c r="D23" s="18"/>
      <c r="E23" s="9"/>
      <c r="F23" s="9"/>
      <c r="G23" s="21"/>
      <c r="H23" s="21"/>
      <c r="I23" s="21"/>
      <c r="J23" s="9"/>
      <c r="K23" s="8"/>
      <c r="L23" s="12"/>
      <c r="M23" s="1126"/>
      <c r="N23" s="1127"/>
      <c r="O23" s="1127"/>
      <c r="P23" s="1127"/>
      <c r="Q23" s="1127"/>
      <c r="R23" s="1127"/>
      <c r="S23" s="1127"/>
      <c r="T23" s="1127"/>
      <c r="U23" s="1127"/>
      <c r="V23" s="1127"/>
      <c r="W23" s="1128"/>
      <c r="X23" s="6"/>
      <c r="EN23" s="6"/>
      <c r="EO23" s="6"/>
      <c r="EP23" s="6"/>
      <c r="EQ23" s="6"/>
      <c r="ER23" s="6"/>
      <c r="ES23" s="6"/>
      <c r="ET23" s="6"/>
      <c r="EU23" s="6"/>
      <c r="EV23" s="6"/>
      <c r="EW23" s="6"/>
      <c r="EX23" s="6"/>
      <c r="EY23" s="6"/>
      <c r="EZ23" s="6"/>
      <c r="FA23" s="6"/>
      <c r="FB23" s="6"/>
      <c r="FC23" s="6"/>
      <c r="FD23" s="6"/>
      <c r="FE23" s="6"/>
      <c r="FF23" s="6"/>
    </row>
    <row r="24" spans="1:162" s="14" customFormat="1" hidden="1" x14ac:dyDescent="0.2">
      <c r="A24" s="22"/>
      <c r="B24" s="23"/>
      <c r="C24" s="18"/>
      <c r="D24" s="18"/>
      <c r="E24" s="9"/>
      <c r="F24" s="9"/>
      <c r="G24" s="21"/>
      <c r="H24" s="21"/>
      <c r="I24" s="21"/>
      <c r="J24" s="9"/>
      <c r="K24" s="8"/>
      <c r="L24" s="16"/>
      <c r="M24" s="16"/>
      <c r="N24" s="24"/>
      <c r="O24" s="25"/>
      <c r="P24" s="26"/>
      <c r="Q24" s="26"/>
      <c r="R24" s="26"/>
      <c r="S24" s="26"/>
      <c r="T24" s="26"/>
      <c r="U24" s="26"/>
      <c r="V24" s="26"/>
      <c r="W24" s="26"/>
      <c r="X24" s="6"/>
      <c r="EN24" s="6"/>
      <c r="EO24" s="6"/>
      <c r="EP24" s="6"/>
      <c r="EQ24" s="6"/>
      <c r="ER24" s="6"/>
      <c r="ES24" s="6"/>
      <c r="ET24" s="6"/>
      <c r="EU24" s="6"/>
      <c r="EV24" s="6"/>
      <c r="EW24" s="6"/>
      <c r="EX24" s="6"/>
      <c r="EY24" s="6"/>
      <c r="EZ24" s="6"/>
      <c r="FA24" s="6"/>
      <c r="FB24" s="6"/>
      <c r="FC24" s="6"/>
      <c r="FD24" s="6"/>
      <c r="FE24" s="6"/>
      <c r="FF24" s="6"/>
    </row>
    <row r="25" spans="1:162" ht="80.099999999999994" customHeight="1" x14ac:dyDescent="0.2">
      <c r="A25" s="22"/>
      <c r="B25" s="1176"/>
      <c r="C25" s="1176"/>
      <c r="D25" s="27"/>
      <c r="E25" s="27"/>
      <c r="F25" s="27"/>
      <c r="G25" s="28"/>
      <c r="H25" s="28"/>
      <c r="I25" s="28"/>
      <c r="J25" s="22"/>
      <c r="K25" s="28"/>
      <c r="L25" s="1163"/>
      <c r="M25" s="1163"/>
      <c r="N25" s="1163" t="s">
        <v>312</v>
      </c>
      <c r="O25" s="1163"/>
      <c r="P25" s="1163"/>
      <c r="Q25" s="1163"/>
      <c r="R25" s="1163"/>
      <c r="S25" s="1163"/>
      <c r="T25" s="1163"/>
      <c r="U25" s="1163"/>
      <c r="V25" s="1163"/>
      <c r="W25" s="29"/>
      <c r="Y25" s="30"/>
      <c r="Z25" s="30"/>
      <c r="AA25" s="30"/>
      <c r="AB25" s="30"/>
      <c r="AC25" s="30"/>
      <c r="AD25" s="30"/>
      <c r="AE25" s="30"/>
      <c r="AF25" s="30"/>
      <c r="AG25" s="30"/>
      <c r="AH25" s="30"/>
      <c r="AI25" s="30"/>
      <c r="AJ25" s="30"/>
      <c r="AK25" s="30"/>
      <c r="AL25" s="30"/>
      <c r="AM25" s="30"/>
      <c r="AN25" s="30"/>
      <c r="AO25" s="30"/>
      <c r="AP25" s="30"/>
      <c r="AQ25" s="30"/>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6"/>
      <c r="EO25" s="6"/>
      <c r="EP25" s="6"/>
      <c r="EQ25" s="6"/>
      <c r="ER25" s="6"/>
    </row>
    <row r="26" spans="1:162" ht="13.5" thickBot="1" x14ac:dyDescent="0.25">
      <c r="A26" s="5"/>
      <c r="B26" s="23"/>
      <c r="C26" s="31"/>
      <c r="D26" s="31"/>
      <c r="E26" s="31"/>
      <c r="F26" s="31"/>
      <c r="G26" s="31"/>
      <c r="H26" s="31"/>
      <c r="I26" s="31"/>
      <c r="J26" s="31"/>
      <c r="K26" s="31"/>
      <c r="L26" s="32"/>
      <c r="M26" s="1177"/>
      <c r="N26" s="1178"/>
      <c r="O26" s="1178"/>
      <c r="P26" s="1179"/>
      <c r="Q26" s="1180"/>
      <c r="R26" s="1181"/>
      <c r="S26" s="32"/>
      <c r="T26" s="32"/>
      <c r="U26" s="32"/>
      <c r="V26" s="32"/>
      <c r="W26" s="32"/>
      <c r="X26" s="6"/>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6"/>
      <c r="EO26" s="6"/>
      <c r="EP26" s="6"/>
      <c r="EQ26" s="6"/>
      <c r="ER26" s="6"/>
    </row>
    <row r="27" spans="1:162" ht="37.5" customHeight="1" thickBot="1" x14ac:dyDescent="0.25">
      <c r="A27" s="5"/>
      <c r="B27" s="1171"/>
      <c r="C27" s="1171"/>
      <c r="D27" s="21"/>
      <c r="E27" s="21"/>
      <c r="F27" s="21"/>
      <c r="G27" s="1171"/>
      <c r="H27" s="1171"/>
      <c r="I27" s="1171"/>
      <c r="J27" s="1171"/>
      <c r="K27" s="1171"/>
      <c r="L27" s="33" t="s">
        <v>332</v>
      </c>
      <c r="M27" s="1105" t="s">
        <v>311</v>
      </c>
      <c r="N27" s="1105"/>
      <c r="O27" s="1129" t="s">
        <v>385</v>
      </c>
      <c r="P27" s="1130"/>
      <c r="Q27" s="1131"/>
      <c r="R27" s="1132" t="s">
        <v>338</v>
      </c>
      <c r="S27" s="1132"/>
      <c r="T27" s="1132"/>
      <c r="U27" s="1182" t="s">
        <v>337</v>
      </c>
      <c r="V27" s="1182"/>
      <c r="W27" s="34" t="s">
        <v>310</v>
      </c>
      <c r="X27" s="6"/>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6"/>
      <c r="EO27" s="6"/>
      <c r="EP27" s="6"/>
      <c r="EQ27" s="6"/>
      <c r="ER27" s="6"/>
    </row>
    <row r="28" spans="1:162" s="40" customFormat="1" ht="124.5" customHeight="1" thickBot="1" x14ac:dyDescent="0.25">
      <c r="A28" s="135"/>
      <c r="B28" s="1172" t="s">
        <v>62</v>
      </c>
      <c r="C28" s="1172" t="s">
        <v>309</v>
      </c>
      <c r="D28" s="1167" t="s">
        <v>308</v>
      </c>
      <c r="E28" s="1172" t="s">
        <v>10</v>
      </c>
      <c r="F28" s="1167" t="s">
        <v>307</v>
      </c>
      <c r="G28" s="1169" t="s">
        <v>306</v>
      </c>
      <c r="H28" s="1169" t="s">
        <v>305</v>
      </c>
      <c r="I28" s="1169" t="s">
        <v>211</v>
      </c>
      <c r="J28" s="1167" t="s">
        <v>11</v>
      </c>
      <c r="K28" s="1169" t="s">
        <v>64</v>
      </c>
      <c r="L28" s="36"/>
      <c r="M28" s="37"/>
      <c r="N28" s="37"/>
      <c r="O28" s="37"/>
      <c r="P28" s="37" t="s">
        <v>346</v>
      </c>
      <c r="Q28" s="37" t="s">
        <v>346</v>
      </c>
      <c r="R28" s="37" t="s">
        <v>333</v>
      </c>
      <c r="S28" s="37" t="s">
        <v>334</v>
      </c>
      <c r="T28" s="37" t="s">
        <v>335</v>
      </c>
      <c r="U28" s="37" t="s">
        <v>344</v>
      </c>
      <c r="V28" s="37" t="s">
        <v>345</v>
      </c>
      <c r="W28" s="38" t="s">
        <v>336</v>
      </c>
      <c r="X28" s="39"/>
      <c r="AQ28" s="41" t="s">
        <v>304</v>
      </c>
      <c r="AY28" s="41"/>
      <c r="BH28" s="42" t="s">
        <v>303</v>
      </c>
      <c r="BI28" s="43"/>
      <c r="BJ28" s="43"/>
      <c r="BK28" s="43"/>
      <c r="BL28" s="44"/>
      <c r="BM28" s="45"/>
      <c r="BN28" s="45"/>
      <c r="BO28" s="46"/>
      <c r="BP28" s="47" t="s">
        <v>302</v>
      </c>
      <c r="BQ28" s="48"/>
      <c r="BR28" s="48"/>
      <c r="BS28" s="49"/>
      <c r="BT28" s="49"/>
      <c r="BU28" s="50"/>
      <c r="BV28" s="51" t="s">
        <v>301</v>
      </c>
      <c r="BW28" s="52"/>
      <c r="BX28" s="52"/>
      <c r="BY28" s="52"/>
      <c r="BZ28" s="52"/>
      <c r="CA28" s="52"/>
      <c r="CB28" s="52"/>
      <c r="CC28" s="52"/>
      <c r="CD28" s="53"/>
      <c r="CE28" s="53"/>
      <c r="CF28" s="54"/>
      <c r="CG28" s="55" t="s">
        <v>300</v>
      </c>
      <c r="CH28" s="56"/>
      <c r="CI28" s="56"/>
      <c r="CJ28" s="56"/>
      <c r="CK28" s="56"/>
      <c r="CL28" s="56"/>
      <c r="CM28" s="56"/>
      <c r="CN28" s="56"/>
      <c r="CO28" s="56"/>
      <c r="CP28" s="56"/>
      <c r="CQ28" s="56"/>
      <c r="CR28" s="56"/>
      <c r="CS28" s="56"/>
      <c r="CT28" s="56"/>
      <c r="CU28" s="56"/>
      <c r="CV28" s="56"/>
      <c r="CW28" s="56"/>
      <c r="CX28" s="56"/>
      <c r="CY28" s="56"/>
      <c r="CZ28" s="57"/>
      <c r="DA28" s="57"/>
      <c r="DB28" s="58"/>
      <c r="DC28" s="51" t="s">
        <v>299</v>
      </c>
      <c r="DD28" s="52"/>
      <c r="DE28" s="52"/>
      <c r="DF28" s="52"/>
      <c r="DG28" s="52"/>
      <c r="DH28" s="52"/>
      <c r="DI28" s="52"/>
      <c r="DJ28" s="52"/>
      <c r="DK28" s="52"/>
      <c r="DL28" s="52"/>
      <c r="DM28" s="52"/>
      <c r="DN28" s="52"/>
      <c r="DO28" s="52"/>
      <c r="DP28" s="52"/>
      <c r="DQ28" s="52"/>
      <c r="DR28" s="52"/>
      <c r="DS28" s="52"/>
      <c r="DT28" s="52"/>
      <c r="DU28" s="52"/>
      <c r="DV28" s="53"/>
      <c r="DW28" s="53"/>
      <c r="DX28" s="52"/>
      <c r="DY28" s="59" t="s">
        <v>298</v>
      </c>
      <c r="DZ28" s="60"/>
      <c r="EA28" s="60"/>
      <c r="EB28" s="60"/>
      <c r="EC28" s="60"/>
      <c r="ED28" s="60"/>
      <c r="EE28" s="60"/>
      <c r="EF28" s="60"/>
      <c r="EG28" s="60"/>
      <c r="EH28" s="60"/>
      <c r="EI28" s="60"/>
      <c r="EJ28" s="60"/>
      <c r="EK28" s="61"/>
      <c r="EL28" s="61"/>
      <c r="EM28" s="62"/>
      <c r="EN28" s="35"/>
      <c r="EO28" s="35"/>
      <c r="EP28" s="35"/>
      <c r="EQ28" s="35"/>
      <c r="ER28" s="35"/>
      <c r="ES28" s="35"/>
      <c r="ET28" s="35"/>
      <c r="EU28" s="35"/>
      <c r="EV28" s="35"/>
      <c r="EW28" s="35"/>
      <c r="EX28" s="35"/>
      <c r="EY28" s="35"/>
      <c r="EZ28" s="35"/>
      <c r="FA28" s="35"/>
      <c r="FB28" s="35"/>
      <c r="FC28" s="35"/>
      <c r="FD28" s="35"/>
      <c r="FE28" s="35"/>
      <c r="FF28" s="35"/>
    </row>
    <row r="29" spans="1:162" s="63" customFormat="1" ht="51" customHeight="1" thickBot="1" x14ac:dyDescent="0.25">
      <c r="A29" s="136"/>
      <c r="B29" s="1173"/>
      <c r="C29" s="1173"/>
      <c r="D29" s="1168"/>
      <c r="E29" s="1173"/>
      <c r="F29" s="1168"/>
      <c r="G29" s="1170"/>
      <c r="H29" s="1170"/>
      <c r="I29" s="1170"/>
      <c r="J29" s="1168"/>
      <c r="K29" s="1170"/>
      <c r="L29" s="64" t="s">
        <v>339</v>
      </c>
      <c r="M29" s="64" t="s">
        <v>339</v>
      </c>
      <c r="N29" s="64"/>
      <c r="O29" s="64"/>
      <c r="P29" s="64"/>
      <c r="Q29" s="64"/>
      <c r="R29" s="64"/>
      <c r="S29" s="64"/>
      <c r="T29" s="64"/>
      <c r="U29" s="64"/>
      <c r="V29" s="64" t="s">
        <v>297</v>
      </c>
      <c r="W29" s="64" t="s">
        <v>297</v>
      </c>
      <c r="X29" s="65" t="s">
        <v>295</v>
      </c>
      <c r="Y29" s="1102" t="s">
        <v>294</v>
      </c>
      <c r="Z29" s="1097"/>
      <c r="AA29" s="1097" t="s">
        <v>293</v>
      </c>
      <c r="AB29" s="1097"/>
      <c r="AC29" s="1097" t="s">
        <v>152</v>
      </c>
      <c r="AD29" s="1097"/>
      <c r="AE29" s="1097" t="s">
        <v>151</v>
      </c>
      <c r="AF29" s="1097"/>
      <c r="AG29" s="1097" t="s">
        <v>150</v>
      </c>
      <c r="AH29" s="1097"/>
      <c r="AI29" s="1097" t="s">
        <v>149</v>
      </c>
      <c r="AJ29" s="1097"/>
      <c r="AK29" s="1097"/>
      <c r="AL29" s="1097"/>
      <c r="AM29" s="1097" t="s">
        <v>148</v>
      </c>
      <c r="AN29" s="1097"/>
      <c r="AO29" s="1097" t="s">
        <v>147</v>
      </c>
      <c r="AP29" s="1101"/>
      <c r="AQ29" s="66" t="s">
        <v>125</v>
      </c>
      <c r="AR29" s="67" t="s">
        <v>146</v>
      </c>
      <c r="AS29" s="67" t="s">
        <v>145</v>
      </c>
      <c r="AT29" s="67" t="s">
        <v>144</v>
      </c>
      <c r="AU29" s="67" t="s">
        <v>143</v>
      </c>
      <c r="AV29" s="67" t="s">
        <v>142</v>
      </c>
      <c r="AW29" s="67" t="s">
        <v>141</v>
      </c>
      <c r="AX29" s="67" t="s">
        <v>140</v>
      </c>
      <c r="AY29" s="67" t="s">
        <v>139</v>
      </c>
      <c r="AZ29" s="67" t="s">
        <v>138</v>
      </c>
      <c r="BA29" s="67" t="s">
        <v>21</v>
      </c>
      <c r="BB29" s="67" t="s">
        <v>42</v>
      </c>
      <c r="BC29" s="67" t="s">
        <v>26</v>
      </c>
      <c r="BD29" s="67" t="s">
        <v>33</v>
      </c>
      <c r="BE29" s="68" t="s">
        <v>120</v>
      </c>
      <c r="BF29" s="69" t="s">
        <v>120</v>
      </c>
      <c r="BG29" s="70"/>
      <c r="BH29" s="71" t="s">
        <v>125</v>
      </c>
      <c r="BI29" s="72" t="s">
        <v>124</v>
      </c>
      <c r="BJ29" s="72" t="s">
        <v>123</v>
      </c>
      <c r="BK29" s="71" t="s">
        <v>21</v>
      </c>
      <c r="BL29" s="71" t="s">
        <v>30</v>
      </c>
      <c r="BM29" s="73" t="s">
        <v>120</v>
      </c>
      <c r="BN29" s="74" t="s">
        <v>120</v>
      </c>
      <c r="BO29" s="75"/>
      <c r="BP29" s="76" t="s">
        <v>125</v>
      </c>
      <c r="BQ29" s="77" t="s">
        <v>26</v>
      </c>
      <c r="BR29" s="76" t="s">
        <v>21</v>
      </c>
      <c r="BS29" s="77" t="s">
        <v>120</v>
      </c>
      <c r="BT29" s="78" t="s">
        <v>120</v>
      </c>
      <c r="BU29" s="50"/>
      <c r="BV29" s="79" t="s">
        <v>125</v>
      </c>
      <c r="BW29" s="80" t="s">
        <v>28</v>
      </c>
      <c r="BX29" s="80" t="s">
        <v>33</v>
      </c>
      <c r="BY29" s="80" t="s">
        <v>36</v>
      </c>
      <c r="BZ29" s="79" t="s">
        <v>21</v>
      </c>
      <c r="CA29" s="80" t="s">
        <v>41</v>
      </c>
      <c r="CB29" s="80" t="s">
        <v>40</v>
      </c>
      <c r="CC29" s="80" t="s">
        <v>2</v>
      </c>
      <c r="CD29" s="80" t="s">
        <v>120</v>
      </c>
      <c r="CE29" s="81" t="s">
        <v>120</v>
      </c>
      <c r="CF29" s="54"/>
      <c r="CG29" s="82" t="s">
        <v>125</v>
      </c>
      <c r="CH29" s="83" t="s">
        <v>124</v>
      </c>
      <c r="CI29" s="83" t="s">
        <v>123</v>
      </c>
      <c r="CJ29" s="83" t="s">
        <v>65</v>
      </c>
      <c r="CK29" s="83" t="s">
        <v>67</v>
      </c>
      <c r="CL29" s="83" t="s">
        <v>68</v>
      </c>
      <c r="CM29" s="83" t="s">
        <v>69</v>
      </c>
      <c r="CN29" s="83" t="s">
        <v>207</v>
      </c>
      <c r="CO29" s="83" t="s">
        <v>208</v>
      </c>
      <c r="CP29" s="83" t="s">
        <v>43</v>
      </c>
      <c r="CQ29" s="83" t="s">
        <v>33</v>
      </c>
      <c r="CR29" s="82" t="s">
        <v>21</v>
      </c>
      <c r="CS29" s="83" t="s">
        <v>44</v>
      </c>
      <c r="CT29" s="83" t="s">
        <v>41</v>
      </c>
      <c r="CU29" s="83" t="s">
        <v>209</v>
      </c>
      <c r="CV29" s="83" t="s">
        <v>210</v>
      </c>
      <c r="CW29" s="83" t="s">
        <v>45</v>
      </c>
      <c r="CX29" s="83" t="s">
        <v>39</v>
      </c>
      <c r="CY29" s="83" t="s">
        <v>26</v>
      </c>
      <c r="CZ29" s="83" t="s">
        <v>120</v>
      </c>
      <c r="DA29" s="84" t="s">
        <v>120</v>
      </c>
      <c r="DB29" s="58"/>
      <c r="DC29" s="79" t="s">
        <v>125</v>
      </c>
      <c r="DD29" s="79" t="s">
        <v>137</v>
      </c>
      <c r="DE29" s="79" t="s">
        <v>136</v>
      </c>
      <c r="DF29" s="79" t="s">
        <v>166</v>
      </c>
      <c r="DG29" s="80" t="s">
        <v>135</v>
      </c>
      <c r="DH29" s="80" t="s">
        <v>134</v>
      </c>
      <c r="DI29" s="80" t="s">
        <v>133</v>
      </c>
      <c r="DJ29" s="80" t="s">
        <v>132</v>
      </c>
      <c r="DK29" s="80" t="s">
        <v>21</v>
      </c>
      <c r="DL29" s="80" t="s">
        <v>131</v>
      </c>
      <c r="DM29" s="80" t="s">
        <v>130</v>
      </c>
      <c r="DN29" s="80" t="s">
        <v>129</v>
      </c>
      <c r="DO29" s="80" t="s">
        <v>128</v>
      </c>
      <c r="DP29" s="80" t="s">
        <v>36</v>
      </c>
      <c r="DQ29" s="80" t="s">
        <v>127</v>
      </c>
      <c r="DR29" s="80" t="s">
        <v>126</v>
      </c>
      <c r="DS29" s="80" t="s">
        <v>38</v>
      </c>
      <c r="DT29" s="80" t="s">
        <v>40</v>
      </c>
      <c r="DU29" s="80" t="s">
        <v>26</v>
      </c>
      <c r="DV29" s="80" t="s">
        <v>120</v>
      </c>
      <c r="DW29" s="81" t="s">
        <v>120</v>
      </c>
      <c r="DX29" s="85"/>
      <c r="DY29" s="86" t="s">
        <v>125</v>
      </c>
      <c r="DZ29" s="87" t="s">
        <v>124</v>
      </c>
      <c r="EA29" s="87" t="s">
        <v>123</v>
      </c>
      <c r="EB29" s="87" t="s">
        <v>122</v>
      </c>
      <c r="EC29" s="87" t="s">
        <v>121</v>
      </c>
      <c r="ED29" s="87" t="s">
        <v>209</v>
      </c>
      <c r="EE29" s="87" t="s">
        <v>210</v>
      </c>
      <c r="EF29" s="87" t="s">
        <v>34</v>
      </c>
      <c r="EG29" s="87" t="s">
        <v>39</v>
      </c>
      <c r="EH29" s="87" t="s">
        <v>37</v>
      </c>
      <c r="EI29" s="87" t="s">
        <v>33</v>
      </c>
      <c r="EJ29" s="86" t="s">
        <v>21</v>
      </c>
      <c r="EK29" s="87" t="s">
        <v>120</v>
      </c>
      <c r="EL29" s="88" t="s">
        <v>120</v>
      </c>
      <c r="EM29" s="62"/>
      <c r="EN29" s="89"/>
      <c r="EO29" s="89"/>
      <c r="EP29" s="89"/>
      <c r="EQ29" s="89"/>
      <c r="ER29" s="89"/>
      <c r="ES29" s="89"/>
      <c r="ET29" s="89"/>
      <c r="EU29" s="89"/>
      <c r="EV29" s="89"/>
      <c r="EW29" s="89"/>
      <c r="EX29" s="89"/>
      <c r="EY29" s="89"/>
      <c r="EZ29" s="89"/>
      <c r="FA29" s="89"/>
      <c r="FB29" s="89"/>
      <c r="FC29" s="89"/>
      <c r="FD29" s="89"/>
      <c r="FE29" s="89"/>
      <c r="FF29" s="89"/>
    </row>
    <row r="30" spans="1:162" s="63" customFormat="1" ht="13.5" hidden="1" thickBot="1" x14ac:dyDescent="0.25">
      <c r="A30" s="136"/>
      <c r="B30" s="137"/>
      <c r="C30" s="137"/>
      <c r="D30" s="138"/>
      <c r="E30" s="137"/>
      <c r="F30" s="139"/>
      <c r="G30" s="90"/>
      <c r="H30" s="90"/>
      <c r="I30" s="90"/>
      <c r="J30" s="139"/>
      <c r="K30" s="90"/>
      <c r="L30" s="91"/>
      <c r="M30" s="91"/>
      <c r="N30" s="91"/>
      <c r="O30" s="91"/>
      <c r="P30" s="91"/>
      <c r="Q30" s="91"/>
      <c r="R30" s="91"/>
      <c r="S30" s="91"/>
      <c r="T30" s="91"/>
      <c r="U30" s="23"/>
      <c r="V30" s="91"/>
      <c r="W30" s="92"/>
      <c r="X30" s="93"/>
      <c r="Y30" s="94"/>
      <c r="Z30" s="94"/>
      <c r="AA30" s="94" t="s">
        <v>115</v>
      </c>
      <c r="AB30" s="94"/>
      <c r="AC30" s="94"/>
      <c r="AD30" s="94"/>
      <c r="AE30" s="94"/>
      <c r="AF30" s="94"/>
      <c r="AG30" s="94"/>
      <c r="AH30" s="94"/>
      <c r="AI30" s="94"/>
      <c r="AJ30" s="94"/>
      <c r="AK30" s="94"/>
      <c r="AL30" s="94"/>
      <c r="AM30" s="94"/>
      <c r="AN30" s="94"/>
      <c r="AO30" s="94"/>
      <c r="AP30" s="94"/>
      <c r="AQ30" s="66"/>
      <c r="AR30" s="67"/>
      <c r="AS30" s="67"/>
      <c r="AT30" s="67"/>
      <c r="AU30" s="67"/>
      <c r="AV30" s="67"/>
      <c r="AW30" s="67"/>
      <c r="AX30" s="67"/>
      <c r="AY30" s="67"/>
      <c r="AZ30" s="67"/>
      <c r="BA30" s="67"/>
      <c r="BB30" s="67"/>
      <c r="BC30" s="67"/>
      <c r="BD30" s="67"/>
      <c r="BE30" s="68"/>
      <c r="BF30" s="69"/>
      <c r="BG30" s="70"/>
      <c r="BH30" s="71"/>
      <c r="BI30" s="72" t="s">
        <v>115</v>
      </c>
      <c r="BJ30" s="72"/>
      <c r="BK30" s="71" t="s">
        <v>119</v>
      </c>
      <c r="BL30" s="71" t="s">
        <v>119</v>
      </c>
      <c r="BM30" s="73"/>
      <c r="BN30" s="74"/>
      <c r="BO30" s="75"/>
      <c r="BP30" s="76"/>
      <c r="BQ30" s="77"/>
      <c r="BR30" s="76"/>
      <c r="BS30" s="77"/>
      <c r="BT30" s="78"/>
      <c r="BU30" s="50"/>
      <c r="BV30" s="79"/>
      <c r="BW30" s="80"/>
      <c r="BX30" s="80"/>
      <c r="BY30" s="80"/>
      <c r="BZ30" s="79"/>
      <c r="CA30" s="80"/>
      <c r="CB30" s="80"/>
      <c r="CC30" s="80"/>
      <c r="CD30" s="80"/>
      <c r="CE30" s="81"/>
      <c r="CF30" s="54"/>
      <c r="CG30" s="82"/>
      <c r="CH30" s="83"/>
      <c r="CI30" s="83"/>
      <c r="CJ30" s="83"/>
      <c r="CK30" s="83"/>
      <c r="CL30" s="83"/>
      <c r="CM30" s="83"/>
      <c r="CN30" s="83"/>
      <c r="CO30" s="83"/>
      <c r="CP30" s="83"/>
      <c r="CQ30" s="83"/>
      <c r="CR30" s="82"/>
      <c r="CS30" s="83"/>
      <c r="CT30" s="83"/>
      <c r="CU30" s="83"/>
      <c r="CV30" s="83"/>
      <c r="CW30" s="83"/>
      <c r="CX30" s="83"/>
      <c r="CY30" s="83"/>
      <c r="CZ30" s="83"/>
      <c r="DA30" s="84"/>
      <c r="DB30" s="58"/>
      <c r="DC30" s="79"/>
      <c r="DD30" s="79"/>
      <c r="DE30" s="79"/>
      <c r="DF30" s="79"/>
      <c r="DG30" s="80"/>
      <c r="DH30" s="80"/>
      <c r="DI30" s="80"/>
      <c r="DJ30" s="80"/>
      <c r="DK30" s="80"/>
      <c r="DL30" s="80"/>
      <c r="DM30" s="80"/>
      <c r="DN30" s="80"/>
      <c r="DO30" s="80"/>
      <c r="DP30" s="80"/>
      <c r="DQ30" s="80"/>
      <c r="DR30" s="80"/>
      <c r="DS30" s="80"/>
      <c r="DT30" s="80"/>
      <c r="DU30" s="80"/>
      <c r="DV30" s="80"/>
      <c r="DW30" s="81"/>
      <c r="DX30" s="85"/>
      <c r="DY30" s="86"/>
      <c r="DZ30" s="87"/>
      <c r="EA30" s="87"/>
      <c r="EB30" s="87"/>
      <c r="EC30" s="87"/>
      <c r="ED30" s="87"/>
      <c r="EE30" s="87"/>
      <c r="EF30" s="87"/>
      <c r="EG30" s="87"/>
      <c r="EH30" s="87"/>
      <c r="EI30" s="87"/>
      <c r="EJ30" s="86"/>
      <c r="EK30" s="87"/>
      <c r="EL30" s="88"/>
      <c r="EM30" s="62"/>
      <c r="EN30" s="89"/>
      <c r="EO30" s="89"/>
      <c r="EP30" s="89"/>
      <c r="EQ30" s="89"/>
      <c r="ER30" s="89"/>
      <c r="ES30" s="89"/>
      <c r="ET30" s="89"/>
      <c r="EU30" s="89"/>
      <c r="EV30" s="89"/>
      <c r="EW30" s="89"/>
      <c r="EX30" s="89"/>
      <c r="EY30" s="89"/>
      <c r="EZ30" s="89"/>
      <c r="FA30" s="89"/>
      <c r="FB30" s="89"/>
      <c r="FC30" s="89"/>
      <c r="FD30" s="89"/>
      <c r="FE30" s="89"/>
      <c r="FF30" s="89"/>
    </row>
    <row r="31" spans="1:162" x14ac:dyDescent="0.2">
      <c r="A31" s="1146" t="s">
        <v>118</v>
      </c>
      <c r="B31" s="1190" t="s">
        <v>117</v>
      </c>
      <c r="C31" s="1141" t="s">
        <v>116</v>
      </c>
      <c r="D31" s="1158"/>
      <c r="E31" s="1086"/>
      <c r="F31" s="1174"/>
      <c r="G31" s="1077" t="s">
        <v>347</v>
      </c>
      <c r="H31" s="1077" t="s">
        <v>329</v>
      </c>
      <c r="I31" s="1077"/>
      <c r="J31" s="1079">
        <f>Y31+AA31+AC31+AE31+AG31+AI31+AK31+AM31+AO31</f>
        <v>1</v>
      </c>
      <c r="K31" s="1175"/>
      <c r="L31" s="164"/>
      <c r="M31" s="165"/>
      <c r="N31" s="166"/>
      <c r="O31" s="167"/>
      <c r="P31" s="167"/>
      <c r="Q31" s="167"/>
      <c r="R31" s="167"/>
      <c r="S31" s="167"/>
      <c r="T31" s="167"/>
      <c r="U31" s="167"/>
      <c r="V31" s="168"/>
      <c r="W31" s="169"/>
      <c r="X31" s="1098" t="s">
        <v>384</v>
      </c>
      <c r="Y31" s="1081">
        <f>IF(HC="Y",IF(BF31="Y",Z31,0),0)</f>
        <v>0</v>
      </c>
      <c r="Z31" s="1081">
        <v>1</v>
      </c>
      <c r="AA31" s="1081">
        <f>IF(OFF="Y",IF(BN31="Y",AB31,0),0)</f>
        <v>1</v>
      </c>
      <c r="AB31" s="1081">
        <v>1</v>
      </c>
      <c r="AC31" s="1081">
        <f>IF(COURTS="Y",IF(BT31="Y",AD31,0),0)</f>
        <v>0</v>
      </c>
      <c r="AD31" s="1081">
        <v>1</v>
      </c>
      <c r="AE31" s="1081">
        <f>IF(PRISONS="Y",IF(CE31="Y",AF31,0),0)</f>
        <v>0</v>
      </c>
      <c r="AF31" s="1081">
        <v>1</v>
      </c>
      <c r="AG31" s="1081">
        <f>IF(RET="Y",IF(DA31="Y",AH31,0),0)</f>
        <v>0</v>
      </c>
      <c r="AH31" s="1081">
        <v>1</v>
      </c>
      <c r="AI31" s="1081">
        <f>IF(SCHOOLS="y",IF(DW31="y",AJ31,0),0)</f>
        <v>0</v>
      </c>
      <c r="AJ31" s="1081">
        <v>1</v>
      </c>
      <c r="AK31" s="1082">
        <f>IF(FE="y",IF(DW31="y",AL31,0),0)</f>
        <v>0</v>
      </c>
      <c r="AL31" s="1082">
        <v>1</v>
      </c>
      <c r="AM31" s="1082">
        <f>IF(HE="Y",IF(DW31="Y",AN31,0),0)</f>
        <v>0</v>
      </c>
      <c r="AN31" s="1082">
        <v>1</v>
      </c>
      <c r="AO31" s="1081">
        <f>IF(INDUSTRIAL="Y",IF(EL31="Y",AP31,0),0)</f>
        <v>0</v>
      </c>
      <c r="AP31" s="1081">
        <v>1</v>
      </c>
      <c r="AQ31" s="95">
        <v>1</v>
      </c>
      <c r="AR31" s="67"/>
      <c r="AS31" s="67"/>
      <c r="AT31" s="67"/>
      <c r="AU31" s="67"/>
      <c r="AV31" s="67"/>
      <c r="AW31" s="67"/>
      <c r="AX31" s="67"/>
      <c r="AY31" s="67"/>
      <c r="AZ31" s="67"/>
      <c r="BA31" s="67"/>
      <c r="BB31" s="67"/>
      <c r="BC31" s="67"/>
      <c r="BD31" s="67"/>
      <c r="BE31" s="95">
        <f t="shared" ref="BE31:BE61" si="0">SUM(AQ31:BD31)</f>
        <v>1</v>
      </c>
      <c r="BF31" s="96" t="str">
        <f t="shared" ref="BF31:BF61" si="1">IF(BE31&gt;=0.1,"Y","N")</f>
        <v>Y</v>
      </c>
      <c r="BG31" s="97"/>
      <c r="BH31" s="98"/>
      <c r="BI31" s="98">
        <f t="shared" ref="BI31:BI45" si="2">IF(OFFnewrefurb="y",1,0)</f>
        <v>1</v>
      </c>
      <c r="BJ31" s="98"/>
      <c r="BK31" s="98"/>
      <c r="BL31" s="99"/>
      <c r="BM31" s="98">
        <f t="shared" ref="BM31:BM61" si="3">SUM(BH31:BL31)</f>
        <v>1</v>
      </c>
      <c r="BN31" s="98" t="str">
        <f t="shared" ref="BN31:BN61" si="4">IF(BM31&gt;=0.1,"Y","N")</f>
        <v>Y</v>
      </c>
      <c r="BO31" s="46"/>
      <c r="BP31" s="100">
        <v>1</v>
      </c>
      <c r="BQ31" s="100"/>
      <c r="BR31" s="100"/>
      <c r="BS31" s="100">
        <f t="shared" ref="BS31:BS61" si="5">SUM(BP31:BR31)</f>
        <v>1</v>
      </c>
      <c r="BT31" s="100" t="str">
        <f t="shared" ref="BT31:BT61" si="6">IF(BS31&gt;=0.1,"Y","N")</f>
        <v>Y</v>
      </c>
      <c r="BU31" s="50"/>
      <c r="BV31" s="101">
        <v>1</v>
      </c>
      <c r="BW31" s="101"/>
      <c r="BX31" s="101"/>
      <c r="BY31" s="101"/>
      <c r="BZ31" s="101"/>
      <c r="CA31" s="101"/>
      <c r="CB31" s="101"/>
      <c r="CC31" s="101"/>
      <c r="CD31" s="101">
        <f t="shared" ref="CD31:CD61" si="7">SUM(BV31:CC31)</f>
        <v>1</v>
      </c>
      <c r="CE31" s="101" t="str">
        <f t="shared" ref="CE31:CE61" si="8">IF(CD31&gt;=0.1,"Y","N")</f>
        <v>Y</v>
      </c>
      <c r="CF31" s="54"/>
      <c r="CG31" s="102"/>
      <c r="CH31" s="102">
        <f t="shared" ref="CH31:CH45" si="9">IF(RETnewrefurb="y",1,0)</f>
        <v>0</v>
      </c>
      <c r="CI31" s="102"/>
      <c r="CJ31" s="102"/>
      <c r="CK31" s="102"/>
      <c r="CL31" s="102"/>
      <c r="CM31" s="102"/>
      <c r="CN31" s="102"/>
      <c r="CO31" s="102"/>
      <c r="CP31" s="102"/>
      <c r="CQ31" s="102"/>
      <c r="CR31" s="102"/>
      <c r="CS31" s="102"/>
      <c r="CT31" s="102"/>
      <c r="CU31" s="102"/>
      <c r="CV31" s="102"/>
      <c r="CW31" s="102"/>
      <c r="CX31" s="102"/>
      <c r="CY31" s="102"/>
      <c r="CZ31" s="102">
        <f t="shared" ref="CZ31:CZ61" si="10">SUM(CG31:CY31)</f>
        <v>0</v>
      </c>
      <c r="DA31" s="102" t="str">
        <f t="shared" ref="DA31:DA61" si="11">IF(CZ31&gt;=0.1,"Y","N")</f>
        <v>N</v>
      </c>
      <c r="DB31" s="58"/>
      <c r="DC31" s="101">
        <v>1</v>
      </c>
      <c r="DD31" s="101"/>
      <c r="DE31" s="101"/>
      <c r="DF31" s="101"/>
      <c r="DG31" s="101"/>
      <c r="DH31" s="101"/>
      <c r="DI31" s="101"/>
      <c r="DJ31" s="101"/>
      <c r="DK31" s="101"/>
      <c r="DL31" s="101"/>
      <c r="DM31" s="101"/>
      <c r="DN31" s="101"/>
      <c r="DO31" s="101"/>
      <c r="DP31" s="101"/>
      <c r="DQ31" s="101"/>
      <c r="DR31" s="101"/>
      <c r="DS31" s="101"/>
      <c r="DT31" s="101"/>
      <c r="DU31" s="101"/>
      <c r="DV31" s="101">
        <f t="shared" ref="DV31:DV61" si="12">SUM(DC31:DU31)</f>
        <v>1</v>
      </c>
      <c r="DW31" s="101" t="s">
        <v>115</v>
      </c>
      <c r="DX31" s="103"/>
      <c r="DY31" s="104"/>
      <c r="DZ31" s="104">
        <f t="shared" ref="DZ31:DZ45" si="13">IF(INDnewrefurb="y",1,0)</f>
        <v>0</v>
      </c>
      <c r="EA31" s="104"/>
      <c r="EB31" s="104"/>
      <c r="EC31" s="104"/>
      <c r="ED31" s="104"/>
      <c r="EE31" s="104"/>
      <c r="EF31" s="104"/>
      <c r="EG31" s="104"/>
      <c r="EH31" s="104"/>
      <c r="EI31" s="104"/>
      <c r="EJ31" s="104"/>
      <c r="EK31" s="104">
        <f t="shared" ref="EK31:EK61" si="14">SUM(DY31:EJ31)</f>
        <v>0</v>
      </c>
      <c r="EL31" s="104" t="str">
        <f t="shared" ref="EL31:EL61" si="15">IF(EK31&gt;=0.1,"Y","N")</f>
        <v>N</v>
      </c>
      <c r="EM31" s="62"/>
      <c r="EN31" s="6"/>
      <c r="EO31" s="6"/>
      <c r="EP31" s="6"/>
      <c r="EQ31" s="6"/>
      <c r="ER31" s="6"/>
    </row>
    <row r="32" spans="1:162" x14ac:dyDescent="0.2">
      <c r="A32" s="1147"/>
      <c r="B32" s="1190"/>
      <c r="C32" s="1141"/>
      <c r="D32" s="1134"/>
      <c r="E32" s="1086"/>
      <c r="F32" s="1086"/>
      <c r="G32" s="1077"/>
      <c r="H32" s="1077"/>
      <c r="I32" s="1077"/>
      <c r="J32" s="1079"/>
      <c r="K32" s="1077"/>
      <c r="L32" s="170"/>
      <c r="M32" s="171"/>
      <c r="N32" s="172"/>
      <c r="O32" s="173"/>
      <c r="P32" s="173"/>
      <c r="Q32" s="173"/>
      <c r="R32" s="173"/>
      <c r="S32" s="173"/>
      <c r="T32" s="173"/>
      <c r="U32" s="173"/>
      <c r="V32" s="174"/>
      <c r="W32" s="175"/>
      <c r="X32" s="1099"/>
      <c r="Y32" s="1081"/>
      <c r="Z32" s="1081"/>
      <c r="AA32" s="1081"/>
      <c r="AB32" s="1081"/>
      <c r="AC32" s="1081"/>
      <c r="AD32" s="1081"/>
      <c r="AE32" s="1081"/>
      <c r="AF32" s="1081"/>
      <c r="AG32" s="1081"/>
      <c r="AH32" s="1081"/>
      <c r="AI32" s="1081"/>
      <c r="AJ32" s="1081"/>
      <c r="AK32" s="1082"/>
      <c r="AL32" s="1082"/>
      <c r="AM32" s="1082"/>
      <c r="AN32" s="1082"/>
      <c r="AO32" s="1081"/>
      <c r="AP32" s="1081"/>
      <c r="AQ32" s="95">
        <v>1</v>
      </c>
      <c r="AR32" s="95"/>
      <c r="AS32" s="95"/>
      <c r="AT32" s="95"/>
      <c r="AU32" s="95"/>
      <c r="AV32" s="95"/>
      <c r="AW32" s="95"/>
      <c r="AX32" s="95"/>
      <c r="AY32" s="95"/>
      <c r="AZ32" s="95"/>
      <c r="BA32" s="95"/>
      <c r="BB32" s="95"/>
      <c r="BC32" s="95"/>
      <c r="BD32" s="95"/>
      <c r="BE32" s="95">
        <f t="shared" si="0"/>
        <v>1</v>
      </c>
      <c r="BF32" s="96" t="str">
        <f t="shared" si="1"/>
        <v>Y</v>
      </c>
      <c r="BG32" s="97"/>
      <c r="BH32" s="98"/>
      <c r="BI32" s="98">
        <f t="shared" si="2"/>
        <v>1</v>
      </c>
      <c r="BJ32" s="98"/>
      <c r="BK32" s="98"/>
      <c r="BL32" s="105"/>
      <c r="BM32" s="98">
        <f t="shared" si="3"/>
        <v>1</v>
      </c>
      <c r="BN32" s="98" t="str">
        <f t="shared" si="4"/>
        <v>Y</v>
      </c>
      <c r="BO32" s="46"/>
      <c r="BP32" s="100">
        <v>1</v>
      </c>
      <c r="BQ32" s="100"/>
      <c r="BR32" s="100"/>
      <c r="BS32" s="100">
        <f t="shared" si="5"/>
        <v>1</v>
      </c>
      <c r="BT32" s="100" t="str">
        <f t="shared" si="6"/>
        <v>Y</v>
      </c>
      <c r="BU32" s="50"/>
      <c r="BV32" s="101">
        <v>1</v>
      </c>
      <c r="BW32" s="101"/>
      <c r="BX32" s="101"/>
      <c r="BY32" s="101"/>
      <c r="BZ32" s="101"/>
      <c r="CA32" s="101"/>
      <c r="CB32" s="101"/>
      <c r="CC32" s="101"/>
      <c r="CD32" s="101">
        <f t="shared" si="7"/>
        <v>1</v>
      </c>
      <c r="CE32" s="101" t="str">
        <f t="shared" si="8"/>
        <v>Y</v>
      </c>
      <c r="CF32" s="54"/>
      <c r="CG32" s="102"/>
      <c r="CH32" s="102">
        <f t="shared" si="9"/>
        <v>0</v>
      </c>
      <c r="CI32" s="102"/>
      <c r="CJ32" s="102"/>
      <c r="CK32" s="102"/>
      <c r="CL32" s="102"/>
      <c r="CM32" s="102"/>
      <c r="CN32" s="102"/>
      <c r="CO32" s="102"/>
      <c r="CP32" s="102"/>
      <c r="CQ32" s="102"/>
      <c r="CR32" s="102"/>
      <c r="CS32" s="102"/>
      <c r="CT32" s="102"/>
      <c r="CU32" s="102"/>
      <c r="CV32" s="102"/>
      <c r="CW32" s="102"/>
      <c r="CX32" s="102"/>
      <c r="CY32" s="102"/>
      <c r="CZ32" s="102">
        <f t="shared" si="10"/>
        <v>0</v>
      </c>
      <c r="DA32" s="102" t="str">
        <f t="shared" si="11"/>
        <v>N</v>
      </c>
      <c r="DB32" s="58"/>
      <c r="DC32" s="101">
        <v>1</v>
      </c>
      <c r="DD32" s="101"/>
      <c r="DE32" s="101"/>
      <c r="DF32" s="101"/>
      <c r="DG32" s="101"/>
      <c r="DH32" s="101"/>
      <c r="DI32" s="101"/>
      <c r="DJ32" s="101"/>
      <c r="DK32" s="101"/>
      <c r="DL32" s="101"/>
      <c r="DM32" s="101"/>
      <c r="DN32" s="101"/>
      <c r="DO32" s="101"/>
      <c r="DP32" s="101"/>
      <c r="DQ32" s="101"/>
      <c r="DR32" s="101"/>
      <c r="DS32" s="101"/>
      <c r="DT32" s="101"/>
      <c r="DU32" s="101"/>
      <c r="DV32" s="101">
        <f t="shared" si="12"/>
        <v>1</v>
      </c>
      <c r="DW32" s="101" t="s">
        <v>115</v>
      </c>
      <c r="DX32" s="103"/>
      <c r="DY32" s="104"/>
      <c r="DZ32" s="104">
        <f t="shared" si="13"/>
        <v>0</v>
      </c>
      <c r="EA32" s="104"/>
      <c r="EB32" s="104"/>
      <c r="EC32" s="104"/>
      <c r="ED32" s="104"/>
      <c r="EE32" s="104"/>
      <c r="EF32" s="104"/>
      <c r="EG32" s="104"/>
      <c r="EH32" s="104"/>
      <c r="EI32" s="104"/>
      <c r="EJ32" s="104"/>
      <c r="EK32" s="104">
        <f t="shared" si="14"/>
        <v>0</v>
      </c>
      <c r="EL32" s="104" t="str">
        <f t="shared" si="15"/>
        <v>N</v>
      </c>
      <c r="EM32" s="62"/>
      <c r="EN32" s="6"/>
      <c r="EO32" s="6"/>
      <c r="EP32" s="6"/>
      <c r="EQ32" s="6"/>
      <c r="ER32" s="6"/>
    </row>
    <row r="33" spans="1:148" ht="13.5" thickBot="1" x14ac:dyDescent="0.25">
      <c r="A33" s="1147"/>
      <c r="B33" s="1191"/>
      <c r="C33" s="1142"/>
      <c r="D33" s="1136"/>
      <c r="E33" s="1143"/>
      <c r="F33" s="1143"/>
      <c r="G33" s="1078"/>
      <c r="H33" s="1078"/>
      <c r="I33" s="1078"/>
      <c r="J33" s="1080"/>
      <c r="K33" s="1078"/>
      <c r="L33" s="176"/>
      <c r="M33" s="177"/>
      <c r="N33" s="172"/>
      <c r="O33" s="173"/>
      <c r="P33" s="173"/>
      <c r="Q33" s="173"/>
      <c r="R33" s="173"/>
      <c r="S33" s="173"/>
      <c r="T33" s="173"/>
      <c r="U33" s="173"/>
      <c r="V33" s="174"/>
      <c r="W33" s="175"/>
      <c r="X33" s="1100"/>
      <c r="Y33" s="1081"/>
      <c r="Z33" s="1081"/>
      <c r="AA33" s="1081"/>
      <c r="AB33" s="1081"/>
      <c r="AC33" s="1081"/>
      <c r="AD33" s="1081"/>
      <c r="AE33" s="1081"/>
      <c r="AF33" s="1081"/>
      <c r="AG33" s="1081"/>
      <c r="AH33" s="1081"/>
      <c r="AI33" s="1081"/>
      <c r="AJ33" s="1081"/>
      <c r="AK33" s="1082"/>
      <c r="AL33" s="1082"/>
      <c r="AM33" s="1082"/>
      <c r="AN33" s="1082"/>
      <c r="AO33" s="1081"/>
      <c r="AP33" s="1081"/>
      <c r="AQ33" s="95">
        <v>1</v>
      </c>
      <c r="AR33" s="106"/>
      <c r="AS33" s="95"/>
      <c r="AT33" s="95"/>
      <c r="AU33" s="95"/>
      <c r="AV33" s="95"/>
      <c r="AW33" s="95"/>
      <c r="AX33" s="95"/>
      <c r="AY33" s="95"/>
      <c r="AZ33" s="95"/>
      <c r="BA33" s="95"/>
      <c r="BB33" s="95"/>
      <c r="BC33" s="95"/>
      <c r="BD33" s="95"/>
      <c r="BE33" s="95">
        <f t="shared" si="0"/>
        <v>1</v>
      </c>
      <c r="BF33" s="96" t="str">
        <f t="shared" si="1"/>
        <v>Y</v>
      </c>
      <c r="BG33" s="97"/>
      <c r="BH33" s="98"/>
      <c r="BI33" s="98">
        <f t="shared" si="2"/>
        <v>1</v>
      </c>
      <c r="BJ33" s="98"/>
      <c r="BK33" s="98"/>
      <c r="BL33" s="107"/>
      <c r="BM33" s="98">
        <f t="shared" si="3"/>
        <v>1</v>
      </c>
      <c r="BN33" s="98" t="str">
        <f t="shared" si="4"/>
        <v>Y</v>
      </c>
      <c r="BO33" s="108"/>
      <c r="BP33" s="100">
        <v>1</v>
      </c>
      <c r="BQ33" s="100"/>
      <c r="BR33" s="100"/>
      <c r="BS33" s="100">
        <f t="shared" si="5"/>
        <v>1</v>
      </c>
      <c r="BT33" s="100" t="str">
        <f t="shared" si="6"/>
        <v>Y</v>
      </c>
      <c r="BU33" s="109"/>
      <c r="BV33" s="101">
        <v>1</v>
      </c>
      <c r="BW33" s="101"/>
      <c r="BX33" s="101"/>
      <c r="BY33" s="101"/>
      <c r="BZ33" s="101"/>
      <c r="CA33" s="101"/>
      <c r="CB33" s="101"/>
      <c r="CC33" s="101"/>
      <c r="CD33" s="101">
        <f t="shared" si="7"/>
        <v>1</v>
      </c>
      <c r="CE33" s="101" t="str">
        <f t="shared" si="8"/>
        <v>Y</v>
      </c>
      <c r="CF33" s="54"/>
      <c r="CG33" s="102"/>
      <c r="CH33" s="102">
        <f t="shared" si="9"/>
        <v>0</v>
      </c>
      <c r="CI33" s="102"/>
      <c r="CJ33" s="102"/>
      <c r="CK33" s="102"/>
      <c r="CL33" s="102"/>
      <c r="CM33" s="102"/>
      <c r="CN33" s="102"/>
      <c r="CO33" s="102"/>
      <c r="CP33" s="102"/>
      <c r="CQ33" s="102"/>
      <c r="CR33" s="102"/>
      <c r="CS33" s="102"/>
      <c r="CT33" s="102"/>
      <c r="CU33" s="102"/>
      <c r="CV33" s="102"/>
      <c r="CW33" s="102"/>
      <c r="CX33" s="102"/>
      <c r="CY33" s="102"/>
      <c r="CZ33" s="102">
        <f t="shared" si="10"/>
        <v>0</v>
      </c>
      <c r="DA33" s="102" t="str">
        <f t="shared" si="11"/>
        <v>N</v>
      </c>
      <c r="DB33" s="58"/>
      <c r="DC33" s="101">
        <v>1</v>
      </c>
      <c r="DD33" s="101"/>
      <c r="DE33" s="101"/>
      <c r="DF33" s="101"/>
      <c r="DG33" s="101"/>
      <c r="DH33" s="101"/>
      <c r="DI33" s="101"/>
      <c r="DJ33" s="101"/>
      <c r="DK33" s="101"/>
      <c r="DL33" s="101"/>
      <c r="DM33" s="101"/>
      <c r="DN33" s="101"/>
      <c r="DO33" s="101"/>
      <c r="DP33" s="101"/>
      <c r="DQ33" s="101"/>
      <c r="DR33" s="101"/>
      <c r="DS33" s="101"/>
      <c r="DT33" s="101"/>
      <c r="DU33" s="101"/>
      <c r="DV33" s="101">
        <f t="shared" si="12"/>
        <v>1</v>
      </c>
      <c r="DW33" s="101" t="str">
        <f t="shared" ref="DW33:DW54" si="16">IF(DV33&gt;=0.1,"Y","N")</f>
        <v>Y</v>
      </c>
      <c r="DX33" s="103"/>
      <c r="DY33" s="104"/>
      <c r="DZ33" s="104">
        <f t="shared" si="13"/>
        <v>0</v>
      </c>
      <c r="EA33" s="104"/>
      <c r="EB33" s="104"/>
      <c r="EC33" s="104"/>
      <c r="ED33" s="104"/>
      <c r="EE33" s="104"/>
      <c r="EF33" s="104"/>
      <c r="EG33" s="104"/>
      <c r="EH33" s="104"/>
      <c r="EI33" s="104"/>
      <c r="EJ33" s="104"/>
      <c r="EK33" s="104">
        <f t="shared" si="14"/>
        <v>0</v>
      </c>
      <c r="EL33" s="104" t="str">
        <f t="shared" si="15"/>
        <v>N</v>
      </c>
      <c r="EM33" s="110"/>
      <c r="EN33" s="6"/>
      <c r="EO33" s="6"/>
      <c r="EP33" s="6"/>
      <c r="EQ33" s="6"/>
      <c r="ER33" s="6"/>
    </row>
    <row r="34" spans="1:148" x14ac:dyDescent="0.2">
      <c r="A34" s="1147"/>
      <c r="B34" s="1192" t="s">
        <v>114</v>
      </c>
      <c r="C34" s="1140" t="s">
        <v>113</v>
      </c>
      <c r="D34" s="1133"/>
      <c r="E34" s="1086"/>
      <c r="F34" s="1085"/>
      <c r="G34" s="1076" t="s">
        <v>347</v>
      </c>
      <c r="H34" s="1077" t="s">
        <v>330</v>
      </c>
      <c r="I34" s="1077"/>
      <c r="J34" s="1079">
        <f>Y34+AA34+AC34+AE34+AG34+AI34+AK34+AM34+AO34</f>
        <v>1</v>
      </c>
      <c r="K34" s="1076"/>
      <c r="L34" s="176"/>
      <c r="M34" s="177"/>
      <c r="N34" s="172"/>
      <c r="O34" s="173"/>
      <c r="P34" s="173"/>
      <c r="Q34" s="173"/>
      <c r="R34" s="173"/>
      <c r="S34" s="173"/>
      <c r="T34" s="173"/>
      <c r="U34" s="173"/>
      <c r="V34" s="174"/>
      <c r="W34" s="175"/>
      <c r="X34" s="1098" t="s">
        <v>384</v>
      </c>
      <c r="Y34" s="1081">
        <f>IF(HC="Y",IF(BF34="Y",Z34,0),0)</f>
        <v>0</v>
      </c>
      <c r="Z34" s="1081">
        <v>1</v>
      </c>
      <c r="AA34" s="1081">
        <f>IF(OFF="Y",IF(BN34="Y",AB34,0),0)</f>
        <v>1</v>
      </c>
      <c r="AB34" s="1081">
        <v>1</v>
      </c>
      <c r="AC34" s="1081">
        <f>IF(COURTS="Y",IF(BT34="Y",AD34,0),0)</f>
        <v>0</v>
      </c>
      <c r="AD34" s="1081">
        <v>1</v>
      </c>
      <c r="AE34" s="1081">
        <f>IF(PRISONS="Y",IF(CE34="Y",AF34,0),0)</f>
        <v>0</v>
      </c>
      <c r="AF34" s="1081">
        <v>1</v>
      </c>
      <c r="AG34" s="1081">
        <f>IF(RET="Y",IF(DA34="Y",AH34,0),0)</f>
        <v>0</v>
      </c>
      <c r="AH34" s="1081">
        <v>1</v>
      </c>
      <c r="AI34" s="1081">
        <f>IF(SCHOOLS="y",IF(DW34="y",AJ34,0),0)</f>
        <v>0</v>
      </c>
      <c r="AJ34" s="1081">
        <v>1</v>
      </c>
      <c r="AK34" s="1082">
        <f>IF(FE="y",IF(DW34="y",AL34,0),0)</f>
        <v>0</v>
      </c>
      <c r="AL34" s="1082">
        <v>1</v>
      </c>
      <c r="AM34" s="1082">
        <f>IF(HE="Y",IF(DW34="Y",AN34,0),0)</f>
        <v>0</v>
      </c>
      <c r="AN34" s="1082">
        <v>1</v>
      </c>
      <c r="AO34" s="1081">
        <f>IF(INDUSTRIAL="Y",IF(EL34="Y",AP34,0),0)</f>
        <v>0</v>
      </c>
      <c r="AP34" s="1081">
        <v>1</v>
      </c>
      <c r="AQ34" s="95">
        <v>1</v>
      </c>
      <c r="AR34" s="95"/>
      <c r="AS34" s="95"/>
      <c r="AT34" s="95"/>
      <c r="AU34" s="95"/>
      <c r="AV34" s="95"/>
      <c r="AW34" s="95"/>
      <c r="AX34" s="95"/>
      <c r="AY34" s="95"/>
      <c r="AZ34" s="95"/>
      <c r="BA34" s="95"/>
      <c r="BB34" s="95"/>
      <c r="BC34" s="95"/>
      <c r="BD34" s="95"/>
      <c r="BE34" s="95">
        <f t="shared" si="0"/>
        <v>1</v>
      </c>
      <c r="BF34" s="96" t="str">
        <f t="shared" si="1"/>
        <v>Y</v>
      </c>
      <c r="BG34" s="97"/>
      <c r="BH34" s="98"/>
      <c r="BI34" s="98">
        <f t="shared" si="2"/>
        <v>1</v>
      </c>
      <c r="BJ34" s="98"/>
      <c r="BK34" s="98"/>
      <c r="BL34" s="111"/>
      <c r="BM34" s="98">
        <f t="shared" si="3"/>
        <v>1</v>
      </c>
      <c r="BN34" s="98" t="str">
        <f t="shared" si="4"/>
        <v>Y</v>
      </c>
      <c r="BO34" s="108"/>
      <c r="BP34" s="100">
        <v>1</v>
      </c>
      <c r="BQ34" s="100"/>
      <c r="BR34" s="100"/>
      <c r="BS34" s="100">
        <f t="shared" si="5"/>
        <v>1</v>
      </c>
      <c r="BT34" s="100" t="str">
        <f t="shared" si="6"/>
        <v>Y</v>
      </c>
      <c r="BU34" s="109"/>
      <c r="BV34" s="101">
        <v>1</v>
      </c>
      <c r="BW34" s="101"/>
      <c r="BX34" s="101"/>
      <c r="BY34" s="101"/>
      <c r="BZ34" s="101"/>
      <c r="CA34" s="101"/>
      <c r="CB34" s="101"/>
      <c r="CC34" s="101"/>
      <c r="CD34" s="101">
        <f t="shared" si="7"/>
        <v>1</v>
      </c>
      <c r="CE34" s="101" t="str">
        <f t="shared" si="8"/>
        <v>Y</v>
      </c>
      <c r="CF34" s="54"/>
      <c r="CG34" s="102"/>
      <c r="CH34" s="102">
        <f t="shared" si="9"/>
        <v>0</v>
      </c>
      <c r="CI34" s="102"/>
      <c r="CJ34" s="102"/>
      <c r="CK34" s="102"/>
      <c r="CL34" s="102"/>
      <c r="CM34" s="102"/>
      <c r="CN34" s="102"/>
      <c r="CO34" s="102"/>
      <c r="CP34" s="102"/>
      <c r="CQ34" s="102"/>
      <c r="CR34" s="102"/>
      <c r="CS34" s="102"/>
      <c r="CT34" s="102"/>
      <c r="CU34" s="102"/>
      <c r="CV34" s="102"/>
      <c r="CW34" s="102"/>
      <c r="CX34" s="102"/>
      <c r="CY34" s="102"/>
      <c r="CZ34" s="102">
        <f t="shared" si="10"/>
        <v>0</v>
      </c>
      <c r="DA34" s="102" t="str">
        <f t="shared" si="11"/>
        <v>N</v>
      </c>
      <c r="DB34" s="58"/>
      <c r="DC34" s="101">
        <v>1</v>
      </c>
      <c r="DD34" s="101"/>
      <c r="DE34" s="101"/>
      <c r="DF34" s="101"/>
      <c r="DG34" s="101"/>
      <c r="DH34" s="101"/>
      <c r="DI34" s="101"/>
      <c r="DJ34" s="101"/>
      <c r="DK34" s="101"/>
      <c r="DL34" s="101"/>
      <c r="DM34" s="101"/>
      <c r="DN34" s="101"/>
      <c r="DO34" s="101"/>
      <c r="DP34" s="101"/>
      <c r="DQ34" s="101"/>
      <c r="DR34" s="101"/>
      <c r="DS34" s="101"/>
      <c r="DT34" s="101"/>
      <c r="DU34" s="101"/>
      <c r="DV34" s="101">
        <f t="shared" si="12"/>
        <v>1</v>
      </c>
      <c r="DW34" s="101" t="str">
        <f t="shared" si="16"/>
        <v>Y</v>
      </c>
      <c r="DX34" s="103"/>
      <c r="DY34" s="104"/>
      <c r="DZ34" s="104">
        <f t="shared" si="13"/>
        <v>0</v>
      </c>
      <c r="EA34" s="104"/>
      <c r="EB34" s="104"/>
      <c r="EC34" s="104"/>
      <c r="ED34" s="104"/>
      <c r="EE34" s="104"/>
      <c r="EF34" s="104"/>
      <c r="EG34" s="104"/>
      <c r="EH34" s="104"/>
      <c r="EI34" s="104"/>
      <c r="EJ34" s="104"/>
      <c r="EK34" s="104">
        <f t="shared" si="14"/>
        <v>0</v>
      </c>
      <c r="EL34" s="104" t="str">
        <f t="shared" si="15"/>
        <v>N</v>
      </c>
      <c r="EM34" s="110"/>
      <c r="EN34" s="6"/>
      <c r="EO34" s="6"/>
      <c r="EP34" s="6"/>
      <c r="EQ34" s="6"/>
      <c r="ER34" s="6"/>
    </row>
    <row r="35" spans="1:148" x14ac:dyDescent="0.2">
      <c r="A35" s="1147"/>
      <c r="B35" s="1190"/>
      <c r="C35" s="1141"/>
      <c r="D35" s="1134"/>
      <c r="E35" s="1086"/>
      <c r="F35" s="1086"/>
      <c r="G35" s="1077"/>
      <c r="H35" s="1077"/>
      <c r="I35" s="1077"/>
      <c r="J35" s="1079"/>
      <c r="K35" s="1077"/>
      <c r="L35" s="170"/>
      <c r="M35" s="171"/>
      <c r="N35" s="172"/>
      <c r="O35" s="173"/>
      <c r="P35" s="173"/>
      <c r="Q35" s="173"/>
      <c r="R35" s="173"/>
      <c r="S35" s="173"/>
      <c r="T35" s="173"/>
      <c r="U35" s="173"/>
      <c r="V35" s="174"/>
      <c r="W35" s="175"/>
      <c r="X35" s="1099"/>
      <c r="Y35" s="1081"/>
      <c r="Z35" s="1081"/>
      <c r="AA35" s="1081"/>
      <c r="AB35" s="1081"/>
      <c r="AC35" s="1081"/>
      <c r="AD35" s="1081"/>
      <c r="AE35" s="1081"/>
      <c r="AF35" s="1081"/>
      <c r="AG35" s="1081"/>
      <c r="AH35" s="1081"/>
      <c r="AI35" s="1081"/>
      <c r="AJ35" s="1081"/>
      <c r="AK35" s="1082"/>
      <c r="AL35" s="1082"/>
      <c r="AM35" s="1082"/>
      <c r="AN35" s="1082"/>
      <c r="AO35" s="1081"/>
      <c r="AP35" s="1081"/>
      <c r="AQ35" s="95">
        <v>1</v>
      </c>
      <c r="AR35" s="95"/>
      <c r="AS35" s="95"/>
      <c r="AT35" s="95"/>
      <c r="AU35" s="95"/>
      <c r="AV35" s="95"/>
      <c r="AW35" s="95"/>
      <c r="AX35" s="95"/>
      <c r="AY35" s="95"/>
      <c r="AZ35" s="95"/>
      <c r="BA35" s="95"/>
      <c r="BB35" s="95"/>
      <c r="BC35" s="95"/>
      <c r="BD35" s="95"/>
      <c r="BE35" s="95">
        <f t="shared" si="0"/>
        <v>1</v>
      </c>
      <c r="BF35" s="96" t="str">
        <f t="shared" si="1"/>
        <v>Y</v>
      </c>
      <c r="BG35" s="97"/>
      <c r="BH35" s="98"/>
      <c r="BI35" s="98">
        <f t="shared" si="2"/>
        <v>1</v>
      </c>
      <c r="BJ35" s="98"/>
      <c r="BK35" s="98"/>
      <c r="BL35" s="107"/>
      <c r="BM35" s="98">
        <f t="shared" si="3"/>
        <v>1</v>
      </c>
      <c r="BN35" s="98" t="str">
        <f t="shared" si="4"/>
        <v>Y</v>
      </c>
      <c r="BO35" s="108"/>
      <c r="BP35" s="100">
        <v>1</v>
      </c>
      <c r="BQ35" s="100"/>
      <c r="BR35" s="100"/>
      <c r="BS35" s="100">
        <f t="shared" si="5"/>
        <v>1</v>
      </c>
      <c r="BT35" s="100" t="str">
        <f t="shared" si="6"/>
        <v>Y</v>
      </c>
      <c r="BU35" s="50"/>
      <c r="BV35" s="101">
        <v>1</v>
      </c>
      <c r="BW35" s="101"/>
      <c r="BX35" s="101"/>
      <c r="BY35" s="101"/>
      <c r="BZ35" s="101"/>
      <c r="CA35" s="101"/>
      <c r="CB35" s="101"/>
      <c r="CC35" s="101"/>
      <c r="CD35" s="101">
        <f t="shared" si="7"/>
        <v>1</v>
      </c>
      <c r="CE35" s="101" t="str">
        <f t="shared" si="8"/>
        <v>Y</v>
      </c>
      <c r="CF35" s="54"/>
      <c r="CG35" s="102"/>
      <c r="CH35" s="102">
        <f t="shared" si="9"/>
        <v>0</v>
      </c>
      <c r="CI35" s="102"/>
      <c r="CJ35" s="102"/>
      <c r="CK35" s="102"/>
      <c r="CL35" s="102"/>
      <c r="CM35" s="102"/>
      <c r="CN35" s="102"/>
      <c r="CO35" s="102"/>
      <c r="CP35" s="102"/>
      <c r="CQ35" s="102"/>
      <c r="CR35" s="102"/>
      <c r="CS35" s="102"/>
      <c r="CT35" s="102"/>
      <c r="CU35" s="102"/>
      <c r="CV35" s="102"/>
      <c r="CW35" s="102"/>
      <c r="CX35" s="102"/>
      <c r="CY35" s="102"/>
      <c r="CZ35" s="102">
        <f t="shared" si="10"/>
        <v>0</v>
      </c>
      <c r="DA35" s="102" t="str">
        <f t="shared" si="11"/>
        <v>N</v>
      </c>
      <c r="DB35" s="58"/>
      <c r="DC35" s="101">
        <v>1</v>
      </c>
      <c r="DD35" s="101"/>
      <c r="DE35" s="101"/>
      <c r="DF35" s="101"/>
      <c r="DG35" s="101"/>
      <c r="DH35" s="101"/>
      <c r="DI35" s="101"/>
      <c r="DJ35" s="101"/>
      <c r="DK35" s="101"/>
      <c r="DL35" s="101"/>
      <c r="DM35" s="101"/>
      <c r="DN35" s="101"/>
      <c r="DO35" s="101"/>
      <c r="DP35" s="101"/>
      <c r="DQ35" s="101"/>
      <c r="DR35" s="101"/>
      <c r="DS35" s="101"/>
      <c r="DT35" s="101"/>
      <c r="DU35" s="101"/>
      <c r="DV35" s="101">
        <f t="shared" si="12"/>
        <v>1</v>
      </c>
      <c r="DW35" s="101" t="str">
        <f t="shared" si="16"/>
        <v>Y</v>
      </c>
      <c r="DX35" s="103"/>
      <c r="DY35" s="104"/>
      <c r="DZ35" s="104">
        <f t="shared" si="13"/>
        <v>0</v>
      </c>
      <c r="EA35" s="104"/>
      <c r="EB35" s="104"/>
      <c r="EC35" s="104"/>
      <c r="ED35" s="104"/>
      <c r="EE35" s="104"/>
      <c r="EF35" s="104"/>
      <c r="EG35" s="104"/>
      <c r="EH35" s="104"/>
      <c r="EI35" s="104"/>
      <c r="EJ35" s="104"/>
      <c r="EK35" s="104">
        <f t="shared" si="14"/>
        <v>0</v>
      </c>
      <c r="EL35" s="104" t="str">
        <f t="shared" si="15"/>
        <v>N</v>
      </c>
      <c r="EM35" s="62"/>
      <c r="EN35" s="6"/>
      <c r="EO35" s="6"/>
      <c r="EP35" s="6"/>
      <c r="EQ35" s="6"/>
      <c r="ER35" s="6"/>
    </row>
    <row r="36" spans="1:148" ht="13.5" thickBot="1" x14ac:dyDescent="0.25">
      <c r="A36" s="1148"/>
      <c r="B36" s="1191"/>
      <c r="C36" s="1142"/>
      <c r="D36" s="1136"/>
      <c r="E36" s="1143"/>
      <c r="F36" s="1143"/>
      <c r="G36" s="1078"/>
      <c r="H36" s="1078"/>
      <c r="I36" s="1078"/>
      <c r="J36" s="1080"/>
      <c r="K36" s="1078"/>
      <c r="L36" s="176"/>
      <c r="M36" s="177"/>
      <c r="N36" s="172"/>
      <c r="O36" s="173"/>
      <c r="P36" s="173"/>
      <c r="Q36" s="173"/>
      <c r="R36" s="173"/>
      <c r="S36" s="173"/>
      <c r="T36" s="173"/>
      <c r="U36" s="173"/>
      <c r="V36" s="174"/>
      <c r="W36" s="175"/>
      <c r="X36" s="1100"/>
      <c r="Y36" s="1081"/>
      <c r="Z36" s="1081"/>
      <c r="AA36" s="1081"/>
      <c r="AB36" s="1081"/>
      <c r="AC36" s="1081"/>
      <c r="AD36" s="1081"/>
      <c r="AE36" s="1081"/>
      <c r="AF36" s="1081"/>
      <c r="AG36" s="1081"/>
      <c r="AH36" s="1081"/>
      <c r="AI36" s="1081"/>
      <c r="AJ36" s="1081"/>
      <c r="AK36" s="1082"/>
      <c r="AL36" s="1082"/>
      <c r="AM36" s="1082"/>
      <c r="AN36" s="1082"/>
      <c r="AO36" s="1081"/>
      <c r="AP36" s="1081"/>
      <c r="AQ36" s="95">
        <v>1</v>
      </c>
      <c r="AR36" s="95"/>
      <c r="AS36" s="95"/>
      <c r="AT36" s="95"/>
      <c r="AU36" s="95"/>
      <c r="AV36" s="95"/>
      <c r="AW36" s="95"/>
      <c r="AX36" s="95"/>
      <c r="AY36" s="95"/>
      <c r="AZ36" s="95"/>
      <c r="BA36" s="95"/>
      <c r="BB36" s="95"/>
      <c r="BC36" s="95"/>
      <c r="BD36" s="95"/>
      <c r="BE36" s="95">
        <f t="shared" si="0"/>
        <v>1</v>
      </c>
      <c r="BF36" s="96" t="str">
        <f t="shared" si="1"/>
        <v>Y</v>
      </c>
      <c r="BG36" s="97"/>
      <c r="BH36" s="98"/>
      <c r="BI36" s="98">
        <f t="shared" si="2"/>
        <v>1</v>
      </c>
      <c r="BJ36" s="98"/>
      <c r="BK36" s="98"/>
      <c r="BL36" s="107"/>
      <c r="BM36" s="98">
        <f t="shared" si="3"/>
        <v>1</v>
      </c>
      <c r="BN36" s="98" t="str">
        <f t="shared" si="4"/>
        <v>Y</v>
      </c>
      <c r="BO36" s="108"/>
      <c r="BP36" s="100">
        <v>1</v>
      </c>
      <c r="BQ36" s="100"/>
      <c r="BR36" s="100"/>
      <c r="BS36" s="100">
        <f t="shared" si="5"/>
        <v>1</v>
      </c>
      <c r="BT36" s="100" t="str">
        <f t="shared" si="6"/>
        <v>Y</v>
      </c>
      <c r="BU36" s="50"/>
      <c r="BV36" s="101">
        <v>1</v>
      </c>
      <c r="BW36" s="101"/>
      <c r="BX36" s="101"/>
      <c r="BY36" s="101"/>
      <c r="BZ36" s="101"/>
      <c r="CA36" s="101"/>
      <c r="CB36" s="101"/>
      <c r="CC36" s="101"/>
      <c r="CD36" s="101">
        <f t="shared" si="7"/>
        <v>1</v>
      </c>
      <c r="CE36" s="101" t="str">
        <f t="shared" si="8"/>
        <v>Y</v>
      </c>
      <c r="CF36" s="54"/>
      <c r="CG36" s="102"/>
      <c r="CH36" s="102">
        <f t="shared" si="9"/>
        <v>0</v>
      </c>
      <c r="CI36" s="102"/>
      <c r="CJ36" s="102"/>
      <c r="CK36" s="102"/>
      <c r="CL36" s="102"/>
      <c r="CM36" s="102"/>
      <c r="CN36" s="102"/>
      <c r="CO36" s="102"/>
      <c r="CP36" s="102"/>
      <c r="CQ36" s="102"/>
      <c r="CR36" s="102"/>
      <c r="CS36" s="102"/>
      <c r="CT36" s="102"/>
      <c r="CU36" s="102"/>
      <c r="CV36" s="102"/>
      <c r="CW36" s="102"/>
      <c r="CX36" s="102"/>
      <c r="CY36" s="102"/>
      <c r="CZ36" s="102">
        <f t="shared" si="10"/>
        <v>0</v>
      </c>
      <c r="DA36" s="102" t="str">
        <f t="shared" si="11"/>
        <v>N</v>
      </c>
      <c r="DB36" s="58"/>
      <c r="DC36" s="101">
        <v>1</v>
      </c>
      <c r="DD36" s="101"/>
      <c r="DE36" s="101"/>
      <c r="DF36" s="101"/>
      <c r="DG36" s="101"/>
      <c r="DH36" s="101"/>
      <c r="DI36" s="101"/>
      <c r="DJ36" s="101"/>
      <c r="DK36" s="101"/>
      <c r="DL36" s="101"/>
      <c r="DM36" s="101"/>
      <c r="DN36" s="101"/>
      <c r="DO36" s="101"/>
      <c r="DP36" s="101"/>
      <c r="DQ36" s="101"/>
      <c r="DR36" s="101"/>
      <c r="DS36" s="101"/>
      <c r="DT36" s="101"/>
      <c r="DU36" s="101"/>
      <c r="DV36" s="101">
        <f t="shared" si="12"/>
        <v>1</v>
      </c>
      <c r="DW36" s="101" t="str">
        <f t="shared" si="16"/>
        <v>Y</v>
      </c>
      <c r="DX36" s="103"/>
      <c r="DY36" s="104"/>
      <c r="DZ36" s="104">
        <f t="shared" si="13"/>
        <v>0</v>
      </c>
      <c r="EA36" s="104"/>
      <c r="EB36" s="104"/>
      <c r="EC36" s="104"/>
      <c r="ED36" s="104"/>
      <c r="EE36" s="104"/>
      <c r="EF36" s="104"/>
      <c r="EG36" s="104"/>
      <c r="EH36" s="104"/>
      <c r="EI36" s="104"/>
      <c r="EJ36" s="104"/>
      <c r="EK36" s="104">
        <f t="shared" si="14"/>
        <v>0</v>
      </c>
      <c r="EL36" s="104" t="str">
        <f t="shared" si="15"/>
        <v>N</v>
      </c>
      <c r="EM36" s="62"/>
      <c r="EN36" s="6"/>
      <c r="EO36" s="6"/>
      <c r="EP36" s="6"/>
      <c r="EQ36" s="6"/>
      <c r="ER36" s="6"/>
    </row>
    <row r="37" spans="1:148" x14ac:dyDescent="0.2">
      <c r="A37" s="1146" t="s">
        <v>112</v>
      </c>
      <c r="B37" s="1183" t="s">
        <v>111</v>
      </c>
      <c r="C37" s="1140" t="s">
        <v>110</v>
      </c>
      <c r="D37" s="1186"/>
      <c r="E37" s="1085"/>
      <c r="F37" s="1085"/>
      <c r="G37" s="1076" t="s">
        <v>296</v>
      </c>
      <c r="H37" s="1076" t="s">
        <v>342</v>
      </c>
      <c r="I37" s="1076"/>
      <c r="J37" s="1079">
        <f>Y37+AA37+AC37+AE37+AG37+AI37+AK37+AM37+AO37</f>
        <v>1</v>
      </c>
      <c r="K37" s="1076"/>
      <c r="L37" s="176"/>
      <c r="M37" s="177"/>
      <c r="N37" s="172"/>
      <c r="O37" s="173"/>
      <c r="P37" s="173"/>
      <c r="Q37" s="173"/>
      <c r="R37" s="173"/>
      <c r="S37" s="173"/>
      <c r="T37" s="173"/>
      <c r="U37" s="173"/>
      <c r="V37" s="174"/>
      <c r="W37" s="175"/>
      <c r="X37" s="1098" t="s">
        <v>342</v>
      </c>
      <c r="Y37" s="1081">
        <f>IF(HC="Y",IF(BF37="Y",Z37,0),0)</f>
        <v>0</v>
      </c>
      <c r="Z37" s="1081">
        <v>1</v>
      </c>
      <c r="AA37" s="1081">
        <f>IF(OFF="Y",IF(BN37="Y",AB37,0),0)</f>
        <v>1</v>
      </c>
      <c r="AB37" s="1081">
        <v>1</v>
      </c>
      <c r="AC37" s="1081">
        <f>IF(COURTS="Y",IF(BT37="Y",AD37,0),0)</f>
        <v>0</v>
      </c>
      <c r="AD37" s="1081">
        <v>1</v>
      </c>
      <c r="AE37" s="1081">
        <f>IF(PRISONS="Y",IF(CE37="Y",AF37,0),0)</f>
        <v>0</v>
      </c>
      <c r="AF37" s="1081">
        <v>1</v>
      </c>
      <c r="AG37" s="1081">
        <f>IF(RET="Y",IF(DA37="Y",AH37,0),0)</f>
        <v>0</v>
      </c>
      <c r="AH37" s="1081">
        <v>1</v>
      </c>
      <c r="AI37" s="1081">
        <f>IF(SCHOOLS="y",IF(DW37="y",AJ37,0),0)</f>
        <v>0</v>
      </c>
      <c r="AJ37" s="1081">
        <v>1</v>
      </c>
      <c r="AK37" s="1082">
        <f>IF(FE="y",IF(DW37="y",AL37,0),0)</f>
        <v>0</v>
      </c>
      <c r="AL37" s="1082">
        <v>1</v>
      </c>
      <c r="AM37" s="1082">
        <f>IF(HE="Y",IF(DW37="Y",AN37,0),0)</f>
        <v>0</v>
      </c>
      <c r="AN37" s="1082">
        <v>1</v>
      </c>
      <c r="AO37" s="1081">
        <f>IF(INDUSTRIAL="Y",IF(EL37="Y",AP37,0),0)</f>
        <v>0</v>
      </c>
      <c r="AP37" s="1081">
        <v>1</v>
      </c>
      <c r="AQ37" s="95">
        <v>1</v>
      </c>
      <c r="AR37" s="95"/>
      <c r="AS37" s="95"/>
      <c r="AT37" s="95"/>
      <c r="AU37" s="95"/>
      <c r="AV37" s="95"/>
      <c r="AW37" s="95"/>
      <c r="AX37" s="95"/>
      <c r="AY37" s="95"/>
      <c r="AZ37" s="95"/>
      <c r="BA37" s="95"/>
      <c r="BB37" s="95"/>
      <c r="BC37" s="95"/>
      <c r="BD37" s="95"/>
      <c r="BE37" s="95">
        <f t="shared" si="0"/>
        <v>1</v>
      </c>
      <c r="BF37" s="96" t="str">
        <f t="shared" si="1"/>
        <v>Y</v>
      </c>
      <c r="BG37" s="97"/>
      <c r="BH37" s="98"/>
      <c r="BI37" s="98">
        <f t="shared" si="2"/>
        <v>1</v>
      </c>
      <c r="BJ37" s="98"/>
      <c r="BK37" s="98"/>
      <c r="BL37" s="112"/>
      <c r="BM37" s="98">
        <f t="shared" si="3"/>
        <v>1</v>
      </c>
      <c r="BN37" s="98" t="str">
        <f t="shared" si="4"/>
        <v>Y</v>
      </c>
      <c r="BO37" s="108"/>
      <c r="BP37" s="100">
        <v>1</v>
      </c>
      <c r="BQ37" s="100"/>
      <c r="BR37" s="100"/>
      <c r="BS37" s="100">
        <f t="shared" si="5"/>
        <v>1</v>
      </c>
      <c r="BT37" s="100" t="str">
        <f t="shared" si="6"/>
        <v>Y</v>
      </c>
      <c r="BU37" s="113"/>
      <c r="BV37" s="101">
        <v>1</v>
      </c>
      <c r="BW37" s="101"/>
      <c r="BX37" s="101"/>
      <c r="BY37" s="101"/>
      <c r="BZ37" s="101"/>
      <c r="CA37" s="101"/>
      <c r="CB37" s="101"/>
      <c r="CC37" s="101"/>
      <c r="CD37" s="101">
        <f t="shared" si="7"/>
        <v>1</v>
      </c>
      <c r="CE37" s="101" t="str">
        <f t="shared" si="8"/>
        <v>Y</v>
      </c>
      <c r="CF37" s="54"/>
      <c r="CG37" s="102"/>
      <c r="CH37" s="102">
        <f t="shared" si="9"/>
        <v>0</v>
      </c>
      <c r="CI37" s="102"/>
      <c r="CJ37" s="102"/>
      <c r="CK37" s="102"/>
      <c r="CL37" s="102"/>
      <c r="CM37" s="102"/>
      <c r="CN37" s="102"/>
      <c r="CO37" s="102"/>
      <c r="CP37" s="102"/>
      <c r="CQ37" s="102"/>
      <c r="CR37" s="102"/>
      <c r="CS37" s="102"/>
      <c r="CT37" s="102"/>
      <c r="CU37" s="102"/>
      <c r="CV37" s="102"/>
      <c r="CW37" s="102"/>
      <c r="CX37" s="102"/>
      <c r="CY37" s="102"/>
      <c r="CZ37" s="102">
        <f t="shared" si="10"/>
        <v>0</v>
      </c>
      <c r="DA37" s="102" t="str">
        <f t="shared" si="11"/>
        <v>N</v>
      </c>
      <c r="DB37" s="58"/>
      <c r="DC37" s="101">
        <v>1</v>
      </c>
      <c r="DD37" s="101"/>
      <c r="DE37" s="101"/>
      <c r="DF37" s="101"/>
      <c r="DG37" s="101"/>
      <c r="DH37" s="101"/>
      <c r="DI37" s="101"/>
      <c r="DJ37" s="101"/>
      <c r="DK37" s="101"/>
      <c r="DL37" s="101"/>
      <c r="DM37" s="101"/>
      <c r="DN37" s="101"/>
      <c r="DO37" s="101"/>
      <c r="DP37" s="101"/>
      <c r="DQ37" s="101"/>
      <c r="DR37" s="101"/>
      <c r="DS37" s="101"/>
      <c r="DT37" s="101"/>
      <c r="DU37" s="101"/>
      <c r="DV37" s="101">
        <f t="shared" si="12"/>
        <v>1</v>
      </c>
      <c r="DW37" s="101" t="str">
        <f t="shared" si="16"/>
        <v>Y</v>
      </c>
      <c r="DX37" s="103"/>
      <c r="DY37" s="104"/>
      <c r="DZ37" s="104">
        <f t="shared" si="13"/>
        <v>0</v>
      </c>
      <c r="EA37" s="104"/>
      <c r="EB37" s="104"/>
      <c r="EC37" s="104"/>
      <c r="ED37" s="104"/>
      <c r="EE37" s="104"/>
      <c r="EF37" s="104"/>
      <c r="EG37" s="104"/>
      <c r="EH37" s="104"/>
      <c r="EI37" s="104"/>
      <c r="EJ37" s="104"/>
      <c r="EK37" s="104">
        <f t="shared" si="14"/>
        <v>0</v>
      </c>
      <c r="EL37" s="104" t="str">
        <f t="shared" si="15"/>
        <v>N</v>
      </c>
      <c r="EM37" s="114"/>
      <c r="EN37" s="6"/>
      <c r="EO37" s="6"/>
      <c r="EP37" s="6"/>
      <c r="EQ37" s="6"/>
      <c r="ER37" s="6"/>
    </row>
    <row r="38" spans="1:148" x14ac:dyDescent="0.2">
      <c r="A38" s="1189"/>
      <c r="B38" s="1184"/>
      <c r="C38" s="1141"/>
      <c r="D38" s="1187"/>
      <c r="E38" s="1086"/>
      <c r="F38" s="1086"/>
      <c r="G38" s="1077"/>
      <c r="H38" s="1077"/>
      <c r="I38" s="1077"/>
      <c r="J38" s="1079"/>
      <c r="K38" s="1077"/>
      <c r="L38" s="176"/>
      <c r="M38" s="171"/>
      <c r="N38" s="178"/>
      <c r="O38" s="173"/>
      <c r="P38" s="173"/>
      <c r="Q38" s="173"/>
      <c r="R38" s="173"/>
      <c r="S38" s="173"/>
      <c r="T38" s="173"/>
      <c r="U38" s="173"/>
      <c r="V38" s="174"/>
      <c r="W38" s="175"/>
      <c r="X38" s="1099"/>
      <c r="Y38" s="1081"/>
      <c r="Z38" s="1081"/>
      <c r="AA38" s="1081"/>
      <c r="AB38" s="1081"/>
      <c r="AC38" s="1081"/>
      <c r="AD38" s="1081"/>
      <c r="AE38" s="1081"/>
      <c r="AF38" s="1081"/>
      <c r="AG38" s="1081"/>
      <c r="AH38" s="1081"/>
      <c r="AI38" s="1081"/>
      <c r="AJ38" s="1081"/>
      <c r="AK38" s="1082"/>
      <c r="AL38" s="1082"/>
      <c r="AM38" s="1082"/>
      <c r="AN38" s="1082"/>
      <c r="AO38" s="1081"/>
      <c r="AP38" s="1081"/>
      <c r="AQ38" s="95">
        <v>1</v>
      </c>
      <c r="AR38" s="95"/>
      <c r="AS38" s="95"/>
      <c r="AT38" s="95"/>
      <c r="AU38" s="95"/>
      <c r="AV38" s="95"/>
      <c r="AW38" s="95"/>
      <c r="AX38" s="95"/>
      <c r="AY38" s="95"/>
      <c r="AZ38" s="95"/>
      <c r="BA38" s="95"/>
      <c r="BB38" s="95"/>
      <c r="BC38" s="95"/>
      <c r="BD38" s="95"/>
      <c r="BE38" s="95">
        <f t="shared" si="0"/>
        <v>1</v>
      </c>
      <c r="BF38" s="96" t="str">
        <f t="shared" si="1"/>
        <v>Y</v>
      </c>
      <c r="BG38" s="97"/>
      <c r="BH38" s="98"/>
      <c r="BI38" s="98">
        <f t="shared" si="2"/>
        <v>1</v>
      </c>
      <c r="BJ38" s="98"/>
      <c r="BK38" s="98"/>
      <c r="BL38" s="107"/>
      <c r="BM38" s="98">
        <f t="shared" si="3"/>
        <v>1</v>
      </c>
      <c r="BN38" s="98" t="str">
        <f t="shared" si="4"/>
        <v>Y</v>
      </c>
      <c r="BO38" s="108"/>
      <c r="BP38" s="100">
        <v>1</v>
      </c>
      <c r="BQ38" s="100"/>
      <c r="BR38" s="100"/>
      <c r="BS38" s="100">
        <f t="shared" si="5"/>
        <v>1</v>
      </c>
      <c r="BT38" s="100" t="str">
        <f t="shared" si="6"/>
        <v>Y</v>
      </c>
      <c r="BU38" s="109"/>
      <c r="BV38" s="101">
        <v>1</v>
      </c>
      <c r="BW38" s="101"/>
      <c r="BX38" s="101"/>
      <c r="BY38" s="101"/>
      <c r="BZ38" s="101"/>
      <c r="CA38" s="101"/>
      <c r="CB38" s="101"/>
      <c r="CC38" s="101"/>
      <c r="CD38" s="101">
        <f t="shared" si="7"/>
        <v>1</v>
      </c>
      <c r="CE38" s="101" t="str">
        <f t="shared" si="8"/>
        <v>Y</v>
      </c>
      <c r="CF38" s="54"/>
      <c r="CG38" s="102"/>
      <c r="CH38" s="102">
        <f t="shared" si="9"/>
        <v>0</v>
      </c>
      <c r="CI38" s="102"/>
      <c r="CJ38" s="102"/>
      <c r="CK38" s="102"/>
      <c r="CL38" s="102"/>
      <c r="CM38" s="102"/>
      <c r="CN38" s="102"/>
      <c r="CO38" s="102"/>
      <c r="CP38" s="102"/>
      <c r="CQ38" s="102"/>
      <c r="CR38" s="102"/>
      <c r="CS38" s="102"/>
      <c r="CT38" s="102"/>
      <c r="CU38" s="102"/>
      <c r="CV38" s="102"/>
      <c r="CW38" s="102"/>
      <c r="CX38" s="102"/>
      <c r="CY38" s="102"/>
      <c r="CZ38" s="102">
        <f t="shared" si="10"/>
        <v>0</v>
      </c>
      <c r="DA38" s="102" t="str">
        <f t="shared" si="11"/>
        <v>N</v>
      </c>
      <c r="DB38" s="58"/>
      <c r="DC38" s="101">
        <v>1</v>
      </c>
      <c r="DD38" s="101"/>
      <c r="DE38" s="101"/>
      <c r="DF38" s="101"/>
      <c r="DG38" s="101"/>
      <c r="DH38" s="101"/>
      <c r="DI38" s="101"/>
      <c r="DJ38" s="101"/>
      <c r="DK38" s="101"/>
      <c r="DL38" s="101"/>
      <c r="DM38" s="101"/>
      <c r="DN38" s="101"/>
      <c r="DO38" s="101"/>
      <c r="DP38" s="101"/>
      <c r="DQ38" s="101"/>
      <c r="DR38" s="101"/>
      <c r="DS38" s="101"/>
      <c r="DT38" s="101"/>
      <c r="DU38" s="101"/>
      <c r="DV38" s="101">
        <f t="shared" si="12"/>
        <v>1</v>
      </c>
      <c r="DW38" s="101" t="str">
        <f t="shared" si="16"/>
        <v>Y</v>
      </c>
      <c r="DX38" s="103"/>
      <c r="DY38" s="104"/>
      <c r="DZ38" s="104">
        <f t="shared" si="13"/>
        <v>0</v>
      </c>
      <c r="EA38" s="104"/>
      <c r="EB38" s="104"/>
      <c r="EC38" s="104"/>
      <c r="ED38" s="104"/>
      <c r="EE38" s="104"/>
      <c r="EF38" s="104"/>
      <c r="EG38" s="104"/>
      <c r="EH38" s="104"/>
      <c r="EI38" s="104"/>
      <c r="EJ38" s="104"/>
      <c r="EK38" s="104">
        <f t="shared" si="14"/>
        <v>0</v>
      </c>
      <c r="EL38" s="104" t="str">
        <f t="shared" si="15"/>
        <v>N</v>
      </c>
      <c r="EM38" s="110"/>
      <c r="EN38" s="6"/>
      <c r="EO38" s="6"/>
      <c r="EP38" s="6"/>
      <c r="EQ38" s="6"/>
      <c r="ER38" s="6"/>
    </row>
    <row r="39" spans="1:148" ht="13.5" thickBot="1" x14ac:dyDescent="0.25">
      <c r="A39" s="1189"/>
      <c r="B39" s="1185"/>
      <c r="C39" s="1142"/>
      <c r="D39" s="1188"/>
      <c r="E39" s="1143"/>
      <c r="F39" s="1143"/>
      <c r="G39" s="1078"/>
      <c r="H39" s="1078"/>
      <c r="I39" s="1078"/>
      <c r="J39" s="1080"/>
      <c r="K39" s="1078"/>
      <c r="L39" s="176"/>
      <c r="M39" s="177"/>
      <c r="N39" s="172"/>
      <c r="O39" s="173"/>
      <c r="P39" s="173"/>
      <c r="Q39" s="173"/>
      <c r="R39" s="173"/>
      <c r="S39" s="173"/>
      <c r="T39" s="173"/>
      <c r="U39" s="173"/>
      <c r="V39" s="174"/>
      <c r="W39" s="175"/>
      <c r="X39" s="1100"/>
      <c r="Y39" s="1081"/>
      <c r="Z39" s="1081"/>
      <c r="AA39" s="1081"/>
      <c r="AB39" s="1081"/>
      <c r="AC39" s="1081"/>
      <c r="AD39" s="1081"/>
      <c r="AE39" s="1081"/>
      <c r="AF39" s="1081"/>
      <c r="AG39" s="1081"/>
      <c r="AH39" s="1081"/>
      <c r="AI39" s="1081"/>
      <c r="AJ39" s="1081"/>
      <c r="AK39" s="1082"/>
      <c r="AL39" s="1082"/>
      <c r="AM39" s="1082"/>
      <c r="AN39" s="1082"/>
      <c r="AO39" s="1081"/>
      <c r="AP39" s="1081"/>
      <c r="AQ39" s="95">
        <v>1</v>
      </c>
      <c r="AR39" s="95"/>
      <c r="AS39" s="95"/>
      <c r="AT39" s="95"/>
      <c r="AU39" s="95"/>
      <c r="AV39" s="95"/>
      <c r="AW39" s="95"/>
      <c r="AX39" s="95"/>
      <c r="AY39" s="95"/>
      <c r="AZ39" s="95"/>
      <c r="BA39" s="95"/>
      <c r="BB39" s="95"/>
      <c r="BC39" s="95"/>
      <c r="BD39" s="95"/>
      <c r="BE39" s="95">
        <f t="shared" si="0"/>
        <v>1</v>
      </c>
      <c r="BF39" s="96" t="str">
        <f t="shared" si="1"/>
        <v>Y</v>
      </c>
      <c r="BG39" s="97"/>
      <c r="BH39" s="98"/>
      <c r="BI39" s="98">
        <f t="shared" si="2"/>
        <v>1</v>
      </c>
      <c r="BJ39" s="98"/>
      <c r="BK39" s="98"/>
      <c r="BL39" s="111"/>
      <c r="BM39" s="98">
        <f t="shared" si="3"/>
        <v>1</v>
      </c>
      <c r="BN39" s="98" t="str">
        <f t="shared" si="4"/>
        <v>Y</v>
      </c>
      <c r="BO39" s="108"/>
      <c r="BP39" s="100">
        <v>1</v>
      </c>
      <c r="BQ39" s="100"/>
      <c r="BR39" s="100"/>
      <c r="BS39" s="100">
        <f t="shared" si="5"/>
        <v>1</v>
      </c>
      <c r="BT39" s="100" t="str">
        <f t="shared" si="6"/>
        <v>Y</v>
      </c>
      <c r="BU39" s="50"/>
      <c r="BV39" s="101">
        <v>1</v>
      </c>
      <c r="BW39" s="101"/>
      <c r="BX39" s="101"/>
      <c r="BY39" s="101"/>
      <c r="BZ39" s="101"/>
      <c r="CA39" s="101"/>
      <c r="CB39" s="101"/>
      <c r="CC39" s="101"/>
      <c r="CD39" s="101">
        <f t="shared" si="7"/>
        <v>1</v>
      </c>
      <c r="CE39" s="101" t="str">
        <f t="shared" si="8"/>
        <v>Y</v>
      </c>
      <c r="CF39" s="54"/>
      <c r="CG39" s="102"/>
      <c r="CH39" s="102">
        <f t="shared" si="9"/>
        <v>0</v>
      </c>
      <c r="CI39" s="102"/>
      <c r="CJ39" s="102"/>
      <c r="CK39" s="102"/>
      <c r="CL39" s="102"/>
      <c r="CM39" s="102"/>
      <c r="CN39" s="102"/>
      <c r="CO39" s="102"/>
      <c r="CP39" s="102"/>
      <c r="CQ39" s="102"/>
      <c r="CR39" s="102"/>
      <c r="CS39" s="102"/>
      <c r="CT39" s="102"/>
      <c r="CU39" s="102"/>
      <c r="CV39" s="102"/>
      <c r="CW39" s="102"/>
      <c r="CX39" s="102"/>
      <c r="CY39" s="102"/>
      <c r="CZ39" s="102">
        <f t="shared" si="10"/>
        <v>0</v>
      </c>
      <c r="DA39" s="102" t="str">
        <f t="shared" si="11"/>
        <v>N</v>
      </c>
      <c r="DB39" s="58"/>
      <c r="DC39" s="101">
        <v>1</v>
      </c>
      <c r="DD39" s="101"/>
      <c r="DE39" s="101"/>
      <c r="DF39" s="101"/>
      <c r="DG39" s="101"/>
      <c r="DH39" s="101"/>
      <c r="DI39" s="101"/>
      <c r="DJ39" s="101"/>
      <c r="DK39" s="101"/>
      <c r="DL39" s="101"/>
      <c r="DM39" s="101"/>
      <c r="DN39" s="101"/>
      <c r="DO39" s="101"/>
      <c r="DP39" s="101"/>
      <c r="DQ39" s="101"/>
      <c r="DR39" s="101"/>
      <c r="DS39" s="101"/>
      <c r="DT39" s="101"/>
      <c r="DU39" s="101"/>
      <c r="DV39" s="101">
        <f t="shared" si="12"/>
        <v>1</v>
      </c>
      <c r="DW39" s="101" t="str">
        <f t="shared" si="16"/>
        <v>Y</v>
      </c>
      <c r="DX39" s="103"/>
      <c r="DY39" s="104"/>
      <c r="DZ39" s="104">
        <f t="shared" si="13"/>
        <v>0</v>
      </c>
      <c r="EA39" s="104"/>
      <c r="EB39" s="104"/>
      <c r="EC39" s="104"/>
      <c r="ED39" s="104"/>
      <c r="EE39" s="104"/>
      <c r="EF39" s="104"/>
      <c r="EG39" s="104"/>
      <c r="EH39" s="104"/>
      <c r="EI39" s="104"/>
      <c r="EJ39" s="104"/>
      <c r="EK39" s="104">
        <f t="shared" si="14"/>
        <v>0</v>
      </c>
      <c r="EL39" s="104" t="str">
        <f t="shared" si="15"/>
        <v>N</v>
      </c>
      <c r="EM39" s="62"/>
      <c r="EN39" s="6"/>
      <c r="EO39" s="6"/>
      <c r="EP39" s="6"/>
      <c r="EQ39" s="6"/>
      <c r="ER39" s="6"/>
    </row>
    <row r="40" spans="1:148" ht="12.75" customHeight="1" x14ac:dyDescent="0.2">
      <c r="A40" s="1189"/>
      <c r="B40" s="1183" t="s">
        <v>265</v>
      </c>
      <c r="C40" s="1140" t="s">
        <v>264</v>
      </c>
      <c r="D40" s="1133"/>
      <c r="E40" s="1085"/>
      <c r="F40" s="1085"/>
      <c r="G40" s="1076" t="s">
        <v>347</v>
      </c>
      <c r="H40" s="1076" t="s">
        <v>321</v>
      </c>
      <c r="I40" s="1076"/>
      <c r="J40" s="1079">
        <f>Y40+AA40+AC40+AE40+AG40+AI40+AK40+AM40+AO40</f>
        <v>1</v>
      </c>
      <c r="K40" s="1076"/>
      <c r="L40" s="176"/>
      <c r="M40" s="177"/>
      <c r="N40" s="172"/>
      <c r="O40" s="173"/>
      <c r="P40" s="173"/>
      <c r="Q40" s="173"/>
      <c r="R40" s="173"/>
      <c r="S40" s="173"/>
      <c r="T40" s="173"/>
      <c r="U40" s="173"/>
      <c r="V40" s="174"/>
      <c r="W40" s="175"/>
      <c r="X40" s="1098" t="s">
        <v>379</v>
      </c>
      <c r="Y40" s="1081">
        <f>IF(HC="Y",IF(BF40="Y",Z40,0),0)</f>
        <v>0</v>
      </c>
      <c r="Z40" s="1081">
        <v>1</v>
      </c>
      <c r="AA40" s="1081">
        <f>IF(OFF="Y",IF(BN40="Y",AB40,0),0)</f>
        <v>1</v>
      </c>
      <c r="AB40" s="1081">
        <v>1</v>
      </c>
      <c r="AC40" s="1081">
        <f>IF(COURTS="Y",IF(BT40="Y",AD40,0),0)</f>
        <v>0</v>
      </c>
      <c r="AD40" s="1081">
        <v>1</v>
      </c>
      <c r="AE40" s="1081">
        <f>IF(PRISONS="Y",IF(CE40="Y",AF40,0),0)</f>
        <v>0</v>
      </c>
      <c r="AF40" s="1081">
        <v>1</v>
      </c>
      <c r="AG40" s="1081">
        <f>IF(RET="Y",IF(DA40="Y",AH40,0),0)</f>
        <v>0</v>
      </c>
      <c r="AH40" s="1081">
        <v>1</v>
      </c>
      <c r="AI40" s="1081">
        <f>IF(SCHOOLS="y",IF(DW40="y",AJ40,0),0)</f>
        <v>0</v>
      </c>
      <c r="AJ40" s="1081">
        <v>1</v>
      </c>
      <c r="AK40" s="1082">
        <f>IF(FE="y",IF(DW40="y",AL40,0),0)</f>
        <v>0</v>
      </c>
      <c r="AL40" s="1082">
        <v>1</v>
      </c>
      <c r="AM40" s="1082">
        <f>IF(HE="Y",IF(DW40="Y",AN40,0),0)</f>
        <v>0</v>
      </c>
      <c r="AN40" s="1082">
        <v>1</v>
      </c>
      <c r="AO40" s="1081">
        <f>IF(INDUSTRIAL="Y",IF(EL40="Y",AP40,0),0)</f>
        <v>0</v>
      </c>
      <c r="AP40" s="1081">
        <v>1</v>
      </c>
      <c r="AQ40" s="95">
        <v>1</v>
      </c>
      <c r="AR40" s="95"/>
      <c r="AS40" s="95"/>
      <c r="AT40" s="95"/>
      <c r="AU40" s="95"/>
      <c r="AV40" s="95"/>
      <c r="AW40" s="95"/>
      <c r="AX40" s="95"/>
      <c r="AY40" s="95"/>
      <c r="AZ40" s="95"/>
      <c r="BA40" s="95"/>
      <c r="BB40" s="95"/>
      <c r="BC40" s="95"/>
      <c r="BD40" s="95"/>
      <c r="BE40" s="95">
        <f t="shared" si="0"/>
        <v>1</v>
      </c>
      <c r="BF40" s="96" t="str">
        <f t="shared" si="1"/>
        <v>Y</v>
      </c>
      <c r="BG40" s="97"/>
      <c r="BH40" s="98"/>
      <c r="BI40" s="98">
        <f t="shared" si="2"/>
        <v>1</v>
      </c>
      <c r="BJ40" s="98"/>
      <c r="BK40" s="98"/>
      <c r="BL40" s="111"/>
      <c r="BM40" s="98">
        <f t="shared" si="3"/>
        <v>1</v>
      </c>
      <c r="BN40" s="98" t="str">
        <f t="shared" si="4"/>
        <v>Y</v>
      </c>
      <c r="BO40" s="108"/>
      <c r="BP40" s="100">
        <v>1</v>
      </c>
      <c r="BQ40" s="100"/>
      <c r="BR40" s="100"/>
      <c r="BS40" s="100">
        <f t="shared" si="5"/>
        <v>1</v>
      </c>
      <c r="BT40" s="100" t="str">
        <f t="shared" si="6"/>
        <v>Y</v>
      </c>
      <c r="BU40" s="50"/>
      <c r="BV40" s="101">
        <v>1</v>
      </c>
      <c r="BW40" s="101"/>
      <c r="BX40" s="101"/>
      <c r="BY40" s="101"/>
      <c r="BZ40" s="101"/>
      <c r="CA40" s="101"/>
      <c r="CB40" s="101"/>
      <c r="CC40" s="101"/>
      <c r="CD40" s="101">
        <f t="shared" si="7"/>
        <v>1</v>
      </c>
      <c r="CE40" s="101" t="str">
        <f t="shared" si="8"/>
        <v>Y</v>
      </c>
      <c r="CF40" s="54"/>
      <c r="CG40" s="102"/>
      <c r="CH40" s="102">
        <f t="shared" si="9"/>
        <v>0</v>
      </c>
      <c r="CI40" s="102"/>
      <c r="CJ40" s="102"/>
      <c r="CK40" s="102"/>
      <c r="CL40" s="102"/>
      <c r="CM40" s="102"/>
      <c r="CN40" s="102"/>
      <c r="CO40" s="102"/>
      <c r="CP40" s="102"/>
      <c r="CQ40" s="102"/>
      <c r="CR40" s="102"/>
      <c r="CS40" s="102"/>
      <c r="CT40" s="102"/>
      <c r="CU40" s="102"/>
      <c r="CV40" s="102"/>
      <c r="CW40" s="102"/>
      <c r="CX40" s="102"/>
      <c r="CY40" s="102"/>
      <c r="CZ40" s="102">
        <f t="shared" si="10"/>
        <v>0</v>
      </c>
      <c r="DA40" s="102" t="str">
        <f t="shared" si="11"/>
        <v>N</v>
      </c>
      <c r="DB40" s="58"/>
      <c r="DC40" s="101">
        <v>1</v>
      </c>
      <c r="DD40" s="101"/>
      <c r="DE40" s="101"/>
      <c r="DF40" s="101"/>
      <c r="DG40" s="101"/>
      <c r="DH40" s="101"/>
      <c r="DI40" s="101"/>
      <c r="DJ40" s="101"/>
      <c r="DK40" s="101"/>
      <c r="DL40" s="101"/>
      <c r="DM40" s="101"/>
      <c r="DN40" s="101"/>
      <c r="DO40" s="101"/>
      <c r="DP40" s="101"/>
      <c r="DQ40" s="101"/>
      <c r="DR40" s="101"/>
      <c r="DS40" s="101"/>
      <c r="DT40" s="101"/>
      <c r="DU40" s="101"/>
      <c r="DV40" s="101">
        <f t="shared" si="12"/>
        <v>1</v>
      </c>
      <c r="DW40" s="101" t="str">
        <f t="shared" si="16"/>
        <v>Y</v>
      </c>
      <c r="DX40" s="103"/>
      <c r="DY40" s="104"/>
      <c r="DZ40" s="104">
        <f t="shared" si="13"/>
        <v>0</v>
      </c>
      <c r="EA40" s="104"/>
      <c r="EB40" s="104"/>
      <c r="EC40" s="104"/>
      <c r="ED40" s="104"/>
      <c r="EE40" s="104"/>
      <c r="EF40" s="104"/>
      <c r="EG40" s="104"/>
      <c r="EH40" s="104"/>
      <c r="EI40" s="104"/>
      <c r="EJ40" s="104"/>
      <c r="EK40" s="104">
        <f t="shared" si="14"/>
        <v>0</v>
      </c>
      <c r="EL40" s="104" t="str">
        <f t="shared" si="15"/>
        <v>N</v>
      </c>
      <c r="EM40" s="62"/>
      <c r="EN40" s="6"/>
      <c r="EO40" s="6"/>
      <c r="EP40" s="6"/>
      <c r="EQ40" s="6"/>
      <c r="ER40" s="6"/>
    </row>
    <row r="41" spans="1:148" x14ac:dyDescent="0.2">
      <c r="A41" s="1189"/>
      <c r="B41" s="1184"/>
      <c r="C41" s="1141"/>
      <c r="D41" s="1134"/>
      <c r="E41" s="1086"/>
      <c r="F41" s="1086"/>
      <c r="G41" s="1077"/>
      <c r="H41" s="1077"/>
      <c r="I41" s="1077"/>
      <c r="J41" s="1079"/>
      <c r="K41" s="1077"/>
      <c r="L41" s="176"/>
      <c r="M41" s="171"/>
      <c r="N41" s="178"/>
      <c r="O41" s="173"/>
      <c r="P41" s="173"/>
      <c r="Q41" s="173"/>
      <c r="R41" s="173"/>
      <c r="S41" s="173"/>
      <c r="T41" s="173"/>
      <c r="U41" s="173"/>
      <c r="V41" s="174"/>
      <c r="W41" s="175"/>
      <c r="X41" s="1099"/>
      <c r="Y41" s="1081"/>
      <c r="Z41" s="1081"/>
      <c r="AA41" s="1081"/>
      <c r="AB41" s="1081"/>
      <c r="AC41" s="1081"/>
      <c r="AD41" s="1081"/>
      <c r="AE41" s="1081"/>
      <c r="AF41" s="1081"/>
      <c r="AG41" s="1081"/>
      <c r="AH41" s="1081"/>
      <c r="AI41" s="1081"/>
      <c r="AJ41" s="1081"/>
      <c r="AK41" s="1082"/>
      <c r="AL41" s="1082"/>
      <c r="AM41" s="1082"/>
      <c r="AN41" s="1082"/>
      <c r="AO41" s="1081"/>
      <c r="AP41" s="1081"/>
      <c r="AQ41" s="95">
        <v>1</v>
      </c>
      <c r="AR41" s="95"/>
      <c r="AS41" s="95"/>
      <c r="AT41" s="95"/>
      <c r="AU41" s="95"/>
      <c r="AV41" s="95"/>
      <c r="AW41" s="95"/>
      <c r="AX41" s="95"/>
      <c r="AY41" s="95"/>
      <c r="AZ41" s="95"/>
      <c r="BA41" s="95"/>
      <c r="BB41" s="95"/>
      <c r="BC41" s="95"/>
      <c r="BD41" s="95"/>
      <c r="BE41" s="95">
        <f t="shared" si="0"/>
        <v>1</v>
      </c>
      <c r="BF41" s="96" t="str">
        <f t="shared" si="1"/>
        <v>Y</v>
      </c>
      <c r="BG41" s="97"/>
      <c r="BH41" s="98"/>
      <c r="BI41" s="98">
        <f t="shared" si="2"/>
        <v>1</v>
      </c>
      <c r="BJ41" s="98"/>
      <c r="BK41" s="98"/>
      <c r="BL41" s="111"/>
      <c r="BM41" s="98">
        <f t="shared" si="3"/>
        <v>1</v>
      </c>
      <c r="BN41" s="98" t="str">
        <f t="shared" si="4"/>
        <v>Y</v>
      </c>
      <c r="BO41" s="108"/>
      <c r="BP41" s="100">
        <v>1</v>
      </c>
      <c r="BQ41" s="100"/>
      <c r="BR41" s="100"/>
      <c r="BS41" s="100">
        <f t="shared" si="5"/>
        <v>1</v>
      </c>
      <c r="BT41" s="100" t="str">
        <f t="shared" si="6"/>
        <v>Y</v>
      </c>
      <c r="BU41" s="50"/>
      <c r="BV41" s="101">
        <v>1</v>
      </c>
      <c r="BW41" s="101"/>
      <c r="BX41" s="101"/>
      <c r="BY41" s="101"/>
      <c r="BZ41" s="101"/>
      <c r="CA41" s="101"/>
      <c r="CB41" s="101"/>
      <c r="CC41" s="101"/>
      <c r="CD41" s="101">
        <f t="shared" si="7"/>
        <v>1</v>
      </c>
      <c r="CE41" s="101" t="str">
        <f t="shared" si="8"/>
        <v>Y</v>
      </c>
      <c r="CF41" s="54"/>
      <c r="CG41" s="102"/>
      <c r="CH41" s="102">
        <f t="shared" si="9"/>
        <v>0</v>
      </c>
      <c r="CI41" s="102"/>
      <c r="CJ41" s="102"/>
      <c r="CK41" s="102"/>
      <c r="CL41" s="102"/>
      <c r="CM41" s="102"/>
      <c r="CN41" s="102"/>
      <c r="CO41" s="102"/>
      <c r="CP41" s="102"/>
      <c r="CQ41" s="102"/>
      <c r="CR41" s="102"/>
      <c r="CS41" s="102"/>
      <c r="CT41" s="102"/>
      <c r="CU41" s="102"/>
      <c r="CV41" s="102"/>
      <c r="CW41" s="102"/>
      <c r="CX41" s="102"/>
      <c r="CY41" s="102"/>
      <c r="CZ41" s="102">
        <f t="shared" si="10"/>
        <v>0</v>
      </c>
      <c r="DA41" s="102" t="str">
        <f t="shared" si="11"/>
        <v>N</v>
      </c>
      <c r="DB41" s="58"/>
      <c r="DC41" s="101">
        <v>1</v>
      </c>
      <c r="DD41" s="101"/>
      <c r="DE41" s="101"/>
      <c r="DF41" s="101"/>
      <c r="DG41" s="101"/>
      <c r="DH41" s="101"/>
      <c r="DI41" s="101"/>
      <c r="DJ41" s="101"/>
      <c r="DK41" s="101"/>
      <c r="DL41" s="101"/>
      <c r="DM41" s="101"/>
      <c r="DN41" s="101"/>
      <c r="DO41" s="101"/>
      <c r="DP41" s="101"/>
      <c r="DQ41" s="101"/>
      <c r="DR41" s="101"/>
      <c r="DS41" s="101"/>
      <c r="DT41" s="101"/>
      <c r="DU41" s="101"/>
      <c r="DV41" s="101">
        <f t="shared" si="12"/>
        <v>1</v>
      </c>
      <c r="DW41" s="101" t="str">
        <f t="shared" si="16"/>
        <v>Y</v>
      </c>
      <c r="DX41" s="103"/>
      <c r="DY41" s="104"/>
      <c r="DZ41" s="104">
        <f t="shared" si="13"/>
        <v>0</v>
      </c>
      <c r="EA41" s="104"/>
      <c r="EB41" s="104"/>
      <c r="EC41" s="104"/>
      <c r="ED41" s="104"/>
      <c r="EE41" s="104"/>
      <c r="EF41" s="104"/>
      <c r="EG41" s="104"/>
      <c r="EH41" s="104"/>
      <c r="EI41" s="104"/>
      <c r="EJ41" s="104"/>
      <c r="EK41" s="104">
        <f t="shared" si="14"/>
        <v>0</v>
      </c>
      <c r="EL41" s="104" t="str">
        <f t="shared" si="15"/>
        <v>N</v>
      </c>
      <c r="EM41" s="62"/>
      <c r="EN41" s="6"/>
      <c r="EO41" s="6"/>
      <c r="EP41" s="6"/>
      <c r="EQ41" s="6"/>
      <c r="ER41" s="6"/>
    </row>
    <row r="42" spans="1:148" ht="13.5" thickBot="1" x14ac:dyDescent="0.25">
      <c r="A42" s="1189"/>
      <c r="B42" s="1184"/>
      <c r="C42" s="1141"/>
      <c r="D42" s="1134"/>
      <c r="E42" s="1143"/>
      <c r="F42" s="1143"/>
      <c r="G42" s="1078"/>
      <c r="H42" s="1078"/>
      <c r="I42" s="1078"/>
      <c r="J42" s="1080"/>
      <c r="K42" s="1078"/>
      <c r="L42" s="176"/>
      <c r="M42" s="177"/>
      <c r="N42" s="172"/>
      <c r="O42" s="173"/>
      <c r="P42" s="173"/>
      <c r="Q42" s="173"/>
      <c r="R42" s="173"/>
      <c r="S42" s="173"/>
      <c r="T42" s="173"/>
      <c r="U42" s="173"/>
      <c r="V42" s="174"/>
      <c r="W42" s="175"/>
      <c r="X42" s="1100"/>
      <c r="Y42" s="1081"/>
      <c r="Z42" s="1081"/>
      <c r="AA42" s="1081"/>
      <c r="AB42" s="1081"/>
      <c r="AC42" s="1081"/>
      <c r="AD42" s="1081"/>
      <c r="AE42" s="1081"/>
      <c r="AF42" s="1081"/>
      <c r="AG42" s="1081"/>
      <c r="AH42" s="1081"/>
      <c r="AI42" s="1081"/>
      <c r="AJ42" s="1081"/>
      <c r="AK42" s="1082"/>
      <c r="AL42" s="1082"/>
      <c r="AM42" s="1082"/>
      <c r="AN42" s="1082"/>
      <c r="AO42" s="1081"/>
      <c r="AP42" s="1081"/>
      <c r="AQ42" s="95">
        <v>1</v>
      </c>
      <c r="AR42" s="95"/>
      <c r="AS42" s="95"/>
      <c r="AT42" s="95"/>
      <c r="AU42" s="95"/>
      <c r="AV42" s="95"/>
      <c r="AW42" s="95"/>
      <c r="AX42" s="95"/>
      <c r="AY42" s="95"/>
      <c r="AZ42" s="95"/>
      <c r="BA42" s="95"/>
      <c r="BB42" s="95"/>
      <c r="BC42" s="95"/>
      <c r="BD42" s="95"/>
      <c r="BE42" s="95">
        <f t="shared" si="0"/>
        <v>1</v>
      </c>
      <c r="BF42" s="96" t="str">
        <f t="shared" si="1"/>
        <v>Y</v>
      </c>
      <c r="BG42" s="97"/>
      <c r="BH42" s="98"/>
      <c r="BI42" s="98">
        <f t="shared" si="2"/>
        <v>1</v>
      </c>
      <c r="BJ42" s="98"/>
      <c r="BK42" s="98"/>
      <c r="BL42" s="111"/>
      <c r="BM42" s="98">
        <f t="shared" si="3"/>
        <v>1</v>
      </c>
      <c r="BN42" s="98" t="str">
        <f t="shared" si="4"/>
        <v>Y</v>
      </c>
      <c r="BO42" s="108"/>
      <c r="BP42" s="100">
        <v>1</v>
      </c>
      <c r="BQ42" s="100"/>
      <c r="BR42" s="100"/>
      <c r="BS42" s="100">
        <f t="shared" si="5"/>
        <v>1</v>
      </c>
      <c r="BT42" s="100" t="str">
        <f t="shared" si="6"/>
        <v>Y</v>
      </c>
      <c r="BU42" s="50"/>
      <c r="BV42" s="101">
        <v>1</v>
      </c>
      <c r="BW42" s="101"/>
      <c r="BX42" s="101"/>
      <c r="BY42" s="101"/>
      <c r="BZ42" s="101"/>
      <c r="CA42" s="101"/>
      <c r="CB42" s="101"/>
      <c r="CC42" s="101"/>
      <c r="CD42" s="101">
        <f t="shared" si="7"/>
        <v>1</v>
      </c>
      <c r="CE42" s="101" t="str">
        <f t="shared" si="8"/>
        <v>Y</v>
      </c>
      <c r="CF42" s="54"/>
      <c r="CG42" s="102"/>
      <c r="CH42" s="102">
        <f t="shared" si="9"/>
        <v>0</v>
      </c>
      <c r="CI42" s="102"/>
      <c r="CJ42" s="102"/>
      <c r="CK42" s="102"/>
      <c r="CL42" s="102"/>
      <c r="CM42" s="102"/>
      <c r="CN42" s="102"/>
      <c r="CO42" s="102"/>
      <c r="CP42" s="102"/>
      <c r="CQ42" s="102"/>
      <c r="CR42" s="102"/>
      <c r="CS42" s="102"/>
      <c r="CT42" s="102"/>
      <c r="CU42" s="102"/>
      <c r="CV42" s="102"/>
      <c r="CW42" s="102"/>
      <c r="CX42" s="102"/>
      <c r="CY42" s="102"/>
      <c r="CZ42" s="102">
        <f t="shared" si="10"/>
        <v>0</v>
      </c>
      <c r="DA42" s="102" t="str">
        <f t="shared" si="11"/>
        <v>N</v>
      </c>
      <c r="DB42" s="58"/>
      <c r="DC42" s="101">
        <v>1</v>
      </c>
      <c r="DD42" s="101"/>
      <c r="DE42" s="101"/>
      <c r="DF42" s="101"/>
      <c r="DG42" s="101"/>
      <c r="DH42" s="101"/>
      <c r="DI42" s="101"/>
      <c r="DJ42" s="101"/>
      <c r="DK42" s="101"/>
      <c r="DL42" s="101"/>
      <c r="DM42" s="101"/>
      <c r="DN42" s="101"/>
      <c r="DO42" s="101"/>
      <c r="DP42" s="101"/>
      <c r="DQ42" s="101"/>
      <c r="DR42" s="101"/>
      <c r="DS42" s="101"/>
      <c r="DT42" s="101"/>
      <c r="DU42" s="101"/>
      <c r="DV42" s="101">
        <f t="shared" si="12"/>
        <v>1</v>
      </c>
      <c r="DW42" s="101" t="str">
        <f t="shared" si="16"/>
        <v>Y</v>
      </c>
      <c r="DX42" s="103"/>
      <c r="DY42" s="104"/>
      <c r="DZ42" s="104">
        <f t="shared" si="13"/>
        <v>0</v>
      </c>
      <c r="EA42" s="104"/>
      <c r="EB42" s="104"/>
      <c r="EC42" s="104"/>
      <c r="ED42" s="104"/>
      <c r="EE42" s="104"/>
      <c r="EF42" s="104"/>
      <c r="EG42" s="104"/>
      <c r="EH42" s="104"/>
      <c r="EI42" s="104"/>
      <c r="EJ42" s="104"/>
      <c r="EK42" s="104">
        <f t="shared" si="14"/>
        <v>0</v>
      </c>
      <c r="EL42" s="104" t="str">
        <f t="shared" si="15"/>
        <v>N</v>
      </c>
      <c r="EM42" s="62"/>
      <c r="EN42" s="6"/>
      <c r="EO42" s="6"/>
      <c r="EP42" s="6"/>
      <c r="EQ42" s="6"/>
      <c r="ER42" s="6"/>
    </row>
    <row r="43" spans="1:148" x14ac:dyDescent="0.2">
      <c r="A43" s="1189"/>
      <c r="B43" s="1149" t="s">
        <v>263</v>
      </c>
      <c r="C43" s="1152" t="s">
        <v>214</v>
      </c>
      <c r="D43" s="140"/>
      <c r="E43" s="1083"/>
      <c r="F43" s="1085"/>
      <c r="G43" s="1076" t="s">
        <v>347</v>
      </c>
      <c r="H43" s="1076" t="s">
        <v>284</v>
      </c>
      <c r="I43" s="1076"/>
      <c r="J43" s="1079">
        <v>5</v>
      </c>
      <c r="K43" s="1076"/>
      <c r="L43" s="176"/>
      <c r="M43" s="177"/>
      <c r="N43" s="172"/>
      <c r="O43" s="177"/>
      <c r="P43" s="172"/>
      <c r="Q43" s="173"/>
      <c r="R43" s="173"/>
      <c r="S43" s="173"/>
      <c r="T43" s="173"/>
      <c r="U43" s="173"/>
      <c r="V43" s="174"/>
      <c r="W43" s="175"/>
      <c r="X43" s="1098" t="s">
        <v>380</v>
      </c>
      <c r="Y43" s="1081">
        <f>IF(HC="Y",IF(BF43="Y",Z43,0),0)</f>
        <v>0</v>
      </c>
      <c r="Z43" s="1081">
        <v>2</v>
      </c>
      <c r="AA43" s="1081">
        <f>IF(OFF="Y",IF(BN43="Y",AB43,0),0)</f>
        <v>2</v>
      </c>
      <c r="AB43" s="1081">
        <v>2</v>
      </c>
      <c r="AC43" s="1081">
        <f>IF(COURTS="Y",IF(BT43="Y",AD43,0),0)</f>
        <v>0</v>
      </c>
      <c r="AD43" s="1081">
        <v>2</v>
      </c>
      <c r="AE43" s="1081">
        <f>IF(PRISONS="Y",IF(CE43="Y",AF43,0),0)</f>
        <v>0</v>
      </c>
      <c r="AF43" s="1081">
        <v>2</v>
      </c>
      <c r="AG43" s="1081">
        <f>IF(RET="Y",IF(DA43="Y",AH43,0),0)</f>
        <v>0</v>
      </c>
      <c r="AH43" s="1081">
        <v>2</v>
      </c>
      <c r="AI43" s="1081">
        <f>IF(SCHOOLS="y",IF(DW43="y",AJ43,0),0)</f>
        <v>0</v>
      </c>
      <c r="AJ43" s="1081">
        <v>2</v>
      </c>
      <c r="AK43" s="1082">
        <f>IF(FE="y",IF(DW43="y",AL43,0),0)</f>
        <v>0</v>
      </c>
      <c r="AL43" s="1082">
        <v>2</v>
      </c>
      <c r="AM43" s="1082">
        <f>IF(HE="Y",IF(DW43="Y",AN43,0),0)</f>
        <v>0</v>
      </c>
      <c r="AN43" s="1082">
        <v>2</v>
      </c>
      <c r="AO43" s="1081">
        <f>IF(INDUSTRIAL="Y",IF(EL43="Y",AP43,0),0)</f>
        <v>0</v>
      </c>
      <c r="AP43" s="1081">
        <v>2</v>
      </c>
      <c r="AQ43" s="95">
        <v>1</v>
      </c>
      <c r="AR43" s="95"/>
      <c r="AS43" s="95"/>
      <c r="AT43" s="95"/>
      <c r="AU43" s="95"/>
      <c r="AV43" s="95"/>
      <c r="AW43" s="95"/>
      <c r="AX43" s="95"/>
      <c r="AY43" s="95"/>
      <c r="AZ43" s="95"/>
      <c r="BA43" s="95"/>
      <c r="BB43" s="95"/>
      <c r="BC43" s="95"/>
      <c r="BD43" s="95"/>
      <c r="BE43" s="95">
        <f t="shared" si="0"/>
        <v>1</v>
      </c>
      <c r="BF43" s="96" t="str">
        <f t="shared" si="1"/>
        <v>Y</v>
      </c>
      <c r="BG43" s="97"/>
      <c r="BH43" s="98"/>
      <c r="BI43" s="98">
        <f t="shared" si="2"/>
        <v>1</v>
      </c>
      <c r="BJ43" s="98"/>
      <c r="BK43" s="98"/>
      <c r="BL43" s="111"/>
      <c r="BM43" s="98">
        <f t="shared" si="3"/>
        <v>1</v>
      </c>
      <c r="BN43" s="98" t="str">
        <f t="shared" si="4"/>
        <v>Y</v>
      </c>
      <c r="BO43" s="108"/>
      <c r="BP43" s="100">
        <v>1</v>
      </c>
      <c r="BQ43" s="100"/>
      <c r="BR43" s="100"/>
      <c r="BS43" s="100">
        <f t="shared" si="5"/>
        <v>1</v>
      </c>
      <c r="BT43" s="100" t="str">
        <f t="shared" si="6"/>
        <v>Y</v>
      </c>
      <c r="BU43" s="50"/>
      <c r="BV43" s="101">
        <v>1</v>
      </c>
      <c r="BW43" s="101"/>
      <c r="BX43" s="101"/>
      <c r="BY43" s="101"/>
      <c r="BZ43" s="101"/>
      <c r="CA43" s="101"/>
      <c r="CB43" s="101"/>
      <c r="CC43" s="101"/>
      <c r="CD43" s="101">
        <f t="shared" si="7"/>
        <v>1</v>
      </c>
      <c r="CE43" s="101" t="str">
        <f t="shared" si="8"/>
        <v>Y</v>
      </c>
      <c r="CF43" s="54"/>
      <c r="CG43" s="102"/>
      <c r="CH43" s="102">
        <f t="shared" si="9"/>
        <v>0</v>
      </c>
      <c r="CI43" s="102"/>
      <c r="CJ43" s="102"/>
      <c r="CK43" s="102"/>
      <c r="CL43" s="102"/>
      <c r="CM43" s="102"/>
      <c r="CN43" s="102"/>
      <c r="CO43" s="102"/>
      <c r="CP43" s="102"/>
      <c r="CQ43" s="102"/>
      <c r="CR43" s="102"/>
      <c r="CS43" s="102"/>
      <c r="CT43" s="102"/>
      <c r="CU43" s="102"/>
      <c r="CV43" s="102"/>
      <c r="CW43" s="102"/>
      <c r="CX43" s="102"/>
      <c r="CY43" s="102"/>
      <c r="CZ43" s="102">
        <f t="shared" si="10"/>
        <v>0</v>
      </c>
      <c r="DA43" s="102" t="str">
        <f t="shared" si="11"/>
        <v>N</v>
      </c>
      <c r="DB43" s="58"/>
      <c r="DC43" s="101">
        <v>1</v>
      </c>
      <c r="DD43" s="101"/>
      <c r="DE43" s="101"/>
      <c r="DF43" s="101"/>
      <c r="DG43" s="101"/>
      <c r="DH43" s="101"/>
      <c r="DI43" s="101"/>
      <c r="DJ43" s="101"/>
      <c r="DK43" s="101"/>
      <c r="DL43" s="101"/>
      <c r="DM43" s="101"/>
      <c r="DN43" s="101"/>
      <c r="DO43" s="101"/>
      <c r="DP43" s="101"/>
      <c r="DQ43" s="101"/>
      <c r="DR43" s="101"/>
      <c r="DS43" s="101"/>
      <c r="DT43" s="101"/>
      <c r="DU43" s="101"/>
      <c r="DV43" s="101">
        <f t="shared" si="12"/>
        <v>1</v>
      </c>
      <c r="DW43" s="101" t="str">
        <f t="shared" si="16"/>
        <v>Y</v>
      </c>
      <c r="DX43" s="103"/>
      <c r="DY43" s="104"/>
      <c r="DZ43" s="104">
        <f t="shared" si="13"/>
        <v>0</v>
      </c>
      <c r="EA43" s="104"/>
      <c r="EB43" s="104"/>
      <c r="EC43" s="104"/>
      <c r="ED43" s="104"/>
      <c r="EE43" s="104"/>
      <c r="EF43" s="104"/>
      <c r="EG43" s="104"/>
      <c r="EH43" s="104"/>
      <c r="EI43" s="104"/>
      <c r="EJ43" s="104"/>
      <c r="EK43" s="104">
        <f t="shared" si="14"/>
        <v>0</v>
      </c>
      <c r="EL43" s="104" t="str">
        <f t="shared" si="15"/>
        <v>N</v>
      </c>
      <c r="EM43" s="62"/>
      <c r="EN43" s="6"/>
      <c r="EO43" s="6"/>
      <c r="EP43" s="6"/>
      <c r="EQ43" s="6"/>
      <c r="ER43" s="6"/>
    </row>
    <row r="44" spans="1:148" x14ac:dyDescent="0.2">
      <c r="A44" s="1189"/>
      <c r="B44" s="1150"/>
      <c r="C44" s="1153"/>
      <c r="D44" s="141"/>
      <c r="E44" s="1083"/>
      <c r="F44" s="1086"/>
      <c r="G44" s="1077"/>
      <c r="H44" s="1077"/>
      <c r="I44" s="1077"/>
      <c r="J44" s="1079"/>
      <c r="K44" s="1077"/>
      <c r="L44" s="176"/>
      <c r="M44" s="177"/>
      <c r="N44" s="172"/>
      <c r="O44" s="177"/>
      <c r="P44" s="172"/>
      <c r="Q44" s="173"/>
      <c r="R44" s="173"/>
      <c r="S44" s="173"/>
      <c r="T44" s="173"/>
      <c r="U44" s="173"/>
      <c r="V44" s="174"/>
      <c r="W44" s="175"/>
      <c r="X44" s="1099"/>
      <c r="Y44" s="1081"/>
      <c r="Z44" s="1081"/>
      <c r="AA44" s="1081"/>
      <c r="AB44" s="1081"/>
      <c r="AC44" s="1081"/>
      <c r="AD44" s="1081"/>
      <c r="AE44" s="1081"/>
      <c r="AF44" s="1081"/>
      <c r="AG44" s="1081"/>
      <c r="AH44" s="1081"/>
      <c r="AI44" s="1081"/>
      <c r="AJ44" s="1081"/>
      <c r="AK44" s="1082"/>
      <c r="AL44" s="1082"/>
      <c r="AM44" s="1082"/>
      <c r="AN44" s="1082"/>
      <c r="AO44" s="1081"/>
      <c r="AP44" s="1081"/>
      <c r="AQ44" s="95">
        <v>1</v>
      </c>
      <c r="AR44" s="95"/>
      <c r="AS44" s="95"/>
      <c r="AT44" s="95"/>
      <c r="AU44" s="95"/>
      <c r="AV44" s="95"/>
      <c r="AW44" s="95"/>
      <c r="AX44" s="95"/>
      <c r="AY44" s="95"/>
      <c r="AZ44" s="95"/>
      <c r="BA44" s="95"/>
      <c r="BB44" s="95"/>
      <c r="BC44" s="95"/>
      <c r="BD44" s="95"/>
      <c r="BE44" s="95">
        <f t="shared" si="0"/>
        <v>1</v>
      </c>
      <c r="BF44" s="96" t="str">
        <f t="shared" si="1"/>
        <v>Y</v>
      </c>
      <c r="BG44" s="97"/>
      <c r="BH44" s="98"/>
      <c r="BI44" s="98">
        <f t="shared" si="2"/>
        <v>1</v>
      </c>
      <c r="BJ44" s="98"/>
      <c r="BK44" s="98"/>
      <c r="BL44" s="111"/>
      <c r="BM44" s="98">
        <f t="shared" si="3"/>
        <v>1</v>
      </c>
      <c r="BN44" s="98" t="str">
        <f t="shared" si="4"/>
        <v>Y</v>
      </c>
      <c r="BO44" s="108"/>
      <c r="BP44" s="100">
        <v>1</v>
      </c>
      <c r="BQ44" s="100"/>
      <c r="BR44" s="100"/>
      <c r="BS44" s="100">
        <f t="shared" si="5"/>
        <v>1</v>
      </c>
      <c r="BT44" s="100" t="str">
        <f t="shared" si="6"/>
        <v>Y</v>
      </c>
      <c r="BU44" s="50"/>
      <c r="BV44" s="101">
        <v>1</v>
      </c>
      <c r="BW44" s="101"/>
      <c r="BX44" s="101"/>
      <c r="BY44" s="101"/>
      <c r="BZ44" s="101"/>
      <c r="CA44" s="101"/>
      <c r="CB44" s="101"/>
      <c r="CC44" s="101"/>
      <c r="CD44" s="101">
        <f t="shared" si="7"/>
        <v>1</v>
      </c>
      <c r="CE44" s="101" t="str">
        <f t="shared" si="8"/>
        <v>Y</v>
      </c>
      <c r="CF44" s="54"/>
      <c r="CG44" s="102"/>
      <c r="CH44" s="102">
        <f t="shared" si="9"/>
        <v>0</v>
      </c>
      <c r="CI44" s="102"/>
      <c r="CJ44" s="102"/>
      <c r="CK44" s="102"/>
      <c r="CL44" s="102"/>
      <c r="CM44" s="102"/>
      <c r="CN44" s="102"/>
      <c r="CO44" s="102"/>
      <c r="CP44" s="102"/>
      <c r="CQ44" s="102"/>
      <c r="CR44" s="102"/>
      <c r="CS44" s="102"/>
      <c r="CT44" s="102"/>
      <c r="CU44" s="102"/>
      <c r="CV44" s="102"/>
      <c r="CW44" s="102"/>
      <c r="CX44" s="102"/>
      <c r="CY44" s="102"/>
      <c r="CZ44" s="102">
        <f t="shared" si="10"/>
        <v>0</v>
      </c>
      <c r="DA44" s="102" t="str">
        <f t="shared" si="11"/>
        <v>N</v>
      </c>
      <c r="DB44" s="58"/>
      <c r="DC44" s="101">
        <v>1</v>
      </c>
      <c r="DD44" s="101"/>
      <c r="DE44" s="101"/>
      <c r="DF44" s="101"/>
      <c r="DG44" s="101"/>
      <c r="DH44" s="101"/>
      <c r="DI44" s="101"/>
      <c r="DJ44" s="101"/>
      <c r="DK44" s="101"/>
      <c r="DL44" s="101"/>
      <c r="DM44" s="101"/>
      <c r="DN44" s="101"/>
      <c r="DO44" s="101"/>
      <c r="DP44" s="101"/>
      <c r="DQ44" s="101"/>
      <c r="DR44" s="101"/>
      <c r="DS44" s="101"/>
      <c r="DT44" s="101"/>
      <c r="DU44" s="101"/>
      <c r="DV44" s="101">
        <f t="shared" si="12"/>
        <v>1</v>
      </c>
      <c r="DW44" s="101" t="str">
        <f t="shared" si="16"/>
        <v>Y</v>
      </c>
      <c r="DX44" s="103"/>
      <c r="DY44" s="104"/>
      <c r="DZ44" s="104">
        <f t="shared" si="13"/>
        <v>0</v>
      </c>
      <c r="EA44" s="104"/>
      <c r="EB44" s="104"/>
      <c r="EC44" s="104"/>
      <c r="ED44" s="104"/>
      <c r="EE44" s="104"/>
      <c r="EF44" s="104"/>
      <c r="EG44" s="104"/>
      <c r="EH44" s="104"/>
      <c r="EI44" s="104"/>
      <c r="EJ44" s="104"/>
      <c r="EK44" s="104">
        <f t="shared" si="14"/>
        <v>0</v>
      </c>
      <c r="EL44" s="104" t="str">
        <f t="shared" si="15"/>
        <v>N</v>
      </c>
      <c r="EM44" s="62"/>
      <c r="EN44" s="6"/>
      <c r="EO44" s="6"/>
      <c r="EP44" s="6"/>
      <c r="EQ44" s="6"/>
      <c r="ER44" s="6"/>
    </row>
    <row r="45" spans="1:148" ht="13.5" thickBot="1" x14ac:dyDescent="0.25">
      <c r="A45" s="1189"/>
      <c r="B45" s="1151"/>
      <c r="C45" s="1154"/>
      <c r="D45" s="142"/>
      <c r="E45" s="1083"/>
      <c r="F45" s="1143"/>
      <c r="G45" s="1078"/>
      <c r="H45" s="1078"/>
      <c r="I45" s="1078"/>
      <c r="J45" s="1080"/>
      <c r="K45" s="1078"/>
      <c r="L45" s="179"/>
      <c r="M45" s="177"/>
      <c r="N45" s="172"/>
      <c r="O45" s="177"/>
      <c r="P45" s="172"/>
      <c r="Q45" s="173"/>
      <c r="R45" s="173"/>
      <c r="S45" s="173"/>
      <c r="T45" s="173"/>
      <c r="U45" s="173"/>
      <c r="V45" s="174"/>
      <c r="W45" s="175"/>
      <c r="X45" s="1100"/>
      <c r="Y45" s="1081"/>
      <c r="Z45" s="1081"/>
      <c r="AA45" s="1081"/>
      <c r="AB45" s="1081"/>
      <c r="AC45" s="1081"/>
      <c r="AD45" s="1081"/>
      <c r="AE45" s="1081"/>
      <c r="AF45" s="1081"/>
      <c r="AG45" s="1081"/>
      <c r="AH45" s="1081"/>
      <c r="AI45" s="1081"/>
      <c r="AJ45" s="1081"/>
      <c r="AK45" s="1082"/>
      <c r="AL45" s="1082"/>
      <c r="AM45" s="1082"/>
      <c r="AN45" s="1082"/>
      <c r="AO45" s="1081"/>
      <c r="AP45" s="1081"/>
      <c r="AQ45" s="95">
        <v>1</v>
      </c>
      <c r="AR45" s="95"/>
      <c r="AS45" s="95"/>
      <c r="AT45" s="95"/>
      <c r="AU45" s="95"/>
      <c r="AV45" s="95"/>
      <c r="AW45" s="95"/>
      <c r="AX45" s="95"/>
      <c r="AY45" s="95"/>
      <c r="AZ45" s="95"/>
      <c r="BA45" s="95"/>
      <c r="BB45" s="95"/>
      <c r="BC45" s="95"/>
      <c r="BD45" s="95"/>
      <c r="BE45" s="95">
        <f t="shared" si="0"/>
        <v>1</v>
      </c>
      <c r="BF45" s="96" t="str">
        <f t="shared" si="1"/>
        <v>Y</v>
      </c>
      <c r="BG45" s="97"/>
      <c r="BH45" s="98"/>
      <c r="BI45" s="98">
        <f t="shared" si="2"/>
        <v>1</v>
      </c>
      <c r="BJ45" s="98"/>
      <c r="BK45" s="98"/>
      <c r="BL45" s="111"/>
      <c r="BM45" s="98">
        <f t="shared" si="3"/>
        <v>1</v>
      </c>
      <c r="BN45" s="98" t="str">
        <f t="shared" si="4"/>
        <v>Y</v>
      </c>
      <c r="BO45" s="108"/>
      <c r="BP45" s="100">
        <v>1</v>
      </c>
      <c r="BQ45" s="100"/>
      <c r="BR45" s="100"/>
      <c r="BS45" s="100">
        <f t="shared" si="5"/>
        <v>1</v>
      </c>
      <c r="BT45" s="100" t="str">
        <f t="shared" si="6"/>
        <v>Y</v>
      </c>
      <c r="BU45" s="50"/>
      <c r="BV45" s="101">
        <v>1</v>
      </c>
      <c r="BW45" s="101"/>
      <c r="BX45" s="101"/>
      <c r="BY45" s="101"/>
      <c r="BZ45" s="101"/>
      <c r="CA45" s="101"/>
      <c r="CB45" s="101"/>
      <c r="CC45" s="101"/>
      <c r="CD45" s="101">
        <f t="shared" si="7"/>
        <v>1</v>
      </c>
      <c r="CE45" s="101" t="str">
        <f t="shared" si="8"/>
        <v>Y</v>
      </c>
      <c r="CF45" s="54"/>
      <c r="CG45" s="102"/>
      <c r="CH45" s="102">
        <f t="shared" si="9"/>
        <v>0</v>
      </c>
      <c r="CI45" s="102"/>
      <c r="CJ45" s="102"/>
      <c r="CK45" s="102"/>
      <c r="CL45" s="102"/>
      <c r="CM45" s="102"/>
      <c r="CN45" s="102"/>
      <c r="CO45" s="102"/>
      <c r="CP45" s="102"/>
      <c r="CQ45" s="102"/>
      <c r="CR45" s="102"/>
      <c r="CS45" s="102"/>
      <c r="CT45" s="102"/>
      <c r="CU45" s="102"/>
      <c r="CV45" s="102"/>
      <c r="CW45" s="102"/>
      <c r="CX45" s="102"/>
      <c r="CY45" s="102"/>
      <c r="CZ45" s="102">
        <f t="shared" si="10"/>
        <v>0</v>
      </c>
      <c r="DA45" s="102" t="str">
        <f t="shared" si="11"/>
        <v>N</v>
      </c>
      <c r="DB45" s="58"/>
      <c r="DC45" s="101">
        <v>1</v>
      </c>
      <c r="DD45" s="101"/>
      <c r="DE45" s="101"/>
      <c r="DF45" s="101"/>
      <c r="DG45" s="101"/>
      <c r="DH45" s="101"/>
      <c r="DI45" s="101"/>
      <c r="DJ45" s="101"/>
      <c r="DK45" s="101"/>
      <c r="DL45" s="101"/>
      <c r="DM45" s="101"/>
      <c r="DN45" s="101"/>
      <c r="DO45" s="101"/>
      <c r="DP45" s="101"/>
      <c r="DQ45" s="101"/>
      <c r="DR45" s="101"/>
      <c r="DS45" s="101"/>
      <c r="DT45" s="101"/>
      <c r="DU45" s="101"/>
      <c r="DV45" s="101">
        <f t="shared" si="12"/>
        <v>1</v>
      </c>
      <c r="DW45" s="101" t="str">
        <f t="shared" si="16"/>
        <v>Y</v>
      </c>
      <c r="DX45" s="103"/>
      <c r="DY45" s="104"/>
      <c r="DZ45" s="104">
        <f t="shared" si="13"/>
        <v>0</v>
      </c>
      <c r="EA45" s="104"/>
      <c r="EB45" s="104"/>
      <c r="EC45" s="104"/>
      <c r="ED45" s="104"/>
      <c r="EE45" s="104"/>
      <c r="EF45" s="104"/>
      <c r="EG45" s="104"/>
      <c r="EH45" s="104"/>
      <c r="EI45" s="104"/>
      <c r="EJ45" s="104"/>
      <c r="EK45" s="104">
        <f t="shared" si="14"/>
        <v>0</v>
      </c>
      <c r="EL45" s="104" t="str">
        <f t="shared" si="15"/>
        <v>N</v>
      </c>
      <c r="EM45" s="62"/>
      <c r="EN45" s="6"/>
      <c r="EO45" s="6"/>
      <c r="EP45" s="6"/>
      <c r="EQ45" s="6"/>
      <c r="ER45" s="6"/>
    </row>
    <row r="46" spans="1:148" x14ac:dyDescent="0.2">
      <c r="A46" s="1189"/>
      <c r="B46" s="1184" t="s">
        <v>262</v>
      </c>
      <c r="C46" s="1141" t="s">
        <v>261</v>
      </c>
      <c r="D46" s="1134"/>
      <c r="E46" s="1085"/>
      <c r="F46" s="1085"/>
      <c r="G46" s="1076" t="s">
        <v>296</v>
      </c>
      <c r="H46" s="1076" t="s">
        <v>282</v>
      </c>
      <c r="I46" s="1076"/>
      <c r="J46" s="1079">
        <v>2</v>
      </c>
      <c r="K46" s="1076"/>
      <c r="L46" s="176"/>
      <c r="M46" s="177"/>
      <c r="N46" s="172"/>
      <c r="O46" s="173"/>
      <c r="P46" s="173"/>
      <c r="Q46" s="173"/>
      <c r="R46" s="173"/>
      <c r="S46" s="173"/>
      <c r="T46" s="173"/>
      <c r="U46" s="173"/>
      <c r="V46" s="174"/>
      <c r="W46" s="175"/>
      <c r="X46" s="1098" t="s">
        <v>407</v>
      </c>
      <c r="Y46" s="1081">
        <f>IF(HC="Y",IF(BF46="Y",Z46,0),0)</f>
        <v>0</v>
      </c>
      <c r="Z46" s="1081">
        <v>5</v>
      </c>
      <c r="AA46" s="1081">
        <f>IF(OFF="Y",IF(BN46="Y",AB46,0),0)</f>
        <v>3</v>
      </c>
      <c r="AB46" s="1081">
        <v>3</v>
      </c>
      <c r="AC46" s="1081">
        <f>IF(COURTS="Y",IF(BT46="Y",AD46,0),0)</f>
        <v>0</v>
      </c>
      <c r="AD46" s="1081">
        <v>5</v>
      </c>
      <c r="AE46" s="1081">
        <f>IF(PRISONS="Y",IF(CE46="Y",AF46,0),0)</f>
        <v>0</v>
      </c>
      <c r="AF46" s="1081">
        <v>2</v>
      </c>
      <c r="AG46" s="1081">
        <f>IF(RET="Y",IF(DA46="Y",AH46,0),0)</f>
        <v>0</v>
      </c>
      <c r="AH46" s="1081">
        <v>5</v>
      </c>
      <c r="AI46" s="1081">
        <f>IF(SCHOOLS="y",IF(DW46="y",AJ46,0),0)</f>
        <v>0</v>
      </c>
      <c r="AJ46" s="1081">
        <v>3</v>
      </c>
      <c r="AK46" s="1082">
        <f>IF(FE="y",IF(DW46="y",AL46,0),0)</f>
        <v>0</v>
      </c>
      <c r="AL46" s="1082">
        <v>5</v>
      </c>
      <c r="AM46" s="1082">
        <f>IF(HE="Y",IF(DW46="Y",AN46,0),0)</f>
        <v>0</v>
      </c>
      <c r="AN46" s="1082">
        <v>5</v>
      </c>
      <c r="AO46" s="1081">
        <f>IF(INDUSTRIAL="Y",IF(EL46="Y",AP46,0),0)</f>
        <v>0</v>
      </c>
      <c r="AP46" s="1081">
        <v>3</v>
      </c>
      <c r="AQ46" s="95">
        <v>1</v>
      </c>
      <c r="AR46" s="95"/>
      <c r="AS46" s="95"/>
      <c r="AT46" s="95"/>
      <c r="AU46" s="95"/>
      <c r="AV46" s="95"/>
      <c r="AW46" s="95"/>
      <c r="AX46" s="95"/>
      <c r="AY46" s="95"/>
      <c r="AZ46" s="95"/>
      <c r="BA46" s="95"/>
      <c r="BB46" s="95"/>
      <c r="BC46" s="95"/>
      <c r="BD46" s="95"/>
      <c r="BE46" s="95">
        <f t="shared" si="0"/>
        <v>1</v>
      </c>
      <c r="BF46" s="96" t="str">
        <f t="shared" si="1"/>
        <v>Y</v>
      </c>
      <c r="BG46" s="97"/>
      <c r="BH46" s="98">
        <v>1</v>
      </c>
      <c r="BI46" s="98"/>
      <c r="BJ46" s="98"/>
      <c r="BK46" s="98"/>
      <c r="BL46" s="111"/>
      <c r="BM46" s="98">
        <f t="shared" si="3"/>
        <v>1</v>
      </c>
      <c r="BN46" s="98" t="str">
        <f t="shared" si="4"/>
        <v>Y</v>
      </c>
      <c r="BO46" s="108"/>
      <c r="BP46" s="100">
        <v>1</v>
      </c>
      <c r="BQ46" s="100"/>
      <c r="BR46" s="100"/>
      <c r="BS46" s="100">
        <f t="shared" si="5"/>
        <v>1</v>
      </c>
      <c r="BT46" s="100" t="str">
        <f t="shared" si="6"/>
        <v>Y</v>
      </c>
      <c r="BU46" s="50"/>
      <c r="BV46" s="101">
        <v>1</v>
      </c>
      <c r="BW46" s="101"/>
      <c r="BX46" s="101"/>
      <c r="BY46" s="101"/>
      <c r="BZ46" s="101"/>
      <c r="CA46" s="101"/>
      <c r="CB46" s="101"/>
      <c r="CC46" s="101"/>
      <c r="CD46" s="101">
        <f t="shared" si="7"/>
        <v>1</v>
      </c>
      <c r="CE46" s="101" t="str">
        <f t="shared" si="8"/>
        <v>Y</v>
      </c>
      <c r="CF46" s="54"/>
      <c r="CG46" s="102">
        <v>1</v>
      </c>
      <c r="CH46" s="102"/>
      <c r="CI46" s="102"/>
      <c r="CJ46" s="102"/>
      <c r="CK46" s="102"/>
      <c r="CL46" s="102"/>
      <c r="CM46" s="102"/>
      <c r="CN46" s="102"/>
      <c r="CO46" s="102"/>
      <c r="CP46" s="102"/>
      <c r="CQ46" s="102"/>
      <c r="CR46" s="102"/>
      <c r="CS46" s="102"/>
      <c r="CT46" s="102"/>
      <c r="CU46" s="102"/>
      <c r="CV46" s="102"/>
      <c r="CW46" s="102"/>
      <c r="CX46" s="102"/>
      <c r="CY46" s="102"/>
      <c r="CZ46" s="102">
        <f t="shared" si="10"/>
        <v>1</v>
      </c>
      <c r="DA46" s="102" t="str">
        <f t="shared" si="11"/>
        <v>Y</v>
      </c>
      <c r="DB46" s="58"/>
      <c r="DC46" s="101">
        <v>1</v>
      </c>
      <c r="DD46" s="101"/>
      <c r="DE46" s="101"/>
      <c r="DF46" s="101"/>
      <c r="DG46" s="101"/>
      <c r="DH46" s="101"/>
      <c r="DI46" s="101"/>
      <c r="DJ46" s="101"/>
      <c r="DK46" s="101"/>
      <c r="DL46" s="101"/>
      <c r="DM46" s="101"/>
      <c r="DN46" s="101"/>
      <c r="DO46" s="101"/>
      <c r="DP46" s="101"/>
      <c r="DQ46" s="101"/>
      <c r="DR46" s="101"/>
      <c r="DS46" s="101"/>
      <c r="DT46" s="101"/>
      <c r="DU46" s="101"/>
      <c r="DV46" s="101">
        <f t="shared" si="12"/>
        <v>1</v>
      </c>
      <c r="DW46" s="101" t="str">
        <f t="shared" si="16"/>
        <v>Y</v>
      </c>
      <c r="DX46" s="103"/>
      <c r="DY46" s="104">
        <v>1</v>
      </c>
      <c r="DZ46" s="104"/>
      <c r="EA46" s="104"/>
      <c r="EB46" s="104"/>
      <c r="EC46" s="104"/>
      <c r="ED46" s="104"/>
      <c r="EE46" s="104"/>
      <c r="EF46" s="104"/>
      <c r="EG46" s="104"/>
      <c r="EH46" s="104"/>
      <c r="EI46" s="104"/>
      <c r="EJ46" s="104"/>
      <c r="EK46" s="104">
        <f t="shared" si="14"/>
        <v>1</v>
      </c>
      <c r="EL46" s="104" t="str">
        <f t="shared" si="15"/>
        <v>Y</v>
      </c>
      <c r="EM46" s="62"/>
      <c r="EN46" s="6"/>
      <c r="EO46" s="6"/>
      <c r="EP46" s="6"/>
      <c r="EQ46" s="6"/>
      <c r="ER46" s="6"/>
    </row>
    <row r="47" spans="1:148" x14ac:dyDescent="0.2">
      <c r="A47" s="1189"/>
      <c r="B47" s="1184"/>
      <c r="C47" s="1141"/>
      <c r="D47" s="1134"/>
      <c r="E47" s="1086"/>
      <c r="F47" s="1086"/>
      <c r="G47" s="1077"/>
      <c r="H47" s="1077"/>
      <c r="I47" s="1077"/>
      <c r="J47" s="1079"/>
      <c r="K47" s="1077"/>
      <c r="L47" s="176"/>
      <c r="M47" s="177"/>
      <c r="N47" s="172"/>
      <c r="O47" s="173"/>
      <c r="P47" s="173"/>
      <c r="Q47" s="173"/>
      <c r="R47" s="173"/>
      <c r="S47" s="173"/>
      <c r="T47" s="173"/>
      <c r="U47" s="173"/>
      <c r="V47" s="174"/>
      <c r="W47" s="175"/>
      <c r="X47" s="1099"/>
      <c r="Y47" s="1081"/>
      <c r="Z47" s="1081"/>
      <c r="AA47" s="1081"/>
      <c r="AB47" s="1081"/>
      <c r="AC47" s="1081"/>
      <c r="AD47" s="1081"/>
      <c r="AE47" s="1081"/>
      <c r="AF47" s="1081"/>
      <c r="AG47" s="1081"/>
      <c r="AH47" s="1081"/>
      <c r="AI47" s="1081"/>
      <c r="AJ47" s="1081"/>
      <c r="AK47" s="1082"/>
      <c r="AL47" s="1082"/>
      <c r="AM47" s="1082"/>
      <c r="AN47" s="1082"/>
      <c r="AO47" s="1081"/>
      <c r="AP47" s="1081"/>
      <c r="AQ47" s="95">
        <v>1</v>
      </c>
      <c r="AR47" s="95"/>
      <c r="AS47" s="95"/>
      <c r="AT47" s="95"/>
      <c r="AU47" s="95"/>
      <c r="AV47" s="95"/>
      <c r="AW47" s="95"/>
      <c r="AX47" s="95"/>
      <c r="AY47" s="95"/>
      <c r="AZ47" s="95"/>
      <c r="BA47" s="95"/>
      <c r="BB47" s="95"/>
      <c r="BC47" s="95"/>
      <c r="BD47" s="95"/>
      <c r="BE47" s="95">
        <f t="shared" si="0"/>
        <v>1</v>
      </c>
      <c r="BF47" s="96" t="str">
        <f t="shared" si="1"/>
        <v>Y</v>
      </c>
      <c r="BG47" s="97"/>
      <c r="BH47" s="98">
        <v>1</v>
      </c>
      <c r="BI47" s="98"/>
      <c r="BJ47" s="98"/>
      <c r="BK47" s="98"/>
      <c r="BL47" s="111"/>
      <c r="BM47" s="98">
        <f t="shared" si="3"/>
        <v>1</v>
      </c>
      <c r="BN47" s="98" t="str">
        <f t="shared" si="4"/>
        <v>Y</v>
      </c>
      <c r="BO47" s="115"/>
      <c r="BP47" s="100">
        <v>1</v>
      </c>
      <c r="BQ47" s="100"/>
      <c r="BR47" s="100"/>
      <c r="BS47" s="100">
        <f t="shared" si="5"/>
        <v>1</v>
      </c>
      <c r="BT47" s="100" t="str">
        <f t="shared" si="6"/>
        <v>Y</v>
      </c>
      <c r="BU47" s="50"/>
      <c r="BV47" s="101">
        <v>1</v>
      </c>
      <c r="BW47" s="101"/>
      <c r="BX47" s="101"/>
      <c r="BY47" s="101"/>
      <c r="BZ47" s="101"/>
      <c r="CA47" s="101"/>
      <c r="CB47" s="101"/>
      <c r="CC47" s="101"/>
      <c r="CD47" s="101">
        <f t="shared" si="7"/>
        <v>1</v>
      </c>
      <c r="CE47" s="101" t="str">
        <f t="shared" si="8"/>
        <v>Y</v>
      </c>
      <c r="CF47" s="54"/>
      <c r="CG47" s="102">
        <v>1</v>
      </c>
      <c r="CH47" s="102"/>
      <c r="CI47" s="102"/>
      <c r="CJ47" s="102"/>
      <c r="CK47" s="102"/>
      <c r="CL47" s="102"/>
      <c r="CM47" s="102"/>
      <c r="CN47" s="102"/>
      <c r="CO47" s="102"/>
      <c r="CP47" s="102"/>
      <c r="CQ47" s="102"/>
      <c r="CR47" s="102"/>
      <c r="CS47" s="102"/>
      <c r="CT47" s="102"/>
      <c r="CU47" s="102"/>
      <c r="CV47" s="102"/>
      <c r="CW47" s="102"/>
      <c r="CX47" s="102"/>
      <c r="CY47" s="102"/>
      <c r="CZ47" s="102">
        <f t="shared" si="10"/>
        <v>1</v>
      </c>
      <c r="DA47" s="102" t="str">
        <f t="shared" si="11"/>
        <v>Y</v>
      </c>
      <c r="DB47" s="58"/>
      <c r="DC47" s="101">
        <v>1</v>
      </c>
      <c r="DD47" s="101"/>
      <c r="DE47" s="101"/>
      <c r="DF47" s="101"/>
      <c r="DG47" s="101"/>
      <c r="DH47" s="101"/>
      <c r="DI47" s="101"/>
      <c r="DJ47" s="101"/>
      <c r="DK47" s="101"/>
      <c r="DL47" s="101"/>
      <c r="DM47" s="101"/>
      <c r="DN47" s="101"/>
      <c r="DO47" s="101"/>
      <c r="DP47" s="101"/>
      <c r="DQ47" s="101"/>
      <c r="DR47" s="101"/>
      <c r="DS47" s="101"/>
      <c r="DT47" s="101"/>
      <c r="DU47" s="101"/>
      <c r="DV47" s="101">
        <f t="shared" si="12"/>
        <v>1</v>
      </c>
      <c r="DW47" s="101" t="str">
        <f t="shared" si="16"/>
        <v>Y</v>
      </c>
      <c r="DX47" s="103"/>
      <c r="DY47" s="104">
        <v>1</v>
      </c>
      <c r="DZ47" s="104"/>
      <c r="EA47" s="104"/>
      <c r="EB47" s="104"/>
      <c r="EC47" s="104"/>
      <c r="ED47" s="104"/>
      <c r="EE47" s="104"/>
      <c r="EF47" s="104"/>
      <c r="EG47" s="104"/>
      <c r="EH47" s="104"/>
      <c r="EI47" s="104"/>
      <c r="EJ47" s="104"/>
      <c r="EK47" s="104">
        <f t="shared" si="14"/>
        <v>1</v>
      </c>
      <c r="EL47" s="104" t="str">
        <f t="shared" si="15"/>
        <v>Y</v>
      </c>
      <c r="EM47" s="62"/>
      <c r="EN47" s="6"/>
      <c r="EO47" s="6"/>
      <c r="EP47" s="6"/>
      <c r="EQ47" s="6"/>
      <c r="ER47" s="6"/>
    </row>
    <row r="48" spans="1:148" ht="13.5" thickBot="1" x14ac:dyDescent="0.25">
      <c r="A48" s="1189"/>
      <c r="B48" s="1185"/>
      <c r="C48" s="1142"/>
      <c r="D48" s="1136"/>
      <c r="E48" s="1143"/>
      <c r="F48" s="1143"/>
      <c r="G48" s="1078"/>
      <c r="H48" s="1078"/>
      <c r="I48" s="1078"/>
      <c r="J48" s="1080"/>
      <c r="K48" s="1078"/>
      <c r="L48" s="176"/>
      <c r="M48" s="177"/>
      <c r="N48" s="172"/>
      <c r="O48" s="173"/>
      <c r="P48" s="173"/>
      <c r="Q48" s="173"/>
      <c r="R48" s="173"/>
      <c r="S48" s="173"/>
      <c r="T48" s="173"/>
      <c r="U48" s="173"/>
      <c r="V48" s="174"/>
      <c r="W48" s="175"/>
      <c r="X48" s="1100"/>
      <c r="Y48" s="1081"/>
      <c r="Z48" s="1081"/>
      <c r="AA48" s="1081"/>
      <c r="AB48" s="1081"/>
      <c r="AC48" s="1081"/>
      <c r="AD48" s="1081"/>
      <c r="AE48" s="1081"/>
      <c r="AF48" s="1081"/>
      <c r="AG48" s="1081"/>
      <c r="AH48" s="1081"/>
      <c r="AI48" s="1081"/>
      <c r="AJ48" s="1081"/>
      <c r="AK48" s="1082"/>
      <c r="AL48" s="1082"/>
      <c r="AM48" s="1082"/>
      <c r="AN48" s="1082"/>
      <c r="AO48" s="1081"/>
      <c r="AP48" s="1081"/>
      <c r="AQ48" s="95">
        <v>1</v>
      </c>
      <c r="AR48" s="95"/>
      <c r="AS48" s="95"/>
      <c r="AT48" s="95"/>
      <c r="AU48" s="95"/>
      <c r="AV48" s="95"/>
      <c r="AW48" s="95"/>
      <c r="AX48" s="95"/>
      <c r="AY48" s="95"/>
      <c r="AZ48" s="95"/>
      <c r="BA48" s="95"/>
      <c r="BB48" s="95"/>
      <c r="BC48" s="95"/>
      <c r="BD48" s="95"/>
      <c r="BE48" s="95">
        <f t="shared" si="0"/>
        <v>1</v>
      </c>
      <c r="BF48" s="96" t="str">
        <f t="shared" si="1"/>
        <v>Y</v>
      </c>
      <c r="BG48" s="97"/>
      <c r="BH48" s="98">
        <v>1</v>
      </c>
      <c r="BI48" s="98"/>
      <c r="BJ48" s="98"/>
      <c r="BK48" s="98"/>
      <c r="BL48" s="111"/>
      <c r="BM48" s="98">
        <f t="shared" si="3"/>
        <v>1</v>
      </c>
      <c r="BN48" s="98" t="str">
        <f t="shared" si="4"/>
        <v>Y</v>
      </c>
      <c r="BO48" s="108"/>
      <c r="BP48" s="100">
        <v>1</v>
      </c>
      <c r="BQ48" s="100"/>
      <c r="BR48" s="100"/>
      <c r="BS48" s="100">
        <f t="shared" si="5"/>
        <v>1</v>
      </c>
      <c r="BT48" s="100" t="str">
        <f t="shared" si="6"/>
        <v>Y</v>
      </c>
      <c r="BU48" s="50"/>
      <c r="BV48" s="101">
        <v>1</v>
      </c>
      <c r="BW48" s="101"/>
      <c r="BX48" s="101"/>
      <c r="BY48" s="101"/>
      <c r="BZ48" s="101"/>
      <c r="CA48" s="101"/>
      <c r="CB48" s="101"/>
      <c r="CC48" s="101"/>
      <c r="CD48" s="101">
        <f t="shared" si="7"/>
        <v>1</v>
      </c>
      <c r="CE48" s="101" t="str">
        <f t="shared" si="8"/>
        <v>Y</v>
      </c>
      <c r="CF48" s="54"/>
      <c r="CG48" s="102">
        <v>1</v>
      </c>
      <c r="CH48" s="102"/>
      <c r="CI48" s="102"/>
      <c r="CJ48" s="102"/>
      <c r="CK48" s="102"/>
      <c r="CL48" s="102"/>
      <c r="CM48" s="102"/>
      <c r="CN48" s="102"/>
      <c r="CO48" s="102"/>
      <c r="CP48" s="102"/>
      <c r="CQ48" s="102"/>
      <c r="CR48" s="102"/>
      <c r="CS48" s="102"/>
      <c r="CT48" s="102"/>
      <c r="CU48" s="102"/>
      <c r="CV48" s="102"/>
      <c r="CW48" s="102"/>
      <c r="CX48" s="102"/>
      <c r="CY48" s="102"/>
      <c r="CZ48" s="102">
        <f t="shared" si="10"/>
        <v>1</v>
      </c>
      <c r="DA48" s="102" t="str">
        <f t="shared" si="11"/>
        <v>Y</v>
      </c>
      <c r="DB48" s="58"/>
      <c r="DC48" s="101">
        <v>1</v>
      </c>
      <c r="DD48" s="101"/>
      <c r="DE48" s="101"/>
      <c r="DF48" s="101"/>
      <c r="DG48" s="101"/>
      <c r="DH48" s="101"/>
      <c r="DI48" s="101"/>
      <c r="DJ48" s="101"/>
      <c r="DK48" s="101"/>
      <c r="DL48" s="101"/>
      <c r="DM48" s="101"/>
      <c r="DN48" s="101"/>
      <c r="DO48" s="101"/>
      <c r="DP48" s="101"/>
      <c r="DQ48" s="101"/>
      <c r="DR48" s="101"/>
      <c r="DS48" s="101"/>
      <c r="DT48" s="101"/>
      <c r="DU48" s="101"/>
      <c r="DV48" s="101">
        <f t="shared" si="12"/>
        <v>1</v>
      </c>
      <c r="DW48" s="101" t="str">
        <f t="shared" si="16"/>
        <v>Y</v>
      </c>
      <c r="DX48" s="103"/>
      <c r="DY48" s="104">
        <v>1</v>
      </c>
      <c r="DZ48" s="104"/>
      <c r="EA48" s="104"/>
      <c r="EB48" s="104"/>
      <c r="EC48" s="104"/>
      <c r="ED48" s="104"/>
      <c r="EE48" s="104"/>
      <c r="EF48" s="104"/>
      <c r="EG48" s="104"/>
      <c r="EH48" s="104"/>
      <c r="EI48" s="104"/>
      <c r="EJ48" s="104"/>
      <c r="EK48" s="104">
        <f t="shared" si="14"/>
        <v>1</v>
      </c>
      <c r="EL48" s="104" t="str">
        <f t="shared" si="15"/>
        <v>Y</v>
      </c>
      <c r="EM48" s="62"/>
      <c r="EN48" s="6"/>
      <c r="EO48" s="6"/>
      <c r="EP48" s="6"/>
      <c r="EQ48" s="6"/>
      <c r="ER48" s="6"/>
    </row>
    <row r="49" spans="1:162" x14ac:dyDescent="0.2">
      <c r="A49" s="1189"/>
      <c r="B49" s="1183" t="s">
        <v>260</v>
      </c>
      <c r="C49" s="1140" t="s">
        <v>259</v>
      </c>
      <c r="D49" s="1133"/>
      <c r="E49" s="1085"/>
      <c r="F49" s="1085"/>
      <c r="G49" s="1076" t="s">
        <v>296</v>
      </c>
      <c r="H49" s="1076" t="s">
        <v>282</v>
      </c>
      <c r="I49" s="1076"/>
      <c r="J49" s="1079">
        <f>Y49+AA49+AC49+AE49+AG49+AI49+AK49+AM49+AO49</f>
        <v>1</v>
      </c>
      <c r="K49" s="1076"/>
      <c r="L49" s="176"/>
      <c r="M49" s="177"/>
      <c r="N49" s="172"/>
      <c r="O49" s="173"/>
      <c r="P49" s="173"/>
      <c r="Q49" s="173"/>
      <c r="R49" s="173"/>
      <c r="S49" s="173"/>
      <c r="T49" s="173"/>
      <c r="U49" s="173"/>
      <c r="V49" s="174"/>
      <c r="W49" s="175"/>
      <c r="X49" s="1098" t="s">
        <v>407</v>
      </c>
      <c r="Y49" s="1081">
        <f>IF(HC="Y",IF(BF49="Y",Z49,0),0)</f>
        <v>0</v>
      </c>
      <c r="Z49" s="1081">
        <v>1</v>
      </c>
      <c r="AA49" s="1081">
        <f>IF(OFF="Y",IF(BN49="Y",AB49,0),0)</f>
        <v>1</v>
      </c>
      <c r="AB49" s="1081">
        <v>1</v>
      </c>
      <c r="AC49" s="1081">
        <f>IF(COURTS="Y",IF(BT49="Y",AD49,0),0)</f>
        <v>0</v>
      </c>
      <c r="AD49" s="1081">
        <v>1</v>
      </c>
      <c r="AE49" s="1081">
        <f>IF(PRISONS="Y",IF(CE49="Y",AF49,0),0)</f>
        <v>0</v>
      </c>
      <c r="AF49" s="1081">
        <v>0</v>
      </c>
      <c r="AG49" s="1081">
        <f>IF(RET="Y",IF(DA49="Y",AH49,0),0)</f>
        <v>0</v>
      </c>
      <c r="AH49" s="1081">
        <v>1</v>
      </c>
      <c r="AI49" s="1081">
        <f>IF(SCHOOLS="y",IF(DW49="y",AJ49,0),0)</f>
        <v>0</v>
      </c>
      <c r="AJ49" s="1081">
        <v>1</v>
      </c>
      <c r="AK49" s="1082">
        <f>IF(FE="y",IF(DW49="y",AL49,0),0)</f>
        <v>0</v>
      </c>
      <c r="AL49" s="1082">
        <v>1</v>
      </c>
      <c r="AM49" s="1082">
        <f>IF(HE="Y",IF(DW49="Y",AN49,0),0)</f>
        <v>0</v>
      </c>
      <c r="AN49" s="1082">
        <v>1</v>
      </c>
      <c r="AO49" s="1081">
        <f>IF(INDUSTRIAL="Y",IF(EL49="Y",AP49,0),0)</f>
        <v>0</v>
      </c>
      <c r="AP49" s="1081">
        <v>1</v>
      </c>
      <c r="AQ49" s="95">
        <v>1</v>
      </c>
      <c r="AR49" s="95"/>
      <c r="AS49" s="95"/>
      <c r="AT49" s="95"/>
      <c r="AU49" s="95"/>
      <c r="AV49" s="95"/>
      <c r="AW49" s="95"/>
      <c r="AX49" s="95"/>
      <c r="AY49" s="95"/>
      <c r="AZ49" s="95"/>
      <c r="BA49" s="95"/>
      <c r="BB49" s="95"/>
      <c r="BC49" s="95"/>
      <c r="BD49" s="95"/>
      <c r="BE49" s="95">
        <f t="shared" si="0"/>
        <v>1</v>
      </c>
      <c r="BF49" s="96" t="str">
        <f t="shared" si="1"/>
        <v>Y</v>
      </c>
      <c r="BG49" s="97"/>
      <c r="BH49" s="98">
        <v>1</v>
      </c>
      <c r="BI49" s="98"/>
      <c r="BJ49" s="98"/>
      <c r="BK49" s="98"/>
      <c r="BL49" s="111"/>
      <c r="BM49" s="98">
        <f t="shared" si="3"/>
        <v>1</v>
      </c>
      <c r="BN49" s="98" t="str">
        <f t="shared" si="4"/>
        <v>Y</v>
      </c>
      <c r="BO49" s="108"/>
      <c r="BP49" s="100">
        <v>1</v>
      </c>
      <c r="BQ49" s="100"/>
      <c r="BR49" s="100"/>
      <c r="BS49" s="100">
        <f t="shared" si="5"/>
        <v>1</v>
      </c>
      <c r="BT49" s="100" t="str">
        <f t="shared" si="6"/>
        <v>Y</v>
      </c>
      <c r="BU49" s="50"/>
      <c r="BV49" s="101">
        <v>0</v>
      </c>
      <c r="BW49" s="101"/>
      <c r="BX49" s="101"/>
      <c r="BY49" s="101"/>
      <c r="BZ49" s="101"/>
      <c r="CA49" s="101"/>
      <c r="CB49" s="101"/>
      <c r="CC49" s="101"/>
      <c r="CD49" s="101">
        <f t="shared" si="7"/>
        <v>0</v>
      </c>
      <c r="CE49" s="101" t="str">
        <f t="shared" si="8"/>
        <v>N</v>
      </c>
      <c r="CF49" s="54"/>
      <c r="CG49" s="102">
        <v>1</v>
      </c>
      <c r="CH49" s="102"/>
      <c r="CI49" s="102"/>
      <c r="CJ49" s="102"/>
      <c r="CK49" s="102"/>
      <c r="CL49" s="102"/>
      <c r="CM49" s="102"/>
      <c r="CN49" s="102"/>
      <c r="CO49" s="102"/>
      <c r="CP49" s="102"/>
      <c r="CQ49" s="102"/>
      <c r="CR49" s="102"/>
      <c r="CS49" s="102"/>
      <c r="CT49" s="102"/>
      <c r="CU49" s="102"/>
      <c r="CV49" s="102"/>
      <c r="CW49" s="102"/>
      <c r="CX49" s="102"/>
      <c r="CY49" s="102"/>
      <c r="CZ49" s="102">
        <f t="shared" si="10"/>
        <v>1</v>
      </c>
      <c r="DA49" s="102" t="str">
        <f t="shared" si="11"/>
        <v>Y</v>
      </c>
      <c r="DB49" s="58"/>
      <c r="DC49" s="101">
        <v>1</v>
      </c>
      <c r="DD49" s="101"/>
      <c r="DE49" s="101"/>
      <c r="DF49" s="101"/>
      <c r="DG49" s="101"/>
      <c r="DH49" s="101"/>
      <c r="DI49" s="101"/>
      <c r="DJ49" s="101"/>
      <c r="DK49" s="101"/>
      <c r="DL49" s="101"/>
      <c r="DM49" s="101"/>
      <c r="DN49" s="101"/>
      <c r="DO49" s="101"/>
      <c r="DP49" s="101"/>
      <c r="DQ49" s="101"/>
      <c r="DR49" s="101"/>
      <c r="DS49" s="101"/>
      <c r="DT49" s="101"/>
      <c r="DU49" s="101"/>
      <c r="DV49" s="101">
        <f t="shared" si="12"/>
        <v>1</v>
      </c>
      <c r="DW49" s="101" t="str">
        <f t="shared" si="16"/>
        <v>Y</v>
      </c>
      <c r="DX49" s="103"/>
      <c r="DY49" s="104">
        <v>1</v>
      </c>
      <c r="DZ49" s="104"/>
      <c r="EA49" s="104"/>
      <c r="EB49" s="104"/>
      <c r="EC49" s="104"/>
      <c r="ED49" s="104"/>
      <c r="EE49" s="104"/>
      <c r="EF49" s="104"/>
      <c r="EG49" s="104"/>
      <c r="EH49" s="104"/>
      <c r="EI49" s="104"/>
      <c r="EJ49" s="104"/>
      <c r="EK49" s="104">
        <f t="shared" si="14"/>
        <v>1</v>
      </c>
      <c r="EL49" s="104" t="str">
        <f t="shared" si="15"/>
        <v>Y</v>
      </c>
      <c r="EM49" s="62"/>
      <c r="EN49" s="6"/>
      <c r="EO49" s="6"/>
      <c r="EP49" s="6"/>
      <c r="EQ49" s="6"/>
      <c r="ER49" s="6"/>
    </row>
    <row r="50" spans="1:162" x14ac:dyDescent="0.2">
      <c r="A50" s="1189"/>
      <c r="B50" s="1184"/>
      <c r="C50" s="1141"/>
      <c r="D50" s="1134"/>
      <c r="E50" s="1086"/>
      <c r="F50" s="1086"/>
      <c r="G50" s="1077"/>
      <c r="H50" s="1077"/>
      <c r="I50" s="1077"/>
      <c r="J50" s="1079"/>
      <c r="K50" s="1077"/>
      <c r="L50" s="176"/>
      <c r="M50" s="177"/>
      <c r="N50" s="172"/>
      <c r="O50" s="173"/>
      <c r="P50" s="173"/>
      <c r="Q50" s="173"/>
      <c r="R50" s="173"/>
      <c r="S50" s="173"/>
      <c r="T50" s="173"/>
      <c r="U50" s="173"/>
      <c r="V50" s="174"/>
      <c r="W50" s="175"/>
      <c r="X50" s="1099"/>
      <c r="Y50" s="1081"/>
      <c r="Z50" s="1081"/>
      <c r="AA50" s="1081"/>
      <c r="AB50" s="1081"/>
      <c r="AC50" s="1081"/>
      <c r="AD50" s="1081"/>
      <c r="AE50" s="1081"/>
      <c r="AF50" s="1081"/>
      <c r="AG50" s="1081"/>
      <c r="AH50" s="1081"/>
      <c r="AI50" s="1081"/>
      <c r="AJ50" s="1081"/>
      <c r="AK50" s="1082"/>
      <c r="AL50" s="1082"/>
      <c r="AM50" s="1082"/>
      <c r="AN50" s="1082"/>
      <c r="AO50" s="1081"/>
      <c r="AP50" s="1081"/>
      <c r="AQ50" s="95">
        <v>1</v>
      </c>
      <c r="AR50" s="95"/>
      <c r="AS50" s="95"/>
      <c r="AT50" s="95"/>
      <c r="AU50" s="95"/>
      <c r="AV50" s="95"/>
      <c r="AW50" s="95"/>
      <c r="AX50" s="95"/>
      <c r="AY50" s="95"/>
      <c r="AZ50" s="95"/>
      <c r="BA50" s="95"/>
      <c r="BB50" s="95"/>
      <c r="BC50" s="95"/>
      <c r="BD50" s="95"/>
      <c r="BE50" s="95">
        <f t="shared" si="0"/>
        <v>1</v>
      </c>
      <c r="BF50" s="96" t="str">
        <f t="shared" si="1"/>
        <v>Y</v>
      </c>
      <c r="BG50" s="97"/>
      <c r="BH50" s="98">
        <v>1</v>
      </c>
      <c r="BI50" s="98"/>
      <c r="BJ50" s="98"/>
      <c r="BK50" s="98"/>
      <c r="BL50" s="111"/>
      <c r="BM50" s="98">
        <f t="shared" si="3"/>
        <v>1</v>
      </c>
      <c r="BN50" s="98" t="str">
        <f t="shared" si="4"/>
        <v>Y</v>
      </c>
      <c r="BO50" s="108"/>
      <c r="BP50" s="100">
        <v>1</v>
      </c>
      <c r="BQ50" s="100"/>
      <c r="BR50" s="100"/>
      <c r="BS50" s="100">
        <f t="shared" si="5"/>
        <v>1</v>
      </c>
      <c r="BT50" s="100" t="str">
        <f t="shared" si="6"/>
        <v>Y</v>
      </c>
      <c r="BU50" s="50"/>
      <c r="BV50" s="101">
        <v>0</v>
      </c>
      <c r="BW50" s="101"/>
      <c r="BX50" s="101"/>
      <c r="BY50" s="101"/>
      <c r="BZ50" s="101"/>
      <c r="CA50" s="101"/>
      <c r="CB50" s="101"/>
      <c r="CC50" s="101"/>
      <c r="CD50" s="101">
        <f t="shared" si="7"/>
        <v>0</v>
      </c>
      <c r="CE50" s="101" t="str">
        <f t="shared" si="8"/>
        <v>N</v>
      </c>
      <c r="CF50" s="54"/>
      <c r="CG50" s="102">
        <v>1</v>
      </c>
      <c r="CH50" s="102"/>
      <c r="CI50" s="102"/>
      <c r="CJ50" s="102"/>
      <c r="CK50" s="102"/>
      <c r="CL50" s="102"/>
      <c r="CM50" s="102"/>
      <c r="CN50" s="102"/>
      <c r="CO50" s="102"/>
      <c r="CP50" s="102"/>
      <c r="CQ50" s="102"/>
      <c r="CR50" s="102"/>
      <c r="CS50" s="102"/>
      <c r="CT50" s="102"/>
      <c r="CU50" s="102"/>
      <c r="CV50" s="102"/>
      <c r="CW50" s="102"/>
      <c r="CX50" s="102"/>
      <c r="CY50" s="102"/>
      <c r="CZ50" s="102">
        <f t="shared" si="10"/>
        <v>1</v>
      </c>
      <c r="DA50" s="102" t="str">
        <f t="shared" si="11"/>
        <v>Y</v>
      </c>
      <c r="DB50" s="58"/>
      <c r="DC50" s="101">
        <v>1</v>
      </c>
      <c r="DD50" s="101"/>
      <c r="DE50" s="101"/>
      <c r="DF50" s="101"/>
      <c r="DG50" s="101"/>
      <c r="DH50" s="101"/>
      <c r="DI50" s="101"/>
      <c r="DJ50" s="101"/>
      <c r="DK50" s="101"/>
      <c r="DL50" s="101"/>
      <c r="DM50" s="101"/>
      <c r="DN50" s="101"/>
      <c r="DO50" s="101"/>
      <c r="DP50" s="101"/>
      <c r="DQ50" s="101"/>
      <c r="DR50" s="101"/>
      <c r="DS50" s="101"/>
      <c r="DT50" s="101"/>
      <c r="DU50" s="101"/>
      <c r="DV50" s="101">
        <f t="shared" si="12"/>
        <v>1</v>
      </c>
      <c r="DW50" s="101" t="str">
        <f t="shared" si="16"/>
        <v>Y</v>
      </c>
      <c r="DX50" s="103"/>
      <c r="DY50" s="104">
        <v>1</v>
      </c>
      <c r="DZ50" s="104"/>
      <c r="EA50" s="104"/>
      <c r="EB50" s="104"/>
      <c r="EC50" s="104"/>
      <c r="ED50" s="104"/>
      <c r="EE50" s="104"/>
      <c r="EF50" s="104"/>
      <c r="EG50" s="104"/>
      <c r="EH50" s="104"/>
      <c r="EI50" s="104"/>
      <c r="EJ50" s="104"/>
      <c r="EK50" s="104">
        <f t="shared" si="14"/>
        <v>1</v>
      </c>
      <c r="EL50" s="104" t="str">
        <f t="shared" si="15"/>
        <v>Y</v>
      </c>
      <c r="EM50" s="62"/>
      <c r="EN50" s="6"/>
      <c r="EO50" s="6"/>
      <c r="EP50" s="6"/>
      <c r="EQ50" s="6"/>
      <c r="ER50" s="6"/>
    </row>
    <row r="51" spans="1:162" ht="13.5" thickBot="1" x14ac:dyDescent="0.25">
      <c r="A51" s="1189"/>
      <c r="B51" s="1185"/>
      <c r="C51" s="1142"/>
      <c r="D51" s="1136"/>
      <c r="E51" s="1143"/>
      <c r="F51" s="1143"/>
      <c r="G51" s="1078"/>
      <c r="H51" s="1078"/>
      <c r="I51" s="1078"/>
      <c r="J51" s="1080"/>
      <c r="K51" s="1078"/>
      <c r="L51" s="176"/>
      <c r="M51" s="177"/>
      <c r="N51" s="172"/>
      <c r="O51" s="173"/>
      <c r="P51" s="173"/>
      <c r="Q51" s="173"/>
      <c r="R51" s="173"/>
      <c r="S51" s="173"/>
      <c r="T51" s="173"/>
      <c r="U51" s="173"/>
      <c r="V51" s="174"/>
      <c r="W51" s="175"/>
      <c r="X51" s="1100"/>
      <c r="Y51" s="1081"/>
      <c r="Z51" s="1081"/>
      <c r="AA51" s="1081"/>
      <c r="AB51" s="1081"/>
      <c r="AC51" s="1081"/>
      <c r="AD51" s="1081"/>
      <c r="AE51" s="1081"/>
      <c r="AF51" s="1081"/>
      <c r="AG51" s="1081"/>
      <c r="AH51" s="1081"/>
      <c r="AI51" s="1081"/>
      <c r="AJ51" s="1081"/>
      <c r="AK51" s="1082"/>
      <c r="AL51" s="1082"/>
      <c r="AM51" s="1082"/>
      <c r="AN51" s="1082"/>
      <c r="AO51" s="1081"/>
      <c r="AP51" s="1081"/>
      <c r="AQ51" s="95">
        <v>1</v>
      </c>
      <c r="AR51" s="95"/>
      <c r="AS51" s="95"/>
      <c r="AT51" s="95"/>
      <c r="AU51" s="95"/>
      <c r="AV51" s="95"/>
      <c r="AW51" s="95"/>
      <c r="AX51" s="95"/>
      <c r="AY51" s="95"/>
      <c r="AZ51" s="95"/>
      <c r="BA51" s="95"/>
      <c r="BB51" s="95"/>
      <c r="BC51" s="95"/>
      <c r="BD51" s="95"/>
      <c r="BE51" s="95">
        <f t="shared" si="0"/>
        <v>1</v>
      </c>
      <c r="BF51" s="96" t="str">
        <f t="shared" si="1"/>
        <v>Y</v>
      </c>
      <c r="BG51" s="97"/>
      <c r="BH51" s="98">
        <v>1</v>
      </c>
      <c r="BI51" s="98"/>
      <c r="BJ51" s="98"/>
      <c r="BK51" s="98"/>
      <c r="BL51" s="111"/>
      <c r="BM51" s="98">
        <f t="shared" si="3"/>
        <v>1</v>
      </c>
      <c r="BN51" s="98" t="str">
        <f t="shared" si="4"/>
        <v>Y</v>
      </c>
      <c r="BO51" s="108"/>
      <c r="BP51" s="100">
        <v>1</v>
      </c>
      <c r="BQ51" s="100"/>
      <c r="BR51" s="100"/>
      <c r="BS51" s="100">
        <f t="shared" si="5"/>
        <v>1</v>
      </c>
      <c r="BT51" s="100" t="str">
        <f t="shared" si="6"/>
        <v>Y</v>
      </c>
      <c r="BU51" s="50"/>
      <c r="BV51" s="101">
        <v>0</v>
      </c>
      <c r="BW51" s="101"/>
      <c r="BX51" s="101"/>
      <c r="BY51" s="101"/>
      <c r="BZ51" s="101"/>
      <c r="CA51" s="101"/>
      <c r="CB51" s="101"/>
      <c r="CC51" s="101"/>
      <c r="CD51" s="101">
        <f t="shared" si="7"/>
        <v>0</v>
      </c>
      <c r="CE51" s="101" t="str">
        <f t="shared" si="8"/>
        <v>N</v>
      </c>
      <c r="CF51" s="54"/>
      <c r="CG51" s="102">
        <v>1</v>
      </c>
      <c r="CH51" s="102"/>
      <c r="CI51" s="102"/>
      <c r="CJ51" s="102"/>
      <c r="CK51" s="102"/>
      <c r="CL51" s="102"/>
      <c r="CM51" s="102"/>
      <c r="CN51" s="102"/>
      <c r="CO51" s="102"/>
      <c r="CP51" s="102"/>
      <c r="CQ51" s="102"/>
      <c r="CR51" s="102"/>
      <c r="CS51" s="102"/>
      <c r="CT51" s="102"/>
      <c r="CU51" s="102"/>
      <c r="CV51" s="102"/>
      <c r="CW51" s="102"/>
      <c r="CX51" s="102"/>
      <c r="CY51" s="102"/>
      <c r="CZ51" s="102">
        <f t="shared" si="10"/>
        <v>1</v>
      </c>
      <c r="DA51" s="102" t="str">
        <f t="shared" si="11"/>
        <v>Y</v>
      </c>
      <c r="DB51" s="58"/>
      <c r="DC51" s="101">
        <v>1</v>
      </c>
      <c r="DD51" s="101"/>
      <c r="DE51" s="101"/>
      <c r="DF51" s="101"/>
      <c r="DG51" s="101"/>
      <c r="DH51" s="101"/>
      <c r="DI51" s="101"/>
      <c r="DJ51" s="101"/>
      <c r="DK51" s="101"/>
      <c r="DL51" s="101"/>
      <c r="DM51" s="101"/>
      <c r="DN51" s="101"/>
      <c r="DO51" s="101"/>
      <c r="DP51" s="101"/>
      <c r="DQ51" s="101"/>
      <c r="DR51" s="101"/>
      <c r="DS51" s="101"/>
      <c r="DT51" s="101"/>
      <c r="DU51" s="101"/>
      <c r="DV51" s="101">
        <f t="shared" si="12"/>
        <v>1</v>
      </c>
      <c r="DW51" s="101" t="str">
        <f t="shared" si="16"/>
        <v>Y</v>
      </c>
      <c r="DX51" s="103"/>
      <c r="DY51" s="104">
        <v>1</v>
      </c>
      <c r="DZ51" s="104"/>
      <c r="EA51" s="104"/>
      <c r="EB51" s="104"/>
      <c r="EC51" s="104"/>
      <c r="ED51" s="104"/>
      <c r="EE51" s="104"/>
      <c r="EF51" s="104"/>
      <c r="EG51" s="104"/>
      <c r="EH51" s="104"/>
      <c r="EI51" s="104"/>
      <c r="EJ51" s="104"/>
      <c r="EK51" s="104">
        <f t="shared" si="14"/>
        <v>1</v>
      </c>
      <c r="EL51" s="104" t="str">
        <f t="shared" si="15"/>
        <v>Y</v>
      </c>
      <c r="EM51" s="62"/>
      <c r="EN51" s="6"/>
      <c r="EO51" s="6"/>
      <c r="EP51" s="6"/>
      <c r="EQ51" s="6"/>
      <c r="ER51" s="6"/>
    </row>
    <row r="52" spans="1:162" x14ac:dyDescent="0.2">
      <c r="A52" s="1189"/>
      <c r="B52" s="1138" t="s">
        <v>258</v>
      </c>
      <c r="C52" s="1140" t="s">
        <v>257</v>
      </c>
      <c r="D52" s="1133"/>
      <c r="E52" s="1085"/>
      <c r="F52" s="1144"/>
      <c r="G52" s="1076" t="s">
        <v>296</v>
      </c>
      <c r="H52" s="1076" t="s">
        <v>285</v>
      </c>
      <c r="I52" s="1076"/>
      <c r="J52" s="1079">
        <f>Y52+AA52+AC52+AE52+AG52+AI52+AK52+AM52+AO52</f>
        <v>1</v>
      </c>
      <c r="K52" s="1076"/>
      <c r="L52" s="180"/>
      <c r="M52" s="177"/>
      <c r="N52" s="172"/>
      <c r="O52" s="173"/>
      <c r="P52" s="173"/>
      <c r="Q52" s="173"/>
      <c r="R52" s="173"/>
      <c r="S52" s="173"/>
      <c r="T52" s="173"/>
      <c r="U52" s="173"/>
      <c r="V52" s="174"/>
      <c r="W52" s="175"/>
      <c r="X52" s="1098" t="s">
        <v>408</v>
      </c>
      <c r="Y52" s="1081">
        <f>IF(HC="Y",IF(BF52="Y",Z52,0),0)</f>
        <v>0</v>
      </c>
      <c r="Z52" s="1081">
        <v>1</v>
      </c>
      <c r="AA52" s="1081">
        <f>IF(OFF="Y",IF(BN52="Y",AB52,0),0)</f>
        <v>1</v>
      </c>
      <c r="AB52" s="1081">
        <v>1</v>
      </c>
      <c r="AC52" s="1081">
        <f>IF(COURTS="Y",IF(BT52="Y",AD52,0),0)</f>
        <v>0</v>
      </c>
      <c r="AD52" s="1081">
        <v>1</v>
      </c>
      <c r="AE52" s="1081">
        <f>IF(PRISONS="Y",IF(CE52="Y",AF52,0),0)</f>
        <v>0</v>
      </c>
      <c r="AF52" s="1081">
        <v>1</v>
      </c>
      <c r="AG52" s="1081">
        <f>IF(RET="Y",IF(DA52="Y",AH52,0),0)</f>
        <v>0</v>
      </c>
      <c r="AH52" s="1081">
        <v>1</v>
      </c>
      <c r="AI52" s="1081">
        <f>IF(SCHOOLS="y",IF(DW52="y",AJ52,0),0)</f>
        <v>0</v>
      </c>
      <c r="AJ52" s="1081">
        <v>1</v>
      </c>
      <c r="AK52" s="1082">
        <f>IF(FE="y",IF(DW52="y",AL52,0),0)</f>
        <v>0</v>
      </c>
      <c r="AL52" s="1082">
        <v>1</v>
      </c>
      <c r="AM52" s="1082">
        <f>IF(HE="Y",IF(DW52="Y",AN52,0),0)</f>
        <v>0</v>
      </c>
      <c r="AN52" s="1082">
        <v>1</v>
      </c>
      <c r="AO52" s="1081">
        <f>IF(INDUSTRIAL="Y",IF(EL52="Y",AP52,0),0)</f>
        <v>0</v>
      </c>
      <c r="AP52" s="1081">
        <v>1</v>
      </c>
      <c r="AQ52" s="95">
        <v>1</v>
      </c>
      <c r="AR52" s="95"/>
      <c r="AS52" s="95"/>
      <c r="AT52" s="95"/>
      <c r="AU52" s="95"/>
      <c r="AV52" s="95"/>
      <c r="AW52" s="95"/>
      <c r="AX52" s="95"/>
      <c r="AY52" s="95"/>
      <c r="AZ52" s="95"/>
      <c r="BA52" s="95"/>
      <c r="BB52" s="95"/>
      <c r="BC52" s="95"/>
      <c r="BD52" s="95"/>
      <c r="BE52" s="95">
        <f t="shared" si="0"/>
        <v>1</v>
      </c>
      <c r="BF52" s="96" t="str">
        <f t="shared" si="1"/>
        <v>Y</v>
      </c>
      <c r="BG52" s="97"/>
      <c r="BH52" s="98">
        <v>1</v>
      </c>
      <c r="BI52" s="98"/>
      <c r="BJ52" s="98"/>
      <c r="BK52" s="98"/>
      <c r="BL52" s="111"/>
      <c r="BM52" s="98">
        <f t="shared" si="3"/>
        <v>1</v>
      </c>
      <c r="BN52" s="98" t="str">
        <f t="shared" si="4"/>
        <v>Y</v>
      </c>
      <c r="BO52" s="108"/>
      <c r="BP52" s="100">
        <v>1</v>
      </c>
      <c r="BQ52" s="100"/>
      <c r="BR52" s="100"/>
      <c r="BS52" s="100">
        <f t="shared" si="5"/>
        <v>1</v>
      </c>
      <c r="BT52" s="100" t="str">
        <f t="shared" si="6"/>
        <v>Y</v>
      </c>
      <c r="BU52" s="50"/>
      <c r="BV52" s="101">
        <v>1</v>
      </c>
      <c r="BW52" s="101"/>
      <c r="BX52" s="101"/>
      <c r="BY52" s="101"/>
      <c r="BZ52" s="101"/>
      <c r="CA52" s="101"/>
      <c r="CB52" s="101"/>
      <c r="CC52" s="101"/>
      <c r="CD52" s="101">
        <f t="shared" si="7"/>
        <v>1</v>
      </c>
      <c r="CE52" s="101" t="str">
        <f t="shared" si="8"/>
        <v>Y</v>
      </c>
      <c r="CF52" s="54"/>
      <c r="CG52" s="102">
        <v>1</v>
      </c>
      <c r="CH52" s="102"/>
      <c r="CI52" s="102"/>
      <c r="CJ52" s="102"/>
      <c r="CK52" s="102"/>
      <c r="CL52" s="102"/>
      <c r="CM52" s="102"/>
      <c r="CN52" s="102"/>
      <c r="CO52" s="102"/>
      <c r="CP52" s="102"/>
      <c r="CQ52" s="102"/>
      <c r="CR52" s="102"/>
      <c r="CS52" s="102"/>
      <c r="CT52" s="102"/>
      <c r="CU52" s="102"/>
      <c r="CV52" s="102"/>
      <c r="CW52" s="102"/>
      <c r="CX52" s="102"/>
      <c r="CY52" s="102"/>
      <c r="CZ52" s="102">
        <f t="shared" si="10"/>
        <v>1</v>
      </c>
      <c r="DA52" s="102" t="str">
        <f t="shared" si="11"/>
        <v>Y</v>
      </c>
      <c r="DB52" s="58"/>
      <c r="DC52" s="101">
        <v>1</v>
      </c>
      <c r="DD52" s="101"/>
      <c r="DE52" s="101"/>
      <c r="DF52" s="101"/>
      <c r="DG52" s="101"/>
      <c r="DH52" s="101"/>
      <c r="DI52" s="101"/>
      <c r="DJ52" s="101"/>
      <c r="DK52" s="101"/>
      <c r="DL52" s="101"/>
      <c r="DM52" s="101"/>
      <c r="DN52" s="101"/>
      <c r="DO52" s="101"/>
      <c r="DP52" s="101"/>
      <c r="DQ52" s="101"/>
      <c r="DR52" s="101"/>
      <c r="DS52" s="101"/>
      <c r="DT52" s="101"/>
      <c r="DU52" s="101"/>
      <c r="DV52" s="101">
        <f t="shared" si="12"/>
        <v>1</v>
      </c>
      <c r="DW52" s="101" t="str">
        <f t="shared" si="16"/>
        <v>Y</v>
      </c>
      <c r="DX52" s="103"/>
      <c r="DY52" s="104">
        <v>1</v>
      </c>
      <c r="DZ52" s="104"/>
      <c r="EA52" s="104"/>
      <c r="EB52" s="104"/>
      <c r="EC52" s="104"/>
      <c r="ED52" s="104"/>
      <c r="EE52" s="104"/>
      <c r="EF52" s="104"/>
      <c r="EG52" s="104"/>
      <c r="EH52" s="104"/>
      <c r="EI52" s="104"/>
      <c r="EJ52" s="104"/>
      <c r="EK52" s="104">
        <f t="shared" si="14"/>
        <v>1</v>
      </c>
      <c r="EL52" s="104" t="str">
        <f t="shared" si="15"/>
        <v>Y</v>
      </c>
      <c r="EM52" s="62"/>
      <c r="EN52" s="6"/>
      <c r="EO52" s="6"/>
      <c r="EP52" s="6"/>
      <c r="EQ52" s="6"/>
      <c r="ER52" s="6"/>
    </row>
    <row r="53" spans="1:162" x14ac:dyDescent="0.2">
      <c r="A53" s="1189"/>
      <c r="B53" s="1139"/>
      <c r="C53" s="1141"/>
      <c r="D53" s="1134"/>
      <c r="E53" s="1086"/>
      <c r="F53" s="1079"/>
      <c r="G53" s="1077"/>
      <c r="H53" s="1077"/>
      <c r="I53" s="1077"/>
      <c r="J53" s="1079"/>
      <c r="K53" s="1077"/>
      <c r="L53" s="176"/>
      <c r="M53" s="177"/>
      <c r="N53" s="172"/>
      <c r="O53" s="173"/>
      <c r="P53" s="173"/>
      <c r="Q53" s="173"/>
      <c r="R53" s="173"/>
      <c r="S53" s="173"/>
      <c r="T53" s="173"/>
      <c r="U53" s="173"/>
      <c r="V53" s="174"/>
      <c r="W53" s="175"/>
      <c r="X53" s="1099"/>
      <c r="Y53" s="1081"/>
      <c r="Z53" s="1081"/>
      <c r="AA53" s="1081"/>
      <c r="AB53" s="1081"/>
      <c r="AC53" s="1081"/>
      <c r="AD53" s="1081"/>
      <c r="AE53" s="1081"/>
      <c r="AF53" s="1081"/>
      <c r="AG53" s="1081"/>
      <c r="AH53" s="1081"/>
      <c r="AI53" s="1081"/>
      <c r="AJ53" s="1081"/>
      <c r="AK53" s="1082"/>
      <c r="AL53" s="1082"/>
      <c r="AM53" s="1082"/>
      <c r="AN53" s="1082"/>
      <c r="AO53" s="1081"/>
      <c r="AP53" s="1081"/>
      <c r="AQ53" s="95">
        <v>1</v>
      </c>
      <c r="AR53" s="95"/>
      <c r="AS53" s="95"/>
      <c r="AT53" s="95"/>
      <c r="AU53" s="95"/>
      <c r="AV53" s="95"/>
      <c r="AW53" s="95"/>
      <c r="AX53" s="95"/>
      <c r="AY53" s="95"/>
      <c r="AZ53" s="95"/>
      <c r="BA53" s="95"/>
      <c r="BB53" s="95"/>
      <c r="BC53" s="95"/>
      <c r="BD53" s="95"/>
      <c r="BE53" s="95">
        <f t="shared" si="0"/>
        <v>1</v>
      </c>
      <c r="BF53" s="96" t="str">
        <f t="shared" si="1"/>
        <v>Y</v>
      </c>
      <c r="BG53" s="97"/>
      <c r="BH53" s="98">
        <v>1</v>
      </c>
      <c r="BI53" s="98"/>
      <c r="BJ53" s="98"/>
      <c r="BK53" s="98"/>
      <c r="BL53" s="111"/>
      <c r="BM53" s="98">
        <f t="shared" si="3"/>
        <v>1</v>
      </c>
      <c r="BN53" s="98" t="str">
        <f t="shared" si="4"/>
        <v>Y</v>
      </c>
      <c r="BO53" s="108"/>
      <c r="BP53" s="100">
        <v>1</v>
      </c>
      <c r="BQ53" s="100"/>
      <c r="BR53" s="100"/>
      <c r="BS53" s="100">
        <f t="shared" si="5"/>
        <v>1</v>
      </c>
      <c r="BT53" s="100" t="str">
        <f t="shared" si="6"/>
        <v>Y</v>
      </c>
      <c r="BU53" s="50"/>
      <c r="BV53" s="101">
        <v>1</v>
      </c>
      <c r="BW53" s="101"/>
      <c r="BX53" s="101"/>
      <c r="BY53" s="101"/>
      <c r="BZ53" s="101"/>
      <c r="CA53" s="101"/>
      <c r="CB53" s="101"/>
      <c r="CC53" s="101"/>
      <c r="CD53" s="101">
        <f t="shared" si="7"/>
        <v>1</v>
      </c>
      <c r="CE53" s="101" t="str">
        <f t="shared" si="8"/>
        <v>Y</v>
      </c>
      <c r="CF53" s="54"/>
      <c r="CG53" s="102">
        <v>1</v>
      </c>
      <c r="CH53" s="102"/>
      <c r="CI53" s="102"/>
      <c r="CJ53" s="102"/>
      <c r="CK53" s="102"/>
      <c r="CL53" s="102"/>
      <c r="CM53" s="102"/>
      <c r="CN53" s="102"/>
      <c r="CO53" s="102"/>
      <c r="CP53" s="102"/>
      <c r="CQ53" s="102"/>
      <c r="CR53" s="102"/>
      <c r="CS53" s="102"/>
      <c r="CT53" s="102"/>
      <c r="CU53" s="102"/>
      <c r="CV53" s="102"/>
      <c r="CW53" s="102"/>
      <c r="CX53" s="102"/>
      <c r="CY53" s="102"/>
      <c r="CZ53" s="102">
        <f t="shared" si="10"/>
        <v>1</v>
      </c>
      <c r="DA53" s="102" t="str">
        <f t="shared" si="11"/>
        <v>Y</v>
      </c>
      <c r="DB53" s="58"/>
      <c r="DC53" s="101">
        <v>1</v>
      </c>
      <c r="DD53" s="101"/>
      <c r="DE53" s="101"/>
      <c r="DF53" s="101"/>
      <c r="DG53" s="101"/>
      <c r="DH53" s="101"/>
      <c r="DI53" s="101"/>
      <c r="DJ53" s="101"/>
      <c r="DK53" s="101"/>
      <c r="DL53" s="101"/>
      <c r="DM53" s="101"/>
      <c r="DN53" s="101"/>
      <c r="DO53" s="101"/>
      <c r="DP53" s="101"/>
      <c r="DQ53" s="101"/>
      <c r="DR53" s="101"/>
      <c r="DS53" s="101"/>
      <c r="DT53" s="101"/>
      <c r="DU53" s="101"/>
      <c r="DV53" s="101">
        <f t="shared" si="12"/>
        <v>1</v>
      </c>
      <c r="DW53" s="101" t="str">
        <f t="shared" si="16"/>
        <v>Y</v>
      </c>
      <c r="DX53" s="103"/>
      <c r="DY53" s="104">
        <v>1</v>
      </c>
      <c r="DZ53" s="104"/>
      <c r="EA53" s="104"/>
      <c r="EB53" s="104"/>
      <c r="EC53" s="104"/>
      <c r="ED53" s="104"/>
      <c r="EE53" s="104"/>
      <c r="EF53" s="104"/>
      <c r="EG53" s="104"/>
      <c r="EH53" s="104"/>
      <c r="EI53" s="104"/>
      <c r="EJ53" s="104"/>
      <c r="EK53" s="104">
        <f t="shared" si="14"/>
        <v>1</v>
      </c>
      <c r="EL53" s="104" t="str">
        <f t="shared" si="15"/>
        <v>Y</v>
      </c>
      <c r="EM53" s="62"/>
      <c r="EN53" s="6"/>
      <c r="EO53" s="6"/>
      <c r="EP53" s="6"/>
      <c r="EQ53" s="6"/>
      <c r="ER53" s="6"/>
    </row>
    <row r="54" spans="1:162" ht="13.5" thickBot="1" x14ac:dyDescent="0.25">
      <c r="A54" s="1189"/>
      <c r="B54" s="1145"/>
      <c r="C54" s="1142"/>
      <c r="D54" s="1136"/>
      <c r="E54" s="1143"/>
      <c r="F54" s="1080"/>
      <c r="G54" s="1078"/>
      <c r="H54" s="1078"/>
      <c r="I54" s="1078"/>
      <c r="J54" s="1080"/>
      <c r="K54" s="1078"/>
      <c r="L54" s="181"/>
      <c r="M54" s="177"/>
      <c r="N54" s="172"/>
      <c r="O54" s="173"/>
      <c r="P54" s="173"/>
      <c r="Q54" s="182"/>
      <c r="R54" s="173"/>
      <c r="S54" s="173"/>
      <c r="T54" s="173"/>
      <c r="U54" s="173"/>
      <c r="V54" s="174"/>
      <c r="W54" s="175"/>
      <c r="X54" s="1100"/>
      <c r="Y54" s="1081"/>
      <c r="Z54" s="1081"/>
      <c r="AA54" s="1081"/>
      <c r="AB54" s="1081"/>
      <c r="AC54" s="1081"/>
      <c r="AD54" s="1081"/>
      <c r="AE54" s="1081"/>
      <c r="AF54" s="1081"/>
      <c r="AG54" s="1081"/>
      <c r="AH54" s="1081"/>
      <c r="AI54" s="1081"/>
      <c r="AJ54" s="1081"/>
      <c r="AK54" s="1082"/>
      <c r="AL54" s="1082"/>
      <c r="AM54" s="1082"/>
      <c r="AN54" s="1082"/>
      <c r="AO54" s="1081"/>
      <c r="AP54" s="1081"/>
      <c r="AQ54" s="95">
        <v>1</v>
      </c>
      <c r="AR54" s="95"/>
      <c r="AS54" s="95"/>
      <c r="AT54" s="95"/>
      <c r="AU54" s="95"/>
      <c r="AV54" s="95"/>
      <c r="AW54" s="95"/>
      <c r="AX54" s="95"/>
      <c r="AY54" s="95"/>
      <c r="AZ54" s="95"/>
      <c r="BA54" s="95"/>
      <c r="BB54" s="95"/>
      <c r="BC54" s="95"/>
      <c r="BD54" s="95"/>
      <c r="BE54" s="95">
        <f t="shared" si="0"/>
        <v>1</v>
      </c>
      <c r="BF54" s="96" t="str">
        <f t="shared" si="1"/>
        <v>Y</v>
      </c>
      <c r="BG54" s="97"/>
      <c r="BH54" s="98">
        <v>1</v>
      </c>
      <c r="BI54" s="98"/>
      <c r="BJ54" s="98"/>
      <c r="BK54" s="98"/>
      <c r="BL54" s="111"/>
      <c r="BM54" s="98">
        <f t="shared" si="3"/>
        <v>1</v>
      </c>
      <c r="BN54" s="98" t="str">
        <f t="shared" si="4"/>
        <v>Y</v>
      </c>
      <c r="BO54" s="108"/>
      <c r="BP54" s="100">
        <v>1</v>
      </c>
      <c r="BQ54" s="100"/>
      <c r="BR54" s="100"/>
      <c r="BS54" s="100">
        <f t="shared" si="5"/>
        <v>1</v>
      </c>
      <c r="BT54" s="100" t="str">
        <f t="shared" si="6"/>
        <v>Y</v>
      </c>
      <c r="BU54" s="50"/>
      <c r="BV54" s="101">
        <v>1</v>
      </c>
      <c r="BW54" s="101"/>
      <c r="BX54" s="101"/>
      <c r="BY54" s="101"/>
      <c r="BZ54" s="101"/>
      <c r="CA54" s="101"/>
      <c r="CB54" s="101"/>
      <c r="CC54" s="101"/>
      <c r="CD54" s="101">
        <f t="shared" si="7"/>
        <v>1</v>
      </c>
      <c r="CE54" s="101" t="str">
        <f t="shared" si="8"/>
        <v>Y</v>
      </c>
      <c r="CF54" s="54"/>
      <c r="CG54" s="102">
        <v>1</v>
      </c>
      <c r="CH54" s="102"/>
      <c r="CI54" s="102"/>
      <c r="CJ54" s="102"/>
      <c r="CK54" s="102"/>
      <c r="CL54" s="102"/>
      <c r="CM54" s="102"/>
      <c r="CN54" s="102"/>
      <c r="CO54" s="102"/>
      <c r="CP54" s="102"/>
      <c r="CQ54" s="102"/>
      <c r="CR54" s="102"/>
      <c r="CS54" s="102"/>
      <c r="CT54" s="102"/>
      <c r="CU54" s="102"/>
      <c r="CV54" s="102"/>
      <c r="CW54" s="102"/>
      <c r="CX54" s="102"/>
      <c r="CY54" s="102"/>
      <c r="CZ54" s="102">
        <f t="shared" si="10"/>
        <v>1</v>
      </c>
      <c r="DA54" s="102" t="str">
        <f t="shared" si="11"/>
        <v>Y</v>
      </c>
      <c r="DB54" s="58"/>
      <c r="DC54" s="101">
        <v>1</v>
      </c>
      <c r="DD54" s="101"/>
      <c r="DE54" s="101"/>
      <c r="DF54" s="101"/>
      <c r="DG54" s="101"/>
      <c r="DH54" s="101"/>
      <c r="DI54" s="101"/>
      <c r="DJ54" s="101"/>
      <c r="DK54" s="101"/>
      <c r="DL54" s="101"/>
      <c r="DM54" s="101"/>
      <c r="DN54" s="101"/>
      <c r="DO54" s="101"/>
      <c r="DP54" s="101"/>
      <c r="DQ54" s="101"/>
      <c r="DR54" s="101"/>
      <c r="DS54" s="101"/>
      <c r="DT54" s="101"/>
      <c r="DU54" s="101"/>
      <c r="DV54" s="101">
        <f t="shared" si="12"/>
        <v>1</v>
      </c>
      <c r="DW54" s="101" t="str">
        <f t="shared" si="16"/>
        <v>Y</v>
      </c>
      <c r="DX54" s="103"/>
      <c r="DY54" s="104">
        <v>1</v>
      </c>
      <c r="DZ54" s="104"/>
      <c r="EA54" s="104"/>
      <c r="EB54" s="104"/>
      <c r="EC54" s="104"/>
      <c r="ED54" s="104"/>
      <c r="EE54" s="104"/>
      <c r="EF54" s="104"/>
      <c r="EG54" s="104"/>
      <c r="EH54" s="104"/>
      <c r="EI54" s="104"/>
      <c r="EJ54" s="104"/>
      <c r="EK54" s="104">
        <f t="shared" si="14"/>
        <v>1</v>
      </c>
      <c r="EL54" s="104" t="str">
        <f t="shared" si="15"/>
        <v>Y</v>
      </c>
      <c r="EM54" s="62"/>
      <c r="EN54" s="6"/>
      <c r="EO54" s="6"/>
      <c r="EP54" s="6"/>
      <c r="EQ54" s="6"/>
      <c r="ER54" s="6"/>
    </row>
    <row r="55" spans="1:162" ht="12" customHeight="1" x14ac:dyDescent="0.2">
      <c r="A55" s="1147" t="s">
        <v>256</v>
      </c>
      <c r="B55" s="1149" t="s">
        <v>255</v>
      </c>
      <c r="C55" s="1152" t="s">
        <v>254</v>
      </c>
      <c r="D55" s="140"/>
      <c r="E55" s="1085"/>
      <c r="F55" s="1144"/>
      <c r="G55" s="1076" t="s">
        <v>268</v>
      </c>
      <c r="H55" s="1076" t="s">
        <v>343</v>
      </c>
      <c r="I55" s="1076"/>
      <c r="J55" s="1079">
        <f>Y55+AA55+AC55+AE55+AG55+AI55+AK55+AM55+AO55</f>
        <v>2</v>
      </c>
      <c r="K55" s="1076"/>
      <c r="L55" s="180"/>
      <c r="M55" s="177"/>
      <c r="N55" s="172"/>
      <c r="O55" s="173"/>
      <c r="P55" s="173"/>
      <c r="Q55" s="182"/>
      <c r="R55" s="173"/>
      <c r="S55" s="173"/>
      <c r="T55" s="173"/>
      <c r="U55" s="173"/>
      <c r="V55" s="174"/>
      <c r="W55" s="175"/>
      <c r="X55" s="1098" t="s">
        <v>409</v>
      </c>
      <c r="Y55" s="1081">
        <f>IF(HC="Y",IF(BF55="Y",Z55,0),0)</f>
        <v>0</v>
      </c>
      <c r="Z55" s="1081">
        <v>2</v>
      </c>
      <c r="AA55" s="1081">
        <f>IF(OFF="Y",IF(BN55="Y",AB55,0),0)</f>
        <v>2</v>
      </c>
      <c r="AB55" s="1081">
        <v>2</v>
      </c>
      <c r="AC55" s="1081">
        <f>IF(COURTS="Y",IF(BT55="Y",AD55,0),0)</f>
        <v>0</v>
      </c>
      <c r="AD55" s="1081">
        <v>2</v>
      </c>
      <c r="AE55" s="1081">
        <f>IF(PRISONS="Y",IF(CE55="Y",AF55,0),0)</f>
        <v>0</v>
      </c>
      <c r="AF55" s="1081">
        <v>2</v>
      </c>
      <c r="AG55" s="1081">
        <f>IF(RET="Y",IF(DA55="Y",AH55,0),0)</f>
        <v>0</v>
      </c>
      <c r="AH55" s="1081">
        <v>2</v>
      </c>
      <c r="AI55" s="1081">
        <f>IF(SCHOOLS="y",IF(DW55="y",AJ55,0),0)</f>
        <v>0</v>
      </c>
      <c r="AJ55" s="1081">
        <v>2</v>
      </c>
      <c r="AK55" s="1082">
        <f>IF(FE="y",IF(DW55="y",AL55,0),0)</f>
        <v>0</v>
      </c>
      <c r="AL55" s="1082">
        <v>2</v>
      </c>
      <c r="AM55" s="1082">
        <f>IF(HE="Y",IF(DW55="Y",AN55,0),0)</f>
        <v>0</v>
      </c>
      <c r="AN55" s="1082">
        <v>2</v>
      </c>
      <c r="AO55" s="1081">
        <f>IF(INDUSTRIAL="Y",IF(EL55="Y",AP55,0),0)</f>
        <v>0</v>
      </c>
      <c r="AP55" s="1081">
        <v>2</v>
      </c>
      <c r="AQ55" s="95">
        <v>1</v>
      </c>
      <c r="AR55" s="95"/>
      <c r="AS55" s="95"/>
      <c r="AT55" s="95"/>
      <c r="AU55" s="95"/>
      <c r="AV55" s="95"/>
      <c r="AW55" s="95"/>
      <c r="AX55" s="95"/>
      <c r="AY55" s="95"/>
      <c r="AZ55" s="95"/>
      <c r="BA55" s="95"/>
      <c r="BB55" s="95"/>
      <c r="BC55" s="95"/>
      <c r="BD55" s="95"/>
      <c r="BE55" s="95">
        <f t="shared" si="0"/>
        <v>1</v>
      </c>
      <c r="BF55" s="96" t="str">
        <f t="shared" si="1"/>
        <v>Y</v>
      </c>
      <c r="BG55" s="97"/>
      <c r="BH55" s="98">
        <v>1</v>
      </c>
      <c r="BI55" s="98"/>
      <c r="BJ55" s="98"/>
      <c r="BK55" s="98"/>
      <c r="BL55" s="111"/>
      <c r="BM55" s="98">
        <f t="shared" si="3"/>
        <v>1</v>
      </c>
      <c r="BN55" s="98" t="str">
        <f t="shared" si="4"/>
        <v>Y</v>
      </c>
      <c r="BO55" s="108"/>
      <c r="BP55" s="100">
        <v>1</v>
      </c>
      <c r="BQ55" s="100"/>
      <c r="BR55" s="100"/>
      <c r="BS55" s="100">
        <f t="shared" si="5"/>
        <v>1</v>
      </c>
      <c r="BT55" s="100" t="str">
        <f t="shared" si="6"/>
        <v>Y</v>
      </c>
      <c r="BU55" s="50"/>
      <c r="BV55" s="101">
        <v>1</v>
      </c>
      <c r="BW55" s="101"/>
      <c r="BX55" s="101"/>
      <c r="BY55" s="101"/>
      <c r="BZ55" s="101"/>
      <c r="CA55" s="101"/>
      <c r="CB55" s="101"/>
      <c r="CC55" s="101"/>
      <c r="CD55" s="101">
        <f t="shared" si="7"/>
        <v>1</v>
      </c>
      <c r="CE55" s="101" t="str">
        <f t="shared" si="8"/>
        <v>Y</v>
      </c>
      <c r="CF55" s="54"/>
      <c r="CG55" s="102">
        <v>1</v>
      </c>
      <c r="CH55" s="102"/>
      <c r="CI55" s="102"/>
      <c r="CJ55" s="102"/>
      <c r="CK55" s="102"/>
      <c r="CL55" s="102"/>
      <c r="CM55" s="102"/>
      <c r="CN55" s="102"/>
      <c r="CO55" s="102"/>
      <c r="CP55" s="102"/>
      <c r="CQ55" s="102"/>
      <c r="CR55" s="102"/>
      <c r="CS55" s="102"/>
      <c r="CT55" s="102"/>
      <c r="CU55" s="102"/>
      <c r="CV55" s="102"/>
      <c r="CW55" s="102"/>
      <c r="CX55" s="102"/>
      <c r="CY55" s="102"/>
      <c r="CZ55" s="102">
        <f t="shared" si="10"/>
        <v>1</v>
      </c>
      <c r="DA55" s="102" t="str">
        <f t="shared" si="11"/>
        <v>Y</v>
      </c>
      <c r="DB55" s="58"/>
      <c r="DC55" s="101">
        <v>1</v>
      </c>
      <c r="DD55" s="101"/>
      <c r="DE55" s="101"/>
      <c r="DF55" s="101"/>
      <c r="DG55" s="101"/>
      <c r="DH55" s="101"/>
      <c r="DI55" s="101"/>
      <c r="DJ55" s="101"/>
      <c r="DK55" s="101"/>
      <c r="DL55" s="101"/>
      <c r="DM55" s="101"/>
      <c r="DN55" s="101"/>
      <c r="DO55" s="101"/>
      <c r="DP55" s="101"/>
      <c r="DQ55" s="101"/>
      <c r="DR55" s="101"/>
      <c r="DS55" s="101"/>
      <c r="DT55" s="101"/>
      <c r="DU55" s="101"/>
      <c r="DV55" s="101">
        <f t="shared" si="12"/>
        <v>1</v>
      </c>
      <c r="DW55" s="101" t="str">
        <f t="shared" ref="DW55:DW63" si="17">IF(DV55&gt;=0.1,"Y","N")</f>
        <v>Y</v>
      </c>
      <c r="DX55" s="103"/>
      <c r="DY55" s="104">
        <v>1</v>
      </c>
      <c r="DZ55" s="104"/>
      <c r="EA55" s="104"/>
      <c r="EB55" s="104"/>
      <c r="EC55" s="104"/>
      <c r="ED55" s="104"/>
      <c r="EE55" s="104"/>
      <c r="EF55" s="104"/>
      <c r="EG55" s="104"/>
      <c r="EH55" s="104"/>
      <c r="EI55" s="104"/>
      <c r="EJ55" s="104"/>
      <c r="EK55" s="104">
        <f t="shared" si="14"/>
        <v>1</v>
      </c>
      <c r="EL55" s="104" t="str">
        <f t="shared" si="15"/>
        <v>Y</v>
      </c>
      <c r="EM55" s="62"/>
      <c r="EN55" s="6"/>
      <c r="EO55" s="6"/>
      <c r="EP55" s="6"/>
      <c r="EQ55" s="6"/>
      <c r="ER55" s="6"/>
    </row>
    <row r="56" spans="1:162" ht="12" customHeight="1" x14ac:dyDescent="0.2">
      <c r="A56" s="1147"/>
      <c r="B56" s="1150"/>
      <c r="C56" s="1153"/>
      <c r="D56" s="141"/>
      <c r="E56" s="1086"/>
      <c r="F56" s="1079"/>
      <c r="G56" s="1077"/>
      <c r="H56" s="1077"/>
      <c r="I56" s="1077"/>
      <c r="J56" s="1079"/>
      <c r="K56" s="1077"/>
      <c r="L56" s="181"/>
      <c r="M56" s="177"/>
      <c r="N56" s="172"/>
      <c r="O56" s="173"/>
      <c r="P56" s="173"/>
      <c r="Q56" s="182"/>
      <c r="R56" s="173"/>
      <c r="S56" s="173"/>
      <c r="T56" s="173"/>
      <c r="U56" s="173"/>
      <c r="V56" s="174"/>
      <c r="W56" s="175"/>
      <c r="X56" s="1099"/>
      <c r="Y56" s="1081"/>
      <c r="Z56" s="1081"/>
      <c r="AA56" s="1081"/>
      <c r="AB56" s="1081"/>
      <c r="AC56" s="1081"/>
      <c r="AD56" s="1081"/>
      <c r="AE56" s="1081"/>
      <c r="AF56" s="1081"/>
      <c r="AG56" s="1081"/>
      <c r="AH56" s="1081"/>
      <c r="AI56" s="1081"/>
      <c r="AJ56" s="1081"/>
      <c r="AK56" s="1082"/>
      <c r="AL56" s="1082"/>
      <c r="AM56" s="1082"/>
      <c r="AN56" s="1082"/>
      <c r="AO56" s="1081"/>
      <c r="AP56" s="1081"/>
      <c r="AQ56" s="95">
        <v>1</v>
      </c>
      <c r="AR56" s="95"/>
      <c r="AS56" s="95"/>
      <c r="AT56" s="95"/>
      <c r="AU56" s="95"/>
      <c r="AV56" s="95"/>
      <c r="AW56" s="95"/>
      <c r="AX56" s="95"/>
      <c r="AY56" s="95"/>
      <c r="AZ56" s="95"/>
      <c r="BA56" s="95"/>
      <c r="BB56" s="95"/>
      <c r="BC56" s="95"/>
      <c r="BD56" s="95"/>
      <c r="BE56" s="95">
        <f t="shared" si="0"/>
        <v>1</v>
      </c>
      <c r="BF56" s="96" t="str">
        <f t="shared" si="1"/>
        <v>Y</v>
      </c>
      <c r="BG56" s="97"/>
      <c r="BH56" s="98">
        <v>1</v>
      </c>
      <c r="BI56" s="98"/>
      <c r="BJ56" s="98"/>
      <c r="BK56" s="98"/>
      <c r="BL56" s="111"/>
      <c r="BM56" s="98">
        <f t="shared" si="3"/>
        <v>1</v>
      </c>
      <c r="BN56" s="98" t="str">
        <f t="shared" si="4"/>
        <v>Y</v>
      </c>
      <c r="BO56" s="115"/>
      <c r="BP56" s="100">
        <v>1</v>
      </c>
      <c r="BQ56" s="100"/>
      <c r="BR56" s="100"/>
      <c r="BS56" s="100">
        <f t="shared" si="5"/>
        <v>1</v>
      </c>
      <c r="BT56" s="100" t="str">
        <f t="shared" si="6"/>
        <v>Y</v>
      </c>
      <c r="BU56" s="50"/>
      <c r="BV56" s="101">
        <v>1</v>
      </c>
      <c r="BW56" s="101"/>
      <c r="BX56" s="101"/>
      <c r="BY56" s="101"/>
      <c r="BZ56" s="101"/>
      <c r="CA56" s="101"/>
      <c r="CB56" s="101"/>
      <c r="CC56" s="101"/>
      <c r="CD56" s="101">
        <f t="shared" si="7"/>
        <v>1</v>
      </c>
      <c r="CE56" s="101" t="str">
        <f t="shared" si="8"/>
        <v>Y</v>
      </c>
      <c r="CF56" s="54"/>
      <c r="CG56" s="102">
        <v>1</v>
      </c>
      <c r="CH56" s="102"/>
      <c r="CI56" s="102"/>
      <c r="CJ56" s="102"/>
      <c r="CK56" s="102"/>
      <c r="CL56" s="102"/>
      <c r="CM56" s="102"/>
      <c r="CN56" s="102"/>
      <c r="CO56" s="102"/>
      <c r="CP56" s="102"/>
      <c r="CQ56" s="102"/>
      <c r="CR56" s="102"/>
      <c r="CS56" s="102"/>
      <c r="CT56" s="102"/>
      <c r="CU56" s="102"/>
      <c r="CV56" s="102"/>
      <c r="CW56" s="102"/>
      <c r="CX56" s="102"/>
      <c r="CY56" s="102"/>
      <c r="CZ56" s="102">
        <f t="shared" si="10"/>
        <v>1</v>
      </c>
      <c r="DA56" s="102" t="str">
        <f t="shared" si="11"/>
        <v>Y</v>
      </c>
      <c r="DB56" s="58"/>
      <c r="DC56" s="101">
        <v>1</v>
      </c>
      <c r="DD56" s="101"/>
      <c r="DE56" s="101"/>
      <c r="DF56" s="101"/>
      <c r="DG56" s="101"/>
      <c r="DH56" s="101"/>
      <c r="DI56" s="101"/>
      <c r="DJ56" s="101"/>
      <c r="DK56" s="101"/>
      <c r="DL56" s="101"/>
      <c r="DM56" s="101"/>
      <c r="DN56" s="101"/>
      <c r="DO56" s="101"/>
      <c r="DP56" s="101"/>
      <c r="DQ56" s="101"/>
      <c r="DR56" s="101"/>
      <c r="DS56" s="101"/>
      <c r="DT56" s="101"/>
      <c r="DU56" s="101"/>
      <c r="DV56" s="101">
        <f t="shared" si="12"/>
        <v>1</v>
      </c>
      <c r="DW56" s="101" t="str">
        <f t="shared" si="17"/>
        <v>Y</v>
      </c>
      <c r="DX56" s="103"/>
      <c r="DY56" s="104">
        <v>1</v>
      </c>
      <c r="DZ56" s="104"/>
      <c r="EA56" s="104"/>
      <c r="EB56" s="104"/>
      <c r="EC56" s="104"/>
      <c r="ED56" s="104"/>
      <c r="EE56" s="104"/>
      <c r="EF56" s="104"/>
      <c r="EG56" s="104"/>
      <c r="EH56" s="104"/>
      <c r="EI56" s="104"/>
      <c r="EJ56" s="104"/>
      <c r="EK56" s="104">
        <f t="shared" si="14"/>
        <v>1</v>
      </c>
      <c r="EL56" s="104" t="str">
        <f t="shared" si="15"/>
        <v>Y</v>
      </c>
      <c r="EM56" s="62"/>
      <c r="EN56" s="6"/>
      <c r="EO56" s="6"/>
      <c r="EP56" s="6"/>
      <c r="EQ56" s="6"/>
      <c r="ER56" s="6"/>
    </row>
    <row r="57" spans="1:162" ht="12" customHeight="1" thickBot="1" x14ac:dyDescent="0.25">
      <c r="A57" s="1147"/>
      <c r="B57" s="1151"/>
      <c r="C57" s="1154"/>
      <c r="D57" s="142"/>
      <c r="E57" s="1143"/>
      <c r="F57" s="1080"/>
      <c r="G57" s="1078"/>
      <c r="H57" s="1078"/>
      <c r="I57" s="1078"/>
      <c r="J57" s="1080"/>
      <c r="K57" s="1078"/>
      <c r="L57" s="183"/>
      <c r="M57" s="177"/>
      <c r="N57" s="172"/>
      <c r="O57" s="173"/>
      <c r="P57" s="173"/>
      <c r="Q57" s="182"/>
      <c r="R57" s="173"/>
      <c r="S57" s="173"/>
      <c r="T57" s="173"/>
      <c r="U57" s="173"/>
      <c r="V57" s="174"/>
      <c r="W57" s="175"/>
      <c r="X57" s="1100"/>
      <c r="Y57" s="1081"/>
      <c r="Z57" s="1081"/>
      <c r="AA57" s="1081"/>
      <c r="AB57" s="1081"/>
      <c r="AC57" s="1081"/>
      <c r="AD57" s="1081"/>
      <c r="AE57" s="1081"/>
      <c r="AF57" s="1081"/>
      <c r="AG57" s="1081"/>
      <c r="AH57" s="1081"/>
      <c r="AI57" s="1081"/>
      <c r="AJ57" s="1081"/>
      <c r="AK57" s="1082"/>
      <c r="AL57" s="1082"/>
      <c r="AM57" s="1082"/>
      <c r="AN57" s="1082"/>
      <c r="AO57" s="1081"/>
      <c r="AP57" s="1081"/>
      <c r="AQ57" s="95">
        <v>1</v>
      </c>
      <c r="AR57" s="95"/>
      <c r="AS57" s="95"/>
      <c r="AT57" s="95"/>
      <c r="AU57" s="95"/>
      <c r="AV57" s="95"/>
      <c r="AW57" s="95"/>
      <c r="AX57" s="95"/>
      <c r="AY57" s="95"/>
      <c r="AZ57" s="95"/>
      <c r="BA57" s="95"/>
      <c r="BB57" s="95"/>
      <c r="BC57" s="95"/>
      <c r="BD57" s="95"/>
      <c r="BE57" s="95">
        <f t="shared" si="0"/>
        <v>1</v>
      </c>
      <c r="BF57" s="96" t="str">
        <f t="shared" si="1"/>
        <v>Y</v>
      </c>
      <c r="BG57" s="97"/>
      <c r="BH57" s="98">
        <v>1</v>
      </c>
      <c r="BI57" s="98"/>
      <c r="BJ57" s="98"/>
      <c r="BK57" s="98"/>
      <c r="BL57" s="111"/>
      <c r="BM57" s="98">
        <f t="shared" si="3"/>
        <v>1</v>
      </c>
      <c r="BN57" s="98" t="str">
        <f t="shared" si="4"/>
        <v>Y</v>
      </c>
      <c r="BO57" s="108"/>
      <c r="BP57" s="100">
        <v>1</v>
      </c>
      <c r="BQ57" s="100"/>
      <c r="BR57" s="100"/>
      <c r="BS57" s="100">
        <f t="shared" si="5"/>
        <v>1</v>
      </c>
      <c r="BT57" s="100" t="str">
        <f t="shared" si="6"/>
        <v>Y</v>
      </c>
      <c r="BU57" s="50"/>
      <c r="BV57" s="101">
        <v>1</v>
      </c>
      <c r="BW57" s="101"/>
      <c r="BX57" s="101"/>
      <c r="BY57" s="101"/>
      <c r="BZ57" s="101"/>
      <c r="CA57" s="101"/>
      <c r="CB57" s="101"/>
      <c r="CC57" s="101"/>
      <c r="CD57" s="101">
        <f t="shared" si="7"/>
        <v>1</v>
      </c>
      <c r="CE57" s="101" t="str">
        <f t="shared" si="8"/>
        <v>Y</v>
      </c>
      <c r="CF57" s="54"/>
      <c r="CG57" s="102">
        <v>1</v>
      </c>
      <c r="CH57" s="102"/>
      <c r="CI57" s="102"/>
      <c r="CJ57" s="102"/>
      <c r="CK57" s="102"/>
      <c r="CL57" s="102"/>
      <c r="CM57" s="102"/>
      <c r="CN57" s="102"/>
      <c r="CO57" s="102"/>
      <c r="CP57" s="102"/>
      <c r="CQ57" s="102"/>
      <c r="CR57" s="102"/>
      <c r="CS57" s="102"/>
      <c r="CT57" s="102"/>
      <c r="CU57" s="102"/>
      <c r="CV57" s="102"/>
      <c r="CW57" s="102"/>
      <c r="CX57" s="102"/>
      <c r="CY57" s="102"/>
      <c r="CZ57" s="102">
        <f t="shared" si="10"/>
        <v>1</v>
      </c>
      <c r="DA57" s="102" t="str">
        <f t="shared" si="11"/>
        <v>Y</v>
      </c>
      <c r="DB57" s="58"/>
      <c r="DC57" s="101">
        <v>1</v>
      </c>
      <c r="DD57" s="101"/>
      <c r="DE57" s="101"/>
      <c r="DF57" s="101"/>
      <c r="DG57" s="101"/>
      <c r="DH57" s="101"/>
      <c r="DI57" s="101"/>
      <c r="DJ57" s="101"/>
      <c r="DK57" s="101"/>
      <c r="DL57" s="101"/>
      <c r="DM57" s="101"/>
      <c r="DN57" s="101"/>
      <c r="DO57" s="101"/>
      <c r="DP57" s="101"/>
      <c r="DQ57" s="101"/>
      <c r="DR57" s="101"/>
      <c r="DS57" s="101"/>
      <c r="DT57" s="101"/>
      <c r="DU57" s="101"/>
      <c r="DV57" s="101">
        <f t="shared" si="12"/>
        <v>1</v>
      </c>
      <c r="DW57" s="101" t="str">
        <f t="shared" si="17"/>
        <v>Y</v>
      </c>
      <c r="DX57" s="103"/>
      <c r="DY57" s="104">
        <v>1</v>
      </c>
      <c r="DZ57" s="104"/>
      <c r="EA57" s="104"/>
      <c r="EB57" s="104"/>
      <c r="EC57" s="104"/>
      <c r="ED57" s="104"/>
      <c r="EE57" s="104"/>
      <c r="EF57" s="104"/>
      <c r="EG57" s="104"/>
      <c r="EH57" s="104"/>
      <c r="EI57" s="104"/>
      <c r="EJ57" s="104"/>
      <c r="EK57" s="104">
        <f t="shared" si="14"/>
        <v>1</v>
      </c>
      <c r="EL57" s="104" t="str">
        <f t="shared" si="15"/>
        <v>Y</v>
      </c>
      <c r="EM57" s="62"/>
      <c r="EN57" s="6"/>
      <c r="EO57" s="6"/>
      <c r="EP57" s="6"/>
      <c r="EQ57" s="6"/>
      <c r="ER57" s="6"/>
    </row>
    <row r="58" spans="1:162" s="14" customFormat="1" ht="12" customHeight="1" x14ac:dyDescent="0.2">
      <c r="A58" s="1146" t="s">
        <v>253</v>
      </c>
      <c r="B58" s="1139" t="s">
        <v>252</v>
      </c>
      <c r="C58" s="1141" t="s">
        <v>251</v>
      </c>
      <c r="D58" s="1133"/>
      <c r="E58" s="1085"/>
      <c r="F58" s="1085"/>
      <c r="G58" s="1076" t="s">
        <v>272</v>
      </c>
      <c r="H58" s="1076" t="s">
        <v>285</v>
      </c>
      <c r="I58" s="1076"/>
      <c r="J58" s="1079">
        <v>2</v>
      </c>
      <c r="K58" s="1076"/>
      <c r="L58" s="176"/>
      <c r="M58" s="177"/>
      <c r="N58" s="177"/>
      <c r="O58" s="172"/>
      <c r="P58" s="173"/>
      <c r="Q58" s="173"/>
      <c r="R58" s="172"/>
      <c r="S58" s="173"/>
      <c r="T58" s="173"/>
      <c r="U58" s="173"/>
      <c r="V58" s="174"/>
      <c r="W58" s="175"/>
      <c r="X58" s="1098"/>
      <c r="Y58" s="1081">
        <f>IF(HC="Y",IF(BF58="Y",Z58,0),0)</f>
        <v>0</v>
      </c>
      <c r="Z58" s="1081">
        <v>2</v>
      </c>
      <c r="AA58" s="1081">
        <f>IF(OFF="Y",IF(BN58="Y",AB58,0),0)</f>
        <v>0</v>
      </c>
      <c r="AB58" s="1081">
        <v>0</v>
      </c>
      <c r="AC58" s="1081">
        <f>IF(COURTS="Y",IF(BT58="Y",AD58,0),0)</f>
        <v>0</v>
      </c>
      <c r="AD58" s="1081">
        <v>2</v>
      </c>
      <c r="AE58" s="1081">
        <f>IF(PRISONS="Y",IF(CE58="Y",AF58,0),0)</f>
        <v>0</v>
      </c>
      <c r="AF58" s="1081">
        <v>2</v>
      </c>
      <c r="AG58" s="1081">
        <f>IF(RET="Y",IF(DA58="Y",AH58,0),0)</f>
        <v>0</v>
      </c>
      <c r="AH58" s="1081">
        <v>0</v>
      </c>
      <c r="AI58" s="1081">
        <f>IF(SCHOOLS="y",IF(DW58="y",AJ58,0),0)</f>
        <v>0</v>
      </c>
      <c r="AJ58" s="1081">
        <v>2</v>
      </c>
      <c r="AK58" s="1082">
        <f>IF(FE="y",IF(DW58="y",AL58,0),0)</f>
        <v>0</v>
      </c>
      <c r="AL58" s="1082">
        <v>2</v>
      </c>
      <c r="AM58" s="1082">
        <f>IF(HE="Y",IF(DW58="Y",AN58,0),0)</f>
        <v>0</v>
      </c>
      <c r="AN58" s="1082">
        <v>2</v>
      </c>
      <c r="AO58" s="1081">
        <f>IF(INDUSTRIAL="Y",IF(EL58="Y",AP58,0),0)</f>
        <v>0</v>
      </c>
      <c r="AP58" s="1081">
        <v>0</v>
      </c>
      <c r="AQ58" s="95">
        <v>1</v>
      </c>
      <c r="AR58" s="95"/>
      <c r="AS58" s="95"/>
      <c r="AT58" s="95"/>
      <c r="AU58" s="95"/>
      <c r="AV58" s="95"/>
      <c r="AW58" s="95"/>
      <c r="AX58" s="95"/>
      <c r="AY58" s="95"/>
      <c r="AZ58" s="95"/>
      <c r="BA58" s="95"/>
      <c r="BB58" s="95"/>
      <c r="BC58" s="95"/>
      <c r="BD58" s="95"/>
      <c r="BE58" s="95">
        <f t="shared" si="0"/>
        <v>1</v>
      </c>
      <c r="BF58" s="96" t="str">
        <f t="shared" si="1"/>
        <v>Y</v>
      </c>
      <c r="BG58" s="97"/>
      <c r="BH58" s="98">
        <v>0</v>
      </c>
      <c r="BI58" s="98"/>
      <c r="BJ58" s="98"/>
      <c r="BK58" s="98"/>
      <c r="BL58" s="111"/>
      <c r="BM58" s="98">
        <f t="shared" si="3"/>
        <v>0</v>
      </c>
      <c r="BN58" s="98" t="str">
        <f t="shared" si="4"/>
        <v>N</v>
      </c>
      <c r="BO58" s="108"/>
      <c r="BP58" s="100">
        <v>1</v>
      </c>
      <c r="BQ58" s="100"/>
      <c r="BR58" s="100"/>
      <c r="BS58" s="100">
        <f t="shared" si="5"/>
        <v>1</v>
      </c>
      <c r="BT58" s="100" t="str">
        <f t="shared" si="6"/>
        <v>Y</v>
      </c>
      <c r="BU58" s="50"/>
      <c r="BV58" s="101">
        <v>1</v>
      </c>
      <c r="BW58" s="101"/>
      <c r="BX58" s="101"/>
      <c r="BY58" s="101"/>
      <c r="BZ58" s="101"/>
      <c r="CA58" s="101"/>
      <c r="CB58" s="101"/>
      <c r="CC58" s="101"/>
      <c r="CD58" s="101">
        <f t="shared" si="7"/>
        <v>1</v>
      </c>
      <c r="CE58" s="101" t="str">
        <f t="shared" si="8"/>
        <v>Y</v>
      </c>
      <c r="CF58" s="54"/>
      <c r="CG58" s="102"/>
      <c r="CH58" s="102"/>
      <c r="CI58" s="102"/>
      <c r="CJ58" s="102"/>
      <c r="CK58" s="102"/>
      <c r="CL58" s="102"/>
      <c r="CM58" s="102"/>
      <c r="CN58" s="102"/>
      <c r="CO58" s="102"/>
      <c r="CP58" s="102"/>
      <c r="CQ58" s="102"/>
      <c r="CR58" s="102"/>
      <c r="CS58" s="102"/>
      <c r="CT58" s="102"/>
      <c r="CU58" s="102"/>
      <c r="CV58" s="102"/>
      <c r="CW58" s="102"/>
      <c r="CX58" s="102"/>
      <c r="CY58" s="102"/>
      <c r="CZ58" s="102">
        <f t="shared" si="10"/>
        <v>0</v>
      </c>
      <c r="DA58" s="102" t="str">
        <f t="shared" si="11"/>
        <v>N</v>
      </c>
      <c r="DB58" s="58"/>
      <c r="DC58" s="101">
        <v>1</v>
      </c>
      <c r="DD58" s="101"/>
      <c r="DE58" s="101"/>
      <c r="DF58" s="101"/>
      <c r="DG58" s="101"/>
      <c r="DH58" s="101"/>
      <c r="DI58" s="101"/>
      <c r="DJ58" s="101"/>
      <c r="DK58" s="101"/>
      <c r="DL58" s="101"/>
      <c r="DM58" s="101"/>
      <c r="DN58" s="101"/>
      <c r="DO58" s="101"/>
      <c r="DP58" s="101"/>
      <c r="DQ58" s="101"/>
      <c r="DR58" s="101"/>
      <c r="DS58" s="101"/>
      <c r="DT58" s="101"/>
      <c r="DU58" s="101"/>
      <c r="DV58" s="101">
        <f t="shared" si="12"/>
        <v>1</v>
      </c>
      <c r="DW58" s="101" t="str">
        <f t="shared" si="17"/>
        <v>Y</v>
      </c>
      <c r="DX58" s="103"/>
      <c r="DY58" s="104"/>
      <c r="DZ58" s="104"/>
      <c r="EA58" s="104"/>
      <c r="EB58" s="104"/>
      <c r="EC58" s="104"/>
      <c r="ED58" s="104"/>
      <c r="EE58" s="104"/>
      <c r="EF58" s="104"/>
      <c r="EG58" s="104"/>
      <c r="EH58" s="104"/>
      <c r="EI58" s="104"/>
      <c r="EJ58" s="104"/>
      <c r="EK58" s="104">
        <f t="shared" si="14"/>
        <v>0</v>
      </c>
      <c r="EL58" s="104" t="str">
        <f t="shared" si="15"/>
        <v>N</v>
      </c>
      <c r="EM58" s="62"/>
      <c r="EN58" s="6"/>
      <c r="EO58" s="6"/>
      <c r="EP58" s="6"/>
      <c r="EQ58" s="6"/>
      <c r="ER58" s="6"/>
      <c r="ES58" s="6"/>
      <c r="ET58" s="6"/>
      <c r="EU58" s="6"/>
      <c r="EV58" s="6"/>
      <c r="EW58" s="6"/>
      <c r="EX58" s="6"/>
      <c r="EY58" s="6"/>
      <c r="EZ58" s="6"/>
      <c r="FA58" s="6"/>
      <c r="FB58" s="6"/>
      <c r="FC58" s="6"/>
      <c r="FD58" s="6"/>
      <c r="FE58" s="6"/>
      <c r="FF58" s="6"/>
    </row>
    <row r="59" spans="1:162" s="14" customFormat="1" ht="12" customHeight="1" x14ac:dyDescent="0.2">
      <c r="A59" s="1147"/>
      <c r="B59" s="1139"/>
      <c r="C59" s="1141"/>
      <c r="D59" s="1134"/>
      <c r="E59" s="1086"/>
      <c r="F59" s="1086"/>
      <c r="G59" s="1077"/>
      <c r="H59" s="1077"/>
      <c r="I59" s="1077"/>
      <c r="J59" s="1079"/>
      <c r="K59" s="1077"/>
      <c r="L59" s="181"/>
      <c r="M59" s="177"/>
      <c r="N59" s="184"/>
      <c r="O59" s="172"/>
      <c r="P59" s="173"/>
      <c r="Q59" s="173"/>
      <c r="R59" s="185"/>
      <c r="S59" s="173"/>
      <c r="T59" s="173"/>
      <c r="U59" s="173"/>
      <c r="V59" s="174"/>
      <c r="W59" s="175"/>
      <c r="X59" s="1099"/>
      <c r="Y59" s="1081"/>
      <c r="Z59" s="1081"/>
      <c r="AA59" s="1081"/>
      <c r="AB59" s="1081"/>
      <c r="AC59" s="1081"/>
      <c r="AD59" s="1081"/>
      <c r="AE59" s="1081"/>
      <c r="AF59" s="1081"/>
      <c r="AG59" s="1081"/>
      <c r="AH59" s="1081"/>
      <c r="AI59" s="1081"/>
      <c r="AJ59" s="1081"/>
      <c r="AK59" s="1082"/>
      <c r="AL59" s="1082"/>
      <c r="AM59" s="1082"/>
      <c r="AN59" s="1082"/>
      <c r="AO59" s="1081"/>
      <c r="AP59" s="1081"/>
      <c r="AQ59" s="95">
        <v>1</v>
      </c>
      <c r="AR59" s="95"/>
      <c r="AS59" s="95"/>
      <c r="AT59" s="95"/>
      <c r="AU59" s="95"/>
      <c r="AV59" s="95"/>
      <c r="AW59" s="95"/>
      <c r="AX59" s="95"/>
      <c r="AY59" s="95"/>
      <c r="AZ59" s="95"/>
      <c r="BA59" s="95"/>
      <c r="BB59" s="95"/>
      <c r="BC59" s="95"/>
      <c r="BD59" s="95"/>
      <c r="BE59" s="95">
        <f t="shared" si="0"/>
        <v>1</v>
      </c>
      <c r="BF59" s="96" t="str">
        <f t="shared" si="1"/>
        <v>Y</v>
      </c>
      <c r="BG59" s="97"/>
      <c r="BH59" s="98">
        <v>0</v>
      </c>
      <c r="BI59" s="98"/>
      <c r="BJ59" s="98"/>
      <c r="BK59" s="98"/>
      <c r="BL59" s="111"/>
      <c r="BM59" s="98">
        <f t="shared" si="3"/>
        <v>0</v>
      </c>
      <c r="BN59" s="98" t="str">
        <f t="shared" si="4"/>
        <v>N</v>
      </c>
      <c r="BO59" s="108"/>
      <c r="BP59" s="100">
        <v>1</v>
      </c>
      <c r="BQ59" s="100"/>
      <c r="BR59" s="100"/>
      <c r="BS59" s="100">
        <f t="shared" si="5"/>
        <v>1</v>
      </c>
      <c r="BT59" s="100" t="str">
        <f t="shared" si="6"/>
        <v>Y</v>
      </c>
      <c r="BU59" s="50"/>
      <c r="BV59" s="101">
        <v>1</v>
      </c>
      <c r="BW59" s="101"/>
      <c r="BX59" s="101"/>
      <c r="BY59" s="101"/>
      <c r="BZ59" s="101"/>
      <c r="CA59" s="101"/>
      <c r="CB59" s="101"/>
      <c r="CC59" s="101"/>
      <c r="CD59" s="101">
        <f t="shared" si="7"/>
        <v>1</v>
      </c>
      <c r="CE59" s="101" t="str">
        <f t="shared" si="8"/>
        <v>Y</v>
      </c>
      <c r="CF59" s="54"/>
      <c r="CG59" s="102"/>
      <c r="CH59" s="102"/>
      <c r="CI59" s="102"/>
      <c r="CJ59" s="102"/>
      <c r="CK59" s="102"/>
      <c r="CL59" s="102"/>
      <c r="CM59" s="102"/>
      <c r="CN59" s="102"/>
      <c r="CO59" s="102"/>
      <c r="CP59" s="102"/>
      <c r="CQ59" s="102"/>
      <c r="CR59" s="102"/>
      <c r="CS59" s="102"/>
      <c r="CT59" s="102"/>
      <c r="CU59" s="102"/>
      <c r="CV59" s="102"/>
      <c r="CW59" s="102"/>
      <c r="CX59" s="102"/>
      <c r="CY59" s="102"/>
      <c r="CZ59" s="102">
        <f t="shared" si="10"/>
        <v>0</v>
      </c>
      <c r="DA59" s="102" t="str">
        <f t="shared" si="11"/>
        <v>N</v>
      </c>
      <c r="DB59" s="58"/>
      <c r="DC59" s="101">
        <v>1</v>
      </c>
      <c r="DD59" s="101"/>
      <c r="DE59" s="101"/>
      <c r="DF59" s="101"/>
      <c r="DG59" s="101"/>
      <c r="DH59" s="101"/>
      <c r="DI59" s="101"/>
      <c r="DJ59" s="101"/>
      <c r="DK59" s="101"/>
      <c r="DL59" s="101"/>
      <c r="DM59" s="101"/>
      <c r="DN59" s="101"/>
      <c r="DO59" s="101"/>
      <c r="DP59" s="101"/>
      <c r="DQ59" s="101"/>
      <c r="DR59" s="101"/>
      <c r="DS59" s="101"/>
      <c r="DT59" s="101"/>
      <c r="DU59" s="101"/>
      <c r="DV59" s="101">
        <f t="shared" si="12"/>
        <v>1</v>
      </c>
      <c r="DW59" s="101" t="str">
        <f t="shared" si="17"/>
        <v>Y</v>
      </c>
      <c r="DX59" s="103"/>
      <c r="DY59" s="104"/>
      <c r="DZ59" s="104"/>
      <c r="EA59" s="104"/>
      <c r="EB59" s="104"/>
      <c r="EC59" s="104"/>
      <c r="ED59" s="104"/>
      <c r="EE59" s="104"/>
      <c r="EF59" s="104"/>
      <c r="EG59" s="104"/>
      <c r="EH59" s="104"/>
      <c r="EI59" s="104"/>
      <c r="EJ59" s="104"/>
      <c r="EK59" s="104">
        <f t="shared" si="14"/>
        <v>0</v>
      </c>
      <c r="EL59" s="104" t="str">
        <f t="shared" si="15"/>
        <v>N</v>
      </c>
      <c r="EM59" s="62"/>
      <c r="EN59" s="6"/>
      <c r="EO59" s="6"/>
      <c r="EP59" s="6"/>
      <c r="EQ59" s="6"/>
      <c r="ER59" s="6"/>
      <c r="ES59" s="6"/>
      <c r="ET59" s="6"/>
      <c r="EU59" s="6"/>
      <c r="EV59" s="6"/>
      <c r="EW59" s="6"/>
      <c r="EX59" s="6"/>
      <c r="EY59" s="6"/>
      <c r="EZ59" s="6"/>
      <c r="FA59" s="6"/>
      <c r="FB59" s="6"/>
      <c r="FC59" s="6"/>
      <c r="FD59" s="6"/>
      <c r="FE59" s="6"/>
      <c r="FF59" s="6"/>
    </row>
    <row r="60" spans="1:162" ht="12" customHeight="1" thickBot="1" x14ac:dyDescent="0.25">
      <c r="A60" s="1148"/>
      <c r="B60" s="1139"/>
      <c r="C60" s="1141"/>
      <c r="D60" s="1134"/>
      <c r="E60" s="1143"/>
      <c r="F60" s="1143"/>
      <c r="G60" s="1078"/>
      <c r="H60" s="1078"/>
      <c r="I60" s="1078"/>
      <c r="J60" s="1080"/>
      <c r="K60" s="1078"/>
      <c r="L60" s="176"/>
      <c r="M60" s="177"/>
      <c r="N60" s="177"/>
      <c r="O60" s="172"/>
      <c r="P60" s="173"/>
      <c r="Q60" s="173"/>
      <c r="R60" s="172"/>
      <c r="S60" s="173"/>
      <c r="T60" s="173"/>
      <c r="U60" s="173"/>
      <c r="V60" s="174"/>
      <c r="W60" s="175"/>
      <c r="X60" s="1100"/>
      <c r="Y60" s="1081"/>
      <c r="Z60" s="1081"/>
      <c r="AA60" s="1081"/>
      <c r="AB60" s="1081"/>
      <c r="AC60" s="1081"/>
      <c r="AD60" s="1081"/>
      <c r="AE60" s="1081"/>
      <c r="AF60" s="1081"/>
      <c r="AG60" s="1081"/>
      <c r="AH60" s="1081"/>
      <c r="AI60" s="1081"/>
      <c r="AJ60" s="1081"/>
      <c r="AK60" s="1082"/>
      <c r="AL60" s="1082"/>
      <c r="AM60" s="1082"/>
      <c r="AN60" s="1082"/>
      <c r="AO60" s="1081"/>
      <c r="AP60" s="1081"/>
      <c r="AQ60" s="95">
        <v>1</v>
      </c>
      <c r="AR60" s="95"/>
      <c r="AS60" s="95"/>
      <c r="AT60" s="95"/>
      <c r="AU60" s="95"/>
      <c r="AV60" s="95"/>
      <c r="AW60" s="95"/>
      <c r="AX60" s="95"/>
      <c r="AY60" s="95"/>
      <c r="AZ60" s="95"/>
      <c r="BA60" s="95"/>
      <c r="BB60" s="95"/>
      <c r="BC60" s="95"/>
      <c r="BD60" s="95"/>
      <c r="BE60" s="95">
        <f t="shared" si="0"/>
        <v>1</v>
      </c>
      <c r="BF60" s="96" t="str">
        <f t="shared" si="1"/>
        <v>Y</v>
      </c>
      <c r="BG60" s="97"/>
      <c r="BH60" s="98">
        <v>0</v>
      </c>
      <c r="BI60" s="98"/>
      <c r="BJ60" s="98"/>
      <c r="BK60" s="98"/>
      <c r="BL60" s="111"/>
      <c r="BM60" s="98">
        <f t="shared" si="3"/>
        <v>0</v>
      </c>
      <c r="BN60" s="98" t="str">
        <f t="shared" si="4"/>
        <v>N</v>
      </c>
      <c r="BO60" s="108"/>
      <c r="BP60" s="100">
        <v>1</v>
      </c>
      <c r="BQ60" s="100"/>
      <c r="BR60" s="100"/>
      <c r="BS60" s="100">
        <f t="shared" si="5"/>
        <v>1</v>
      </c>
      <c r="BT60" s="100" t="str">
        <f t="shared" si="6"/>
        <v>Y</v>
      </c>
      <c r="BU60" s="50"/>
      <c r="BV60" s="101">
        <v>1</v>
      </c>
      <c r="BW60" s="101"/>
      <c r="BX60" s="101"/>
      <c r="BY60" s="101"/>
      <c r="BZ60" s="101"/>
      <c r="CA60" s="101"/>
      <c r="CB60" s="101"/>
      <c r="CC60" s="101"/>
      <c r="CD60" s="101">
        <f t="shared" si="7"/>
        <v>1</v>
      </c>
      <c r="CE60" s="101" t="str">
        <f t="shared" si="8"/>
        <v>Y</v>
      </c>
      <c r="CF60" s="54"/>
      <c r="CG60" s="102"/>
      <c r="CH60" s="102"/>
      <c r="CI60" s="102"/>
      <c r="CJ60" s="102"/>
      <c r="CK60" s="102"/>
      <c r="CL60" s="102"/>
      <c r="CM60" s="102"/>
      <c r="CN60" s="102"/>
      <c r="CO60" s="102"/>
      <c r="CP60" s="102"/>
      <c r="CQ60" s="102"/>
      <c r="CR60" s="102"/>
      <c r="CS60" s="102"/>
      <c r="CT60" s="102"/>
      <c r="CU60" s="102"/>
      <c r="CV60" s="102"/>
      <c r="CW60" s="102"/>
      <c r="CX60" s="102"/>
      <c r="CY60" s="102"/>
      <c r="CZ60" s="102">
        <f t="shared" si="10"/>
        <v>0</v>
      </c>
      <c r="DA60" s="102" t="str">
        <f t="shared" si="11"/>
        <v>N</v>
      </c>
      <c r="DB60" s="58"/>
      <c r="DC60" s="101">
        <v>1</v>
      </c>
      <c r="DD60" s="101"/>
      <c r="DE60" s="101"/>
      <c r="DF60" s="101"/>
      <c r="DG60" s="101"/>
      <c r="DH60" s="101"/>
      <c r="DI60" s="101"/>
      <c r="DJ60" s="101"/>
      <c r="DK60" s="101"/>
      <c r="DL60" s="101"/>
      <c r="DM60" s="101"/>
      <c r="DN60" s="101"/>
      <c r="DO60" s="101"/>
      <c r="DP60" s="101"/>
      <c r="DQ60" s="101"/>
      <c r="DR60" s="101"/>
      <c r="DS60" s="101"/>
      <c r="DT60" s="101"/>
      <c r="DU60" s="101"/>
      <c r="DV60" s="101">
        <f t="shared" si="12"/>
        <v>1</v>
      </c>
      <c r="DW60" s="101" t="str">
        <f t="shared" si="17"/>
        <v>Y</v>
      </c>
      <c r="DX60" s="103"/>
      <c r="DY60" s="104"/>
      <c r="DZ60" s="104"/>
      <c r="EA60" s="104"/>
      <c r="EB60" s="104"/>
      <c r="EC60" s="104"/>
      <c r="ED60" s="104"/>
      <c r="EE60" s="104"/>
      <c r="EF60" s="104"/>
      <c r="EG60" s="104"/>
      <c r="EH60" s="104"/>
      <c r="EI60" s="104"/>
      <c r="EJ60" s="104"/>
      <c r="EK60" s="104">
        <f t="shared" si="14"/>
        <v>0</v>
      </c>
      <c r="EL60" s="104" t="str">
        <f t="shared" si="15"/>
        <v>N</v>
      </c>
      <c r="EM60" s="62"/>
      <c r="EN60" s="6"/>
      <c r="EO60" s="6"/>
      <c r="EP60" s="6"/>
      <c r="EQ60" s="6"/>
      <c r="ER60" s="6"/>
    </row>
    <row r="61" spans="1:162" x14ac:dyDescent="0.2">
      <c r="A61" s="1147" t="s">
        <v>250</v>
      </c>
      <c r="B61" s="1149" t="s">
        <v>249</v>
      </c>
      <c r="C61" s="1152" t="s">
        <v>248</v>
      </c>
      <c r="D61" s="1155" t="s">
        <v>179</v>
      </c>
      <c r="E61" s="1085"/>
      <c r="F61" s="1144"/>
      <c r="G61" s="1076" t="s">
        <v>347</v>
      </c>
      <c r="H61" s="1076" t="s">
        <v>278</v>
      </c>
      <c r="I61" s="1076"/>
      <c r="J61" s="1079">
        <f>Y61+AA61+AC61+AE61+AG61+AI61+AK61+AM61+AO61</f>
        <v>3</v>
      </c>
      <c r="K61" s="1076"/>
      <c r="L61" s="176"/>
      <c r="M61" s="186"/>
      <c r="N61" s="177"/>
      <c r="O61" s="172"/>
      <c r="P61" s="173"/>
      <c r="Q61" s="173"/>
      <c r="R61" s="173"/>
      <c r="S61" s="173"/>
      <c r="T61" s="173"/>
      <c r="U61" s="173"/>
      <c r="V61" s="174"/>
      <c r="W61" s="175"/>
      <c r="X61" s="1098" t="s">
        <v>278</v>
      </c>
      <c r="Y61" s="1081">
        <f>IF(HC="Y",IF(BF61="Y",Z61,0),0)</f>
        <v>0</v>
      </c>
      <c r="Z61" s="1081">
        <v>3</v>
      </c>
      <c r="AA61" s="1081">
        <f>IF(OFF="Y",IF(BN61="Y",AB61,0),0)</f>
        <v>3</v>
      </c>
      <c r="AB61" s="1081">
        <v>3</v>
      </c>
      <c r="AC61" s="1081">
        <f>IF(COURTS="Y",IF(BT61="Y",AD61,0),0)</f>
        <v>0</v>
      </c>
      <c r="AD61" s="1081">
        <v>3</v>
      </c>
      <c r="AE61" s="1081">
        <f>IF(PRISONS="Y",IF(CE61="Y",AF61,0),0)</f>
        <v>0</v>
      </c>
      <c r="AF61" s="1081">
        <v>3</v>
      </c>
      <c r="AG61" s="1081">
        <f>IF(RET="Y",IF(DA61="Y",AH61,0),0)</f>
        <v>0</v>
      </c>
      <c r="AH61" s="1081">
        <v>3</v>
      </c>
      <c r="AI61" s="1081">
        <f>IF(SCHOOLS="y",IF(DW61="y",AJ61,0),0)</f>
        <v>0</v>
      </c>
      <c r="AJ61" s="1081">
        <v>3</v>
      </c>
      <c r="AK61" s="1082">
        <f>IF(FE="y",IF(DW61="y",AL61,0),0)</f>
        <v>0</v>
      </c>
      <c r="AL61" s="1082">
        <v>3</v>
      </c>
      <c r="AM61" s="1082">
        <f>IF(HE="Y",IF(DW61="Y",AN61,0),0)</f>
        <v>0</v>
      </c>
      <c r="AN61" s="1082">
        <v>3</v>
      </c>
      <c r="AO61" s="1081">
        <f>IF(INDUSTRIAL="Y",IF(EL61="Y",AP61,0),0)</f>
        <v>0</v>
      </c>
      <c r="AP61" s="1081">
        <v>3</v>
      </c>
      <c r="AQ61" s="95">
        <v>1</v>
      </c>
      <c r="AR61" s="95"/>
      <c r="AS61" s="95"/>
      <c r="AT61" s="95"/>
      <c r="AU61" s="95"/>
      <c r="AV61" s="95"/>
      <c r="AW61" s="95"/>
      <c r="AX61" s="95"/>
      <c r="AY61" s="95"/>
      <c r="AZ61" s="95"/>
      <c r="BA61" s="95"/>
      <c r="BB61" s="95"/>
      <c r="BC61" s="95"/>
      <c r="BD61" s="95"/>
      <c r="BE61" s="95">
        <f t="shared" si="0"/>
        <v>1</v>
      </c>
      <c r="BF61" s="96" t="str">
        <f t="shared" si="1"/>
        <v>Y</v>
      </c>
      <c r="BG61" s="97"/>
      <c r="BH61" s="98">
        <v>1</v>
      </c>
      <c r="BI61" s="98"/>
      <c r="BJ61" s="98"/>
      <c r="BK61" s="98"/>
      <c r="BL61" s="111"/>
      <c r="BM61" s="98">
        <f t="shared" si="3"/>
        <v>1</v>
      </c>
      <c r="BN61" s="98" t="str">
        <f t="shared" si="4"/>
        <v>Y</v>
      </c>
      <c r="BO61" s="108"/>
      <c r="BP61" s="100">
        <v>1</v>
      </c>
      <c r="BQ61" s="100"/>
      <c r="BR61" s="100"/>
      <c r="BS61" s="100">
        <f t="shared" si="5"/>
        <v>1</v>
      </c>
      <c r="BT61" s="100" t="str">
        <f t="shared" si="6"/>
        <v>Y</v>
      </c>
      <c r="BU61" s="50"/>
      <c r="BV61" s="101">
        <v>1</v>
      </c>
      <c r="BW61" s="101"/>
      <c r="BX61" s="101"/>
      <c r="BY61" s="101"/>
      <c r="BZ61" s="101"/>
      <c r="CA61" s="101"/>
      <c r="CB61" s="101"/>
      <c r="CC61" s="101"/>
      <c r="CD61" s="101">
        <f t="shared" si="7"/>
        <v>1</v>
      </c>
      <c r="CE61" s="101" t="str">
        <f t="shared" si="8"/>
        <v>Y</v>
      </c>
      <c r="CF61" s="54"/>
      <c r="CG61" s="102">
        <v>1</v>
      </c>
      <c r="CH61" s="102"/>
      <c r="CI61" s="102"/>
      <c r="CJ61" s="102"/>
      <c r="CK61" s="102"/>
      <c r="CL61" s="102"/>
      <c r="CM61" s="102"/>
      <c r="CN61" s="102"/>
      <c r="CO61" s="102"/>
      <c r="CP61" s="102"/>
      <c r="CQ61" s="102"/>
      <c r="CR61" s="102"/>
      <c r="CS61" s="102"/>
      <c r="CT61" s="102"/>
      <c r="CU61" s="102"/>
      <c r="CV61" s="102"/>
      <c r="CW61" s="102"/>
      <c r="CX61" s="102"/>
      <c r="CY61" s="102"/>
      <c r="CZ61" s="102">
        <f t="shared" si="10"/>
        <v>1</v>
      </c>
      <c r="DA61" s="102" t="str">
        <f t="shared" si="11"/>
        <v>Y</v>
      </c>
      <c r="DB61" s="58"/>
      <c r="DC61" s="101">
        <v>1</v>
      </c>
      <c r="DD61" s="101"/>
      <c r="DE61" s="101"/>
      <c r="DF61" s="101"/>
      <c r="DG61" s="101"/>
      <c r="DH61" s="101"/>
      <c r="DI61" s="101"/>
      <c r="DJ61" s="101"/>
      <c r="DK61" s="101"/>
      <c r="DL61" s="101"/>
      <c r="DM61" s="101"/>
      <c r="DN61" s="101"/>
      <c r="DO61" s="101"/>
      <c r="DP61" s="101"/>
      <c r="DQ61" s="101"/>
      <c r="DR61" s="101"/>
      <c r="DS61" s="101"/>
      <c r="DT61" s="101"/>
      <c r="DU61" s="101"/>
      <c r="DV61" s="101">
        <f t="shared" si="12"/>
        <v>1</v>
      </c>
      <c r="DW61" s="101" t="str">
        <f t="shared" si="17"/>
        <v>Y</v>
      </c>
      <c r="DX61" s="103"/>
      <c r="DY61" s="104">
        <v>1</v>
      </c>
      <c r="DZ61" s="104"/>
      <c r="EA61" s="104"/>
      <c r="EB61" s="104"/>
      <c r="EC61" s="104"/>
      <c r="ED61" s="104"/>
      <c r="EE61" s="104"/>
      <c r="EF61" s="104"/>
      <c r="EG61" s="104"/>
      <c r="EH61" s="104"/>
      <c r="EI61" s="104"/>
      <c r="EJ61" s="104"/>
      <c r="EK61" s="104">
        <f t="shared" si="14"/>
        <v>1</v>
      </c>
      <c r="EL61" s="104" t="str">
        <f t="shared" si="15"/>
        <v>Y</v>
      </c>
      <c r="EM61" s="62"/>
      <c r="EN61" s="6"/>
      <c r="EO61" s="6"/>
      <c r="EP61" s="6"/>
      <c r="EQ61" s="6"/>
      <c r="ER61" s="6"/>
    </row>
    <row r="62" spans="1:162" x14ac:dyDescent="0.2">
      <c r="A62" s="1147"/>
      <c r="B62" s="1150"/>
      <c r="C62" s="1153"/>
      <c r="D62" s="1156"/>
      <c r="E62" s="1086"/>
      <c r="F62" s="1079"/>
      <c r="G62" s="1077"/>
      <c r="H62" s="1077"/>
      <c r="I62" s="1077"/>
      <c r="J62" s="1079"/>
      <c r="K62" s="1077"/>
      <c r="L62" s="181"/>
      <c r="M62" s="186"/>
      <c r="N62" s="184"/>
      <c r="O62" s="185"/>
      <c r="P62" s="173"/>
      <c r="Q62" s="173"/>
      <c r="R62" s="173"/>
      <c r="S62" s="173"/>
      <c r="T62" s="173"/>
      <c r="U62" s="173"/>
      <c r="V62" s="174"/>
      <c r="W62" s="175"/>
      <c r="X62" s="1099"/>
      <c r="Y62" s="1081"/>
      <c r="Z62" s="1081"/>
      <c r="AA62" s="1081"/>
      <c r="AB62" s="1081"/>
      <c r="AC62" s="1081"/>
      <c r="AD62" s="1081"/>
      <c r="AE62" s="1081"/>
      <c r="AF62" s="1081"/>
      <c r="AG62" s="1081"/>
      <c r="AH62" s="1081"/>
      <c r="AI62" s="1081"/>
      <c r="AJ62" s="1081"/>
      <c r="AK62" s="1082"/>
      <c r="AL62" s="1082"/>
      <c r="AM62" s="1082"/>
      <c r="AN62" s="1082"/>
      <c r="AO62" s="1081"/>
      <c r="AP62" s="1081"/>
      <c r="AQ62" s="95">
        <v>1</v>
      </c>
      <c r="AR62" s="95"/>
      <c r="AS62" s="95"/>
      <c r="AT62" s="95"/>
      <c r="AU62" s="95"/>
      <c r="AV62" s="95"/>
      <c r="AW62" s="95"/>
      <c r="AX62" s="95"/>
      <c r="AY62" s="95"/>
      <c r="AZ62" s="95"/>
      <c r="BA62" s="95"/>
      <c r="BB62" s="95"/>
      <c r="BC62" s="95"/>
      <c r="BD62" s="95"/>
      <c r="BE62" s="95">
        <f t="shared" ref="BE62:BE96" si="18">SUM(AQ62:BD62)</f>
        <v>1</v>
      </c>
      <c r="BF62" s="96" t="str">
        <f t="shared" ref="BF62:BF96" si="19">IF(BE62&gt;=0.1,"Y","N")</f>
        <v>Y</v>
      </c>
      <c r="BG62" s="97"/>
      <c r="BH62" s="98">
        <v>1</v>
      </c>
      <c r="BI62" s="98"/>
      <c r="BJ62" s="98"/>
      <c r="BK62" s="98"/>
      <c r="BL62" s="111"/>
      <c r="BM62" s="98">
        <f t="shared" ref="BM62:BM96" si="20">SUM(BH62:BL62)</f>
        <v>1</v>
      </c>
      <c r="BN62" s="98" t="str">
        <f t="shared" ref="BN62:BN96" si="21">IF(BM62&gt;=0.1,"Y","N")</f>
        <v>Y</v>
      </c>
      <c r="BO62" s="108"/>
      <c r="BP62" s="100">
        <v>1</v>
      </c>
      <c r="BQ62" s="100"/>
      <c r="BR62" s="100"/>
      <c r="BS62" s="100">
        <f t="shared" ref="BS62:BS96" si="22">SUM(BP62:BR62)</f>
        <v>1</v>
      </c>
      <c r="BT62" s="100" t="str">
        <f t="shared" ref="BT62:BT96" si="23">IF(BS62&gt;=0.1,"Y","N")</f>
        <v>Y</v>
      </c>
      <c r="BU62" s="50"/>
      <c r="BV62" s="101">
        <v>1</v>
      </c>
      <c r="BW62" s="101"/>
      <c r="BX62" s="101"/>
      <c r="BY62" s="101"/>
      <c r="BZ62" s="101"/>
      <c r="CA62" s="101"/>
      <c r="CB62" s="101"/>
      <c r="CC62" s="101"/>
      <c r="CD62" s="101">
        <f t="shared" ref="CD62:CD96" si="24">SUM(BV62:CC62)</f>
        <v>1</v>
      </c>
      <c r="CE62" s="101" t="str">
        <f t="shared" ref="CE62:CE96" si="25">IF(CD62&gt;=0.1,"Y","N")</f>
        <v>Y</v>
      </c>
      <c r="CF62" s="54"/>
      <c r="CG62" s="102">
        <v>1</v>
      </c>
      <c r="CH62" s="102"/>
      <c r="CI62" s="102"/>
      <c r="CJ62" s="102"/>
      <c r="CK62" s="102"/>
      <c r="CL62" s="102"/>
      <c r="CM62" s="102"/>
      <c r="CN62" s="102"/>
      <c r="CO62" s="102"/>
      <c r="CP62" s="102"/>
      <c r="CQ62" s="102"/>
      <c r="CR62" s="102"/>
      <c r="CS62" s="102"/>
      <c r="CT62" s="102"/>
      <c r="CU62" s="102"/>
      <c r="CV62" s="102"/>
      <c r="CW62" s="102"/>
      <c r="CX62" s="102"/>
      <c r="CY62" s="102"/>
      <c r="CZ62" s="102">
        <f t="shared" ref="CZ62:CZ96" si="26">SUM(CG62:CY62)</f>
        <v>1</v>
      </c>
      <c r="DA62" s="102" t="str">
        <f t="shared" ref="DA62:DA96" si="27">IF(CZ62&gt;=0.1,"Y","N")</f>
        <v>Y</v>
      </c>
      <c r="DB62" s="58"/>
      <c r="DC62" s="101">
        <v>1</v>
      </c>
      <c r="DD62" s="101"/>
      <c r="DE62" s="101"/>
      <c r="DF62" s="101"/>
      <c r="DG62" s="101"/>
      <c r="DH62" s="101"/>
      <c r="DI62" s="101"/>
      <c r="DJ62" s="101"/>
      <c r="DK62" s="101"/>
      <c r="DL62" s="101"/>
      <c r="DM62" s="101"/>
      <c r="DN62" s="101"/>
      <c r="DO62" s="101"/>
      <c r="DP62" s="101"/>
      <c r="DQ62" s="101"/>
      <c r="DR62" s="101"/>
      <c r="DS62" s="101"/>
      <c r="DT62" s="101"/>
      <c r="DU62" s="101"/>
      <c r="DV62" s="101">
        <f t="shared" ref="DV62:DV96" si="28">SUM(DC62:DU62)</f>
        <v>1</v>
      </c>
      <c r="DW62" s="101" t="str">
        <f t="shared" si="17"/>
        <v>Y</v>
      </c>
      <c r="DX62" s="103"/>
      <c r="DY62" s="104">
        <v>1</v>
      </c>
      <c r="DZ62" s="104"/>
      <c r="EA62" s="104"/>
      <c r="EB62" s="104"/>
      <c r="EC62" s="104"/>
      <c r="ED62" s="104"/>
      <c r="EE62" s="104"/>
      <c r="EF62" s="104"/>
      <c r="EG62" s="104"/>
      <c r="EH62" s="104"/>
      <c r="EI62" s="104"/>
      <c r="EJ62" s="104"/>
      <c r="EK62" s="104">
        <f t="shared" ref="EK62:EK96" si="29">SUM(DY62:EJ62)</f>
        <v>1</v>
      </c>
      <c r="EL62" s="104" t="str">
        <f t="shared" ref="EL62:EL96" si="30">IF(EK62&gt;=0.1,"Y","N")</f>
        <v>Y</v>
      </c>
      <c r="EM62" s="62"/>
      <c r="EN62" s="6"/>
      <c r="EO62" s="6"/>
      <c r="EP62" s="6"/>
      <c r="EQ62" s="6"/>
      <c r="ER62" s="6"/>
    </row>
    <row r="63" spans="1:162" ht="13.5" thickBot="1" x14ac:dyDescent="0.25">
      <c r="A63" s="1147"/>
      <c r="B63" s="1151"/>
      <c r="C63" s="1154"/>
      <c r="D63" s="1157"/>
      <c r="E63" s="1143"/>
      <c r="F63" s="1080"/>
      <c r="G63" s="1078"/>
      <c r="H63" s="1078"/>
      <c r="I63" s="1078"/>
      <c r="J63" s="1080"/>
      <c r="K63" s="1078"/>
      <c r="L63" s="176"/>
      <c r="M63" s="186"/>
      <c r="N63" s="177"/>
      <c r="O63" s="172"/>
      <c r="P63" s="173"/>
      <c r="Q63" s="173"/>
      <c r="R63" s="173"/>
      <c r="S63" s="173"/>
      <c r="T63" s="173"/>
      <c r="U63" s="173"/>
      <c r="V63" s="174"/>
      <c r="W63" s="175"/>
      <c r="X63" s="1100"/>
      <c r="Y63" s="1081"/>
      <c r="Z63" s="1081"/>
      <c r="AA63" s="1081"/>
      <c r="AB63" s="1081"/>
      <c r="AC63" s="1081"/>
      <c r="AD63" s="1081"/>
      <c r="AE63" s="1081"/>
      <c r="AF63" s="1081"/>
      <c r="AG63" s="1081"/>
      <c r="AH63" s="1081"/>
      <c r="AI63" s="1081"/>
      <c r="AJ63" s="1081"/>
      <c r="AK63" s="1082"/>
      <c r="AL63" s="1082"/>
      <c r="AM63" s="1082"/>
      <c r="AN63" s="1082"/>
      <c r="AO63" s="1081"/>
      <c r="AP63" s="1081"/>
      <c r="AQ63" s="95">
        <v>1</v>
      </c>
      <c r="AR63" s="95"/>
      <c r="AS63" s="95"/>
      <c r="AT63" s="95"/>
      <c r="AU63" s="95"/>
      <c r="AV63" s="95"/>
      <c r="AW63" s="95"/>
      <c r="AX63" s="95"/>
      <c r="AY63" s="106"/>
      <c r="AZ63" s="95"/>
      <c r="BA63" s="95"/>
      <c r="BB63" s="95"/>
      <c r="BC63" s="95"/>
      <c r="BD63" s="95"/>
      <c r="BE63" s="95">
        <f t="shared" si="18"/>
        <v>1</v>
      </c>
      <c r="BF63" s="96" t="str">
        <f t="shared" si="19"/>
        <v>Y</v>
      </c>
      <c r="BG63" s="97"/>
      <c r="BH63" s="98">
        <v>1</v>
      </c>
      <c r="BI63" s="98"/>
      <c r="BJ63" s="98"/>
      <c r="BK63" s="98"/>
      <c r="BL63" s="111"/>
      <c r="BM63" s="98">
        <f t="shared" si="20"/>
        <v>1</v>
      </c>
      <c r="BN63" s="98" t="str">
        <f t="shared" si="21"/>
        <v>Y</v>
      </c>
      <c r="BO63" s="108"/>
      <c r="BP63" s="100">
        <v>1</v>
      </c>
      <c r="BQ63" s="100"/>
      <c r="BR63" s="100"/>
      <c r="BS63" s="100">
        <f t="shared" si="22"/>
        <v>1</v>
      </c>
      <c r="BT63" s="100" t="str">
        <f t="shared" si="23"/>
        <v>Y</v>
      </c>
      <c r="BU63" s="50"/>
      <c r="BV63" s="101">
        <v>1</v>
      </c>
      <c r="BW63" s="101"/>
      <c r="BX63" s="101"/>
      <c r="BY63" s="101"/>
      <c r="BZ63" s="101"/>
      <c r="CA63" s="101"/>
      <c r="CB63" s="101"/>
      <c r="CC63" s="101"/>
      <c r="CD63" s="101">
        <f t="shared" si="24"/>
        <v>1</v>
      </c>
      <c r="CE63" s="101" t="str">
        <f t="shared" si="25"/>
        <v>Y</v>
      </c>
      <c r="CF63" s="54"/>
      <c r="CG63" s="102">
        <v>1</v>
      </c>
      <c r="CH63" s="102"/>
      <c r="CI63" s="102"/>
      <c r="CJ63" s="102"/>
      <c r="CK63" s="102"/>
      <c r="CL63" s="102"/>
      <c r="CM63" s="102"/>
      <c r="CN63" s="102"/>
      <c r="CO63" s="102"/>
      <c r="CP63" s="102"/>
      <c r="CQ63" s="102"/>
      <c r="CR63" s="102"/>
      <c r="CS63" s="102"/>
      <c r="CT63" s="102"/>
      <c r="CU63" s="102"/>
      <c r="CV63" s="102"/>
      <c r="CW63" s="102"/>
      <c r="CX63" s="102"/>
      <c r="CY63" s="102"/>
      <c r="CZ63" s="102">
        <f t="shared" si="26"/>
        <v>1</v>
      </c>
      <c r="DA63" s="102" t="str">
        <f t="shared" si="27"/>
        <v>Y</v>
      </c>
      <c r="DB63" s="58"/>
      <c r="DC63" s="101">
        <v>1</v>
      </c>
      <c r="DD63" s="101"/>
      <c r="DE63" s="101"/>
      <c r="DF63" s="101"/>
      <c r="DG63" s="101"/>
      <c r="DH63" s="101"/>
      <c r="DI63" s="101"/>
      <c r="DJ63" s="101"/>
      <c r="DK63" s="101"/>
      <c r="DL63" s="101"/>
      <c r="DM63" s="101"/>
      <c r="DN63" s="101"/>
      <c r="DO63" s="101"/>
      <c r="DP63" s="101"/>
      <c r="DQ63" s="101"/>
      <c r="DR63" s="101"/>
      <c r="DS63" s="101"/>
      <c r="DT63" s="101"/>
      <c r="DU63" s="101"/>
      <c r="DV63" s="101">
        <f t="shared" si="28"/>
        <v>1</v>
      </c>
      <c r="DW63" s="101" t="str">
        <f t="shared" si="17"/>
        <v>Y</v>
      </c>
      <c r="DX63" s="103"/>
      <c r="DY63" s="104">
        <v>1</v>
      </c>
      <c r="DZ63" s="104"/>
      <c r="EA63" s="104"/>
      <c r="EB63" s="104"/>
      <c r="EC63" s="104"/>
      <c r="ED63" s="104"/>
      <c r="EE63" s="104"/>
      <c r="EF63" s="104"/>
      <c r="EG63" s="104"/>
      <c r="EH63" s="104"/>
      <c r="EI63" s="104"/>
      <c r="EJ63" s="104"/>
      <c r="EK63" s="104">
        <f t="shared" si="29"/>
        <v>1</v>
      </c>
      <c r="EL63" s="104" t="str">
        <f t="shared" si="30"/>
        <v>Y</v>
      </c>
      <c r="EM63" s="62"/>
      <c r="EN63" s="6"/>
      <c r="EO63" s="6"/>
      <c r="EP63" s="6"/>
      <c r="EQ63" s="6"/>
      <c r="ER63" s="6"/>
    </row>
    <row r="64" spans="1:162" x14ac:dyDescent="0.2">
      <c r="A64" s="1147"/>
      <c r="B64" s="1149" t="s">
        <v>247</v>
      </c>
      <c r="C64" s="1152" t="s">
        <v>246</v>
      </c>
      <c r="D64" s="1155" t="s">
        <v>179</v>
      </c>
      <c r="E64" s="1085"/>
      <c r="F64" s="1144"/>
      <c r="G64" s="1076" t="s">
        <v>347</v>
      </c>
      <c r="H64" s="1076" t="s">
        <v>278</v>
      </c>
      <c r="I64" s="1076"/>
      <c r="J64" s="1079">
        <f>Y64+AA64+AC64+AE64+AG64+AI64+AK64+AM64+AO64</f>
        <v>15</v>
      </c>
      <c r="K64" s="1076"/>
      <c r="L64" s="176"/>
      <c r="M64" s="186"/>
      <c r="N64" s="177"/>
      <c r="O64" s="172"/>
      <c r="P64" s="173"/>
      <c r="Q64" s="173"/>
      <c r="R64" s="173"/>
      <c r="S64" s="173"/>
      <c r="T64" s="173"/>
      <c r="U64" s="173"/>
      <c r="V64" s="174"/>
      <c r="W64" s="175"/>
      <c r="X64" s="1098" t="s">
        <v>278</v>
      </c>
      <c r="Y64" s="1081">
        <f>IF(HC="Y",IF(BF64="Y",Z64,0),0)</f>
        <v>0</v>
      </c>
      <c r="Z64" s="1081">
        <v>15</v>
      </c>
      <c r="AA64" s="1081">
        <f>IF(OFF="Y",IF(BN64="Y",AB64,0),0)</f>
        <v>15</v>
      </c>
      <c r="AB64" s="1081">
        <v>15</v>
      </c>
      <c r="AC64" s="1081">
        <f>IF(COURTS="Y",IF(BT64="Y",AD64,0),0)</f>
        <v>0</v>
      </c>
      <c r="AD64" s="1081">
        <v>15</v>
      </c>
      <c r="AE64" s="1081">
        <f>IF(PRISONS="Y",IF(CE64="Y",AF64,0),0)</f>
        <v>0</v>
      </c>
      <c r="AF64" s="1081">
        <v>15</v>
      </c>
      <c r="AG64" s="1081">
        <f>IF(RET="Y",IF(DA64="Y",AH64,0),0)</f>
        <v>0</v>
      </c>
      <c r="AH64" s="1081">
        <v>15</v>
      </c>
      <c r="AI64" s="1081">
        <f>IF(SCHOOLS="y",IF(DW64="y",AJ64,0),0)</f>
        <v>0</v>
      </c>
      <c r="AJ64" s="1081">
        <v>15</v>
      </c>
      <c r="AK64" s="1082">
        <f>IF(FE="y",IF(DW64="y",AL64,0),0)</f>
        <v>0</v>
      </c>
      <c r="AL64" s="1082">
        <v>15</v>
      </c>
      <c r="AM64" s="1082">
        <f>IF(HE="Y",IF(DW64="Y",AN64,0),0)</f>
        <v>0</v>
      </c>
      <c r="AN64" s="1082">
        <v>15</v>
      </c>
      <c r="AO64" s="1081">
        <f>IF(INDUSTRIAL="Y",IF(EL64="Y",AP64,0),0)</f>
        <v>0</v>
      </c>
      <c r="AP64" s="1081">
        <v>15</v>
      </c>
      <c r="AQ64" s="95">
        <v>1</v>
      </c>
      <c r="AR64" s="95"/>
      <c r="AS64" s="95"/>
      <c r="AT64" s="95"/>
      <c r="AU64" s="95"/>
      <c r="AV64" s="95"/>
      <c r="AW64" s="95"/>
      <c r="AX64" s="95"/>
      <c r="AY64" s="95"/>
      <c r="AZ64" s="106"/>
      <c r="BA64" s="95"/>
      <c r="BB64" s="95"/>
      <c r="BC64" s="95"/>
      <c r="BD64" s="95"/>
      <c r="BE64" s="95">
        <f t="shared" si="18"/>
        <v>1</v>
      </c>
      <c r="BF64" s="96" t="str">
        <f t="shared" si="19"/>
        <v>Y</v>
      </c>
      <c r="BG64" s="97"/>
      <c r="BH64" s="98">
        <v>1</v>
      </c>
      <c r="BI64" s="98"/>
      <c r="BJ64" s="98"/>
      <c r="BK64" s="98"/>
      <c r="BL64" s="111"/>
      <c r="BM64" s="98">
        <f t="shared" si="20"/>
        <v>1</v>
      </c>
      <c r="BN64" s="98" t="str">
        <f t="shared" si="21"/>
        <v>Y</v>
      </c>
      <c r="BO64" s="108"/>
      <c r="BP64" s="100">
        <v>1</v>
      </c>
      <c r="BQ64" s="100"/>
      <c r="BR64" s="100"/>
      <c r="BS64" s="100">
        <f t="shared" si="22"/>
        <v>1</v>
      </c>
      <c r="BT64" s="100" t="str">
        <f t="shared" si="23"/>
        <v>Y</v>
      </c>
      <c r="BU64" s="50"/>
      <c r="BV64" s="101">
        <v>1</v>
      </c>
      <c r="BW64" s="101"/>
      <c r="BX64" s="101"/>
      <c r="BY64" s="101"/>
      <c r="BZ64" s="101"/>
      <c r="CA64" s="101"/>
      <c r="CB64" s="101"/>
      <c r="CC64" s="101"/>
      <c r="CD64" s="101">
        <f t="shared" si="24"/>
        <v>1</v>
      </c>
      <c r="CE64" s="101" t="str">
        <f t="shared" si="25"/>
        <v>Y</v>
      </c>
      <c r="CF64" s="54"/>
      <c r="CG64" s="102">
        <v>1</v>
      </c>
      <c r="CH64" s="102"/>
      <c r="CI64" s="102"/>
      <c r="CJ64" s="102"/>
      <c r="CK64" s="102"/>
      <c r="CL64" s="102"/>
      <c r="CM64" s="102"/>
      <c r="CN64" s="102"/>
      <c r="CO64" s="102"/>
      <c r="CP64" s="102"/>
      <c r="CQ64" s="102"/>
      <c r="CR64" s="102"/>
      <c r="CS64" s="102"/>
      <c r="CT64" s="102"/>
      <c r="CU64" s="102"/>
      <c r="CV64" s="102"/>
      <c r="CW64" s="102"/>
      <c r="CX64" s="102"/>
      <c r="CY64" s="102"/>
      <c r="CZ64" s="102">
        <f t="shared" si="26"/>
        <v>1</v>
      </c>
      <c r="DA64" s="102" t="str">
        <f t="shared" si="27"/>
        <v>Y</v>
      </c>
      <c r="DB64" s="58"/>
      <c r="DC64" s="101">
        <v>1</v>
      </c>
      <c r="DD64" s="101"/>
      <c r="DE64" s="101"/>
      <c r="DF64" s="101"/>
      <c r="DG64" s="101"/>
      <c r="DH64" s="101"/>
      <c r="DI64" s="101"/>
      <c r="DJ64" s="101"/>
      <c r="DK64" s="101"/>
      <c r="DL64" s="101"/>
      <c r="DM64" s="101"/>
      <c r="DN64" s="101"/>
      <c r="DO64" s="101"/>
      <c r="DP64" s="101"/>
      <c r="DQ64" s="101"/>
      <c r="DR64" s="101"/>
      <c r="DS64" s="101"/>
      <c r="DT64" s="101"/>
      <c r="DU64" s="101"/>
      <c r="DV64" s="101">
        <f t="shared" si="28"/>
        <v>1</v>
      </c>
      <c r="DW64" s="101" t="str">
        <f>IF(DV64&gt;=0.1,"Y","N")</f>
        <v>Y</v>
      </c>
      <c r="DX64" s="103"/>
      <c r="DY64" s="104">
        <v>1</v>
      </c>
      <c r="DZ64" s="104"/>
      <c r="EA64" s="104"/>
      <c r="EB64" s="104"/>
      <c r="EC64" s="104"/>
      <c r="ED64" s="104"/>
      <c r="EE64" s="104"/>
      <c r="EF64" s="104"/>
      <c r="EG64" s="104"/>
      <c r="EH64" s="104"/>
      <c r="EI64" s="104"/>
      <c r="EJ64" s="104"/>
      <c r="EK64" s="104">
        <f t="shared" si="29"/>
        <v>1</v>
      </c>
      <c r="EL64" s="104" t="str">
        <f t="shared" si="30"/>
        <v>Y</v>
      </c>
      <c r="EM64" s="62"/>
      <c r="EN64" s="6"/>
      <c r="EO64" s="6"/>
      <c r="EP64" s="6"/>
      <c r="EQ64" s="6"/>
      <c r="ER64" s="6"/>
    </row>
    <row r="65" spans="1:148" x14ac:dyDescent="0.2">
      <c r="A65" s="1147"/>
      <c r="B65" s="1150"/>
      <c r="C65" s="1153"/>
      <c r="D65" s="1156"/>
      <c r="E65" s="1086"/>
      <c r="F65" s="1079"/>
      <c r="G65" s="1077"/>
      <c r="H65" s="1077"/>
      <c r="I65" s="1077"/>
      <c r="J65" s="1079"/>
      <c r="K65" s="1077"/>
      <c r="L65" s="181"/>
      <c r="M65" s="186"/>
      <c r="N65" s="184"/>
      <c r="O65" s="185"/>
      <c r="P65" s="173"/>
      <c r="Q65" s="173"/>
      <c r="R65" s="173"/>
      <c r="S65" s="173"/>
      <c r="T65" s="173"/>
      <c r="U65" s="173"/>
      <c r="V65" s="174"/>
      <c r="W65" s="175"/>
      <c r="X65" s="1099"/>
      <c r="Y65" s="1081"/>
      <c r="Z65" s="1081"/>
      <c r="AA65" s="1081"/>
      <c r="AB65" s="1081"/>
      <c r="AC65" s="1081"/>
      <c r="AD65" s="1081"/>
      <c r="AE65" s="1081"/>
      <c r="AF65" s="1081"/>
      <c r="AG65" s="1081"/>
      <c r="AH65" s="1081"/>
      <c r="AI65" s="1081"/>
      <c r="AJ65" s="1081"/>
      <c r="AK65" s="1082"/>
      <c r="AL65" s="1082"/>
      <c r="AM65" s="1082"/>
      <c r="AN65" s="1082"/>
      <c r="AO65" s="1081"/>
      <c r="AP65" s="1081"/>
      <c r="AQ65" s="95">
        <v>1</v>
      </c>
      <c r="AR65" s="95"/>
      <c r="AS65" s="95"/>
      <c r="AT65" s="95"/>
      <c r="AU65" s="95"/>
      <c r="AV65" s="95"/>
      <c r="AW65" s="95"/>
      <c r="AX65" s="95"/>
      <c r="AY65" s="95"/>
      <c r="AZ65" s="95"/>
      <c r="BA65" s="95"/>
      <c r="BB65" s="95"/>
      <c r="BC65" s="95"/>
      <c r="BD65" s="95"/>
      <c r="BE65" s="95">
        <f t="shared" si="18"/>
        <v>1</v>
      </c>
      <c r="BF65" s="96" t="str">
        <f t="shared" si="19"/>
        <v>Y</v>
      </c>
      <c r="BG65" s="97"/>
      <c r="BH65" s="98">
        <v>1</v>
      </c>
      <c r="BI65" s="98"/>
      <c r="BJ65" s="98"/>
      <c r="BK65" s="98"/>
      <c r="BL65" s="111"/>
      <c r="BM65" s="98">
        <f t="shared" si="20"/>
        <v>1</v>
      </c>
      <c r="BN65" s="98" t="str">
        <f t="shared" si="21"/>
        <v>Y</v>
      </c>
      <c r="BO65" s="108"/>
      <c r="BP65" s="100">
        <v>1</v>
      </c>
      <c r="BQ65" s="100"/>
      <c r="BR65" s="100"/>
      <c r="BS65" s="100">
        <f t="shared" si="22"/>
        <v>1</v>
      </c>
      <c r="BT65" s="100" t="str">
        <f t="shared" si="23"/>
        <v>Y</v>
      </c>
      <c r="BU65" s="50"/>
      <c r="BV65" s="101">
        <v>1</v>
      </c>
      <c r="BW65" s="101"/>
      <c r="BX65" s="101"/>
      <c r="BY65" s="101"/>
      <c r="BZ65" s="101"/>
      <c r="CA65" s="101"/>
      <c r="CB65" s="101"/>
      <c r="CC65" s="101"/>
      <c r="CD65" s="101">
        <f t="shared" si="24"/>
        <v>1</v>
      </c>
      <c r="CE65" s="101" t="str">
        <f t="shared" si="25"/>
        <v>Y</v>
      </c>
      <c r="CF65" s="54"/>
      <c r="CG65" s="102">
        <v>1</v>
      </c>
      <c r="CH65" s="102"/>
      <c r="CI65" s="102"/>
      <c r="CJ65" s="102"/>
      <c r="CK65" s="102"/>
      <c r="CL65" s="102"/>
      <c r="CM65" s="102"/>
      <c r="CN65" s="102"/>
      <c r="CO65" s="102"/>
      <c r="CP65" s="102"/>
      <c r="CQ65" s="102"/>
      <c r="CR65" s="102"/>
      <c r="CS65" s="102"/>
      <c r="CT65" s="102"/>
      <c r="CU65" s="102"/>
      <c r="CV65" s="102"/>
      <c r="CW65" s="102"/>
      <c r="CX65" s="102"/>
      <c r="CY65" s="102"/>
      <c r="CZ65" s="102">
        <f t="shared" si="26"/>
        <v>1</v>
      </c>
      <c r="DA65" s="102" t="str">
        <f t="shared" si="27"/>
        <v>Y</v>
      </c>
      <c r="DB65" s="58"/>
      <c r="DC65" s="101">
        <v>1</v>
      </c>
      <c r="DD65" s="101"/>
      <c r="DE65" s="101"/>
      <c r="DF65" s="101"/>
      <c r="DG65" s="101"/>
      <c r="DH65" s="101"/>
      <c r="DI65" s="101"/>
      <c r="DJ65" s="101"/>
      <c r="DK65" s="101"/>
      <c r="DL65" s="101"/>
      <c r="DM65" s="101"/>
      <c r="DN65" s="101"/>
      <c r="DO65" s="101"/>
      <c r="DP65" s="101"/>
      <c r="DQ65" s="101"/>
      <c r="DR65" s="101"/>
      <c r="DS65" s="101"/>
      <c r="DT65" s="101"/>
      <c r="DU65" s="101"/>
      <c r="DV65" s="101">
        <f t="shared" si="28"/>
        <v>1</v>
      </c>
      <c r="DW65" s="101" t="str">
        <f>IF(DV65&gt;=0.1,"Y","N")</f>
        <v>Y</v>
      </c>
      <c r="DX65" s="103"/>
      <c r="DY65" s="104">
        <v>1</v>
      </c>
      <c r="DZ65" s="104"/>
      <c r="EA65" s="104"/>
      <c r="EB65" s="104"/>
      <c r="EC65" s="104"/>
      <c r="ED65" s="104"/>
      <c r="EE65" s="104"/>
      <c r="EF65" s="104"/>
      <c r="EG65" s="104"/>
      <c r="EH65" s="104"/>
      <c r="EI65" s="104"/>
      <c r="EJ65" s="104"/>
      <c r="EK65" s="104">
        <f t="shared" si="29"/>
        <v>1</v>
      </c>
      <c r="EL65" s="104" t="str">
        <f t="shared" si="30"/>
        <v>Y</v>
      </c>
      <c r="EM65" s="62"/>
      <c r="EN65" s="6"/>
      <c r="EO65" s="6"/>
      <c r="EP65" s="6"/>
      <c r="EQ65" s="6"/>
      <c r="ER65" s="6"/>
    </row>
    <row r="66" spans="1:148" ht="13.5" thickBot="1" x14ac:dyDescent="0.25">
      <c r="A66" s="1147"/>
      <c r="B66" s="1151"/>
      <c r="C66" s="1154"/>
      <c r="D66" s="1157"/>
      <c r="E66" s="1143"/>
      <c r="F66" s="1080"/>
      <c r="G66" s="1078"/>
      <c r="H66" s="1078"/>
      <c r="I66" s="1078"/>
      <c r="J66" s="1080"/>
      <c r="K66" s="1078"/>
      <c r="L66" s="176"/>
      <c r="M66" s="186"/>
      <c r="N66" s="177"/>
      <c r="O66" s="172"/>
      <c r="P66" s="173"/>
      <c r="Q66" s="173"/>
      <c r="R66" s="173"/>
      <c r="S66" s="173"/>
      <c r="T66" s="173"/>
      <c r="U66" s="173"/>
      <c r="V66" s="174"/>
      <c r="W66" s="175"/>
      <c r="X66" s="1100"/>
      <c r="Y66" s="1081"/>
      <c r="Z66" s="1081"/>
      <c r="AA66" s="1081"/>
      <c r="AB66" s="1081"/>
      <c r="AC66" s="1081"/>
      <c r="AD66" s="1081"/>
      <c r="AE66" s="1081"/>
      <c r="AF66" s="1081"/>
      <c r="AG66" s="1081"/>
      <c r="AH66" s="1081"/>
      <c r="AI66" s="1081"/>
      <c r="AJ66" s="1081"/>
      <c r="AK66" s="1082"/>
      <c r="AL66" s="1082"/>
      <c r="AM66" s="1082"/>
      <c r="AN66" s="1082"/>
      <c r="AO66" s="1081"/>
      <c r="AP66" s="1081"/>
      <c r="AQ66" s="95">
        <v>1</v>
      </c>
      <c r="AR66" s="95"/>
      <c r="AS66" s="95"/>
      <c r="AT66" s="95"/>
      <c r="AU66" s="95"/>
      <c r="AV66" s="95"/>
      <c r="AW66" s="95"/>
      <c r="AX66" s="95"/>
      <c r="AY66" s="95"/>
      <c r="AZ66" s="95"/>
      <c r="BA66" s="95"/>
      <c r="BB66" s="95"/>
      <c r="BC66" s="95"/>
      <c r="BD66" s="95"/>
      <c r="BE66" s="95">
        <f t="shared" si="18"/>
        <v>1</v>
      </c>
      <c r="BF66" s="96" t="str">
        <f t="shared" si="19"/>
        <v>Y</v>
      </c>
      <c r="BG66" s="97"/>
      <c r="BH66" s="98">
        <v>1</v>
      </c>
      <c r="BI66" s="98"/>
      <c r="BJ66" s="98"/>
      <c r="BK66" s="98"/>
      <c r="BL66" s="111"/>
      <c r="BM66" s="98">
        <f t="shared" si="20"/>
        <v>1</v>
      </c>
      <c r="BN66" s="98" t="str">
        <f t="shared" si="21"/>
        <v>Y</v>
      </c>
      <c r="BO66" s="108"/>
      <c r="BP66" s="100">
        <v>1</v>
      </c>
      <c r="BQ66" s="100"/>
      <c r="BR66" s="100"/>
      <c r="BS66" s="100">
        <f t="shared" si="22"/>
        <v>1</v>
      </c>
      <c r="BT66" s="100" t="str">
        <f t="shared" si="23"/>
        <v>Y</v>
      </c>
      <c r="BU66" s="50"/>
      <c r="BV66" s="101">
        <v>1</v>
      </c>
      <c r="BW66" s="101"/>
      <c r="BX66" s="101"/>
      <c r="BY66" s="101"/>
      <c r="BZ66" s="101"/>
      <c r="CA66" s="101"/>
      <c r="CB66" s="101"/>
      <c r="CC66" s="101"/>
      <c r="CD66" s="101">
        <f t="shared" si="24"/>
        <v>1</v>
      </c>
      <c r="CE66" s="101" t="str">
        <f t="shared" si="25"/>
        <v>Y</v>
      </c>
      <c r="CF66" s="54"/>
      <c r="CG66" s="102">
        <v>1</v>
      </c>
      <c r="CH66" s="102"/>
      <c r="CI66" s="102"/>
      <c r="CJ66" s="102"/>
      <c r="CK66" s="102"/>
      <c r="CL66" s="102"/>
      <c r="CM66" s="102"/>
      <c r="CN66" s="102"/>
      <c r="CO66" s="102"/>
      <c r="CP66" s="102"/>
      <c r="CQ66" s="102"/>
      <c r="CR66" s="102"/>
      <c r="CS66" s="102"/>
      <c r="CT66" s="102"/>
      <c r="CU66" s="102"/>
      <c r="CV66" s="102"/>
      <c r="CW66" s="102"/>
      <c r="CX66" s="102"/>
      <c r="CY66" s="102"/>
      <c r="CZ66" s="102">
        <f t="shared" si="26"/>
        <v>1</v>
      </c>
      <c r="DA66" s="102" t="str">
        <f t="shared" si="27"/>
        <v>Y</v>
      </c>
      <c r="DB66" s="58"/>
      <c r="DC66" s="101">
        <v>1</v>
      </c>
      <c r="DD66" s="101"/>
      <c r="DE66" s="101"/>
      <c r="DF66" s="101"/>
      <c r="DG66" s="101"/>
      <c r="DH66" s="101"/>
      <c r="DI66" s="101"/>
      <c r="DJ66" s="101"/>
      <c r="DK66" s="101"/>
      <c r="DL66" s="101"/>
      <c r="DM66" s="101"/>
      <c r="DN66" s="101"/>
      <c r="DO66" s="101"/>
      <c r="DP66" s="101"/>
      <c r="DQ66" s="101"/>
      <c r="DR66" s="101"/>
      <c r="DS66" s="101"/>
      <c r="DT66" s="101"/>
      <c r="DU66" s="101"/>
      <c r="DV66" s="101">
        <f t="shared" si="28"/>
        <v>1</v>
      </c>
      <c r="DW66" s="101" t="str">
        <f>IF(DV66&gt;=0.1,"Y","N")</f>
        <v>Y</v>
      </c>
      <c r="DX66" s="103"/>
      <c r="DY66" s="104">
        <v>1</v>
      </c>
      <c r="DZ66" s="104"/>
      <c r="EA66" s="104"/>
      <c r="EB66" s="104"/>
      <c r="EC66" s="104"/>
      <c r="ED66" s="104"/>
      <c r="EE66" s="104"/>
      <c r="EF66" s="104"/>
      <c r="EG66" s="104"/>
      <c r="EH66" s="104"/>
      <c r="EI66" s="104"/>
      <c r="EJ66" s="104"/>
      <c r="EK66" s="104">
        <f t="shared" si="29"/>
        <v>1</v>
      </c>
      <c r="EL66" s="104" t="str">
        <f t="shared" si="30"/>
        <v>Y</v>
      </c>
      <c r="EM66" s="62"/>
      <c r="EN66" s="6"/>
      <c r="EO66" s="6"/>
      <c r="EP66" s="6"/>
      <c r="EQ66" s="6"/>
      <c r="ER66" s="6"/>
    </row>
    <row r="67" spans="1:148" x14ac:dyDescent="0.2">
      <c r="A67" s="1147" t="s">
        <v>245</v>
      </c>
      <c r="B67" s="1138" t="s">
        <v>244</v>
      </c>
      <c r="C67" s="1140" t="s">
        <v>243</v>
      </c>
      <c r="D67" s="1133"/>
      <c r="E67" s="1085"/>
      <c r="F67" s="1144"/>
      <c r="G67" s="1076" t="s">
        <v>349</v>
      </c>
      <c r="H67" s="1076" t="s">
        <v>288</v>
      </c>
      <c r="I67" s="1076"/>
      <c r="J67" s="1079">
        <v>1</v>
      </c>
      <c r="K67" s="1076"/>
      <c r="L67" s="180"/>
      <c r="M67" s="186"/>
      <c r="N67" s="177"/>
      <c r="O67" s="172"/>
      <c r="P67" s="173"/>
      <c r="Q67" s="173"/>
      <c r="R67" s="173"/>
      <c r="S67" s="173"/>
      <c r="T67" s="173"/>
      <c r="U67" s="173"/>
      <c r="V67" s="174"/>
      <c r="W67" s="175"/>
      <c r="X67" s="1098" t="s">
        <v>371</v>
      </c>
      <c r="Y67" s="1081">
        <f>IF(HC="Y",IF(BF67="Y",Z67,0),0)</f>
        <v>0</v>
      </c>
      <c r="Z67" s="1081">
        <v>1</v>
      </c>
      <c r="AA67" s="1081">
        <f>IF(OFF="Y",IF(BN67="Y",AB67,0),0)</f>
        <v>0</v>
      </c>
      <c r="AB67" s="1081">
        <v>0</v>
      </c>
      <c r="AC67" s="1081">
        <f>IF(COURTS="Y",IF(BT67="Y",AD67,0),0)</f>
        <v>0</v>
      </c>
      <c r="AD67" s="1081">
        <v>1</v>
      </c>
      <c r="AE67" s="1081">
        <f>IF(PRISONS="Y",IF(CE67="Y",AF67,0),0)</f>
        <v>0</v>
      </c>
      <c r="AF67" s="1081">
        <v>0</v>
      </c>
      <c r="AG67" s="1081">
        <f>IF(RET="Y",IF(DA67="Y",AH67,0),0)</f>
        <v>0</v>
      </c>
      <c r="AH67" s="1081">
        <v>1</v>
      </c>
      <c r="AI67" s="1081">
        <f>IF(SCHOOLS="y",IF(DW67="y",AJ67,0),0)</f>
        <v>0</v>
      </c>
      <c r="AJ67" s="1081">
        <v>1</v>
      </c>
      <c r="AK67" s="1082">
        <f>IF(FE="y",IF(DW67="y",AL67,0),0)</f>
        <v>0</v>
      </c>
      <c r="AL67" s="1082">
        <v>1</v>
      </c>
      <c r="AM67" s="1082">
        <f>IF(HE="Y",IF(DW67="Y",AN67,0),0)</f>
        <v>0</v>
      </c>
      <c r="AN67" s="1082">
        <v>1</v>
      </c>
      <c r="AO67" s="1081">
        <f>IF(INDUSTRIAL="Y",IF(EL67="Y",AP67,0),0)</f>
        <v>0</v>
      </c>
      <c r="AP67" s="1081">
        <v>0</v>
      </c>
      <c r="AQ67" s="95"/>
      <c r="AR67" s="95"/>
      <c r="AS67" s="95"/>
      <c r="AT67" s="95"/>
      <c r="AU67" s="95"/>
      <c r="AV67" s="95"/>
      <c r="AW67" s="95"/>
      <c r="AX67" s="95"/>
      <c r="AY67" s="95"/>
      <c r="AZ67" s="95"/>
      <c r="BA67" s="95"/>
      <c r="BB67" s="95"/>
      <c r="BC67" s="95" t="e">
        <v>#REF!</v>
      </c>
      <c r="BD67" s="95"/>
      <c r="BE67" s="95" t="e">
        <f t="shared" si="18"/>
        <v>#REF!</v>
      </c>
      <c r="BF67" s="96" t="e">
        <f t="shared" si="19"/>
        <v>#REF!</v>
      </c>
      <c r="BG67" s="97"/>
      <c r="BH67" s="98">
        <v>0</v>
      </c>
      <c r="BI67" s="98"/>
      <c r="BJ67" s="98"/>
      <c r="BK67" s="98"/>
      <c r="BL67" s="111"/>
      <c r="BM67" s="98">
        <f t="shared" si="20"/>
        <v>0</v>
      </c>
      <c r="BN67" s="98" t="str">
        <f t="shared" si="21"/>
        <v>N</v>
      </c>
      <c r="BO67" s="108"/>
      <c r="BP67" s="100"/>
      <c r="BQ67" s="100">
        <f>IF(COURTSplanting="y",1,0)</f>
        <v>0</v>
      </c>
      <c r="BR67" s="100"/>
      <c r="BS67" s="100">
        <f t="shared" si="22"/>
        <v>0</v>
      </c>
      <c r="BT67" s="100" t="str">
        <f t="shared" si="23"/>
        <v>N</v>
      </c>
      <c r="BU67" s="50"/>
      <c r="BV67" s="101"/>
      <c r="BW67" s="101"/>
      <c r="BX67" s="101"/>
      <c r="BY67" s="101"/>
      <c r="BZ67" s="101"/>
      <c r="CA67" s="101"/>
      <c r="CB67" s="101"/>
      <c r="CC67" s="101"/>
      <c r="CD67" s="101">
        <f t="shared" si="24"/>
        <v>0</v>
      </c>
      <c r="CE67" s="101" t="str">
        <f t="shared" si="25"/>
        <v>N</v>
      </c>
      <c r="CF67" s="54"/>
      <c r="CG67" s="102"/>
      <c r="CH67" s="102"/>
      <c r="CI67" s="102"/>
      <c r="CJ67" s="102"/>
      <c r="CK67" s="102"/>
      <c r="CL67" s="102"/>
      <c r="CM67" s="102"/>
      <c r="CN67" s="102"/>
      <c r="CO67" s="102"/>
      <c r="CP67" s="102"/>
      <c r="CQ67" s="102"/>
      <c r="CR67" s="102"/>
      <c r="CS67" s="102"/>
      <c r="CT67" s="102"/>
      <c r="CU67" s="102"/>
      <c r="CV67" s="102"/>
      <c r="CW67" s="102"/>
      <c r="CX67" s="102"/>
      <c r="CY67" s="102" t="e">
        <v>#REF!</v>
      </c>
      <c r="CZ67" s="102" t="e">
        <f t="shared" si="26"/>
        <v>#REF!</v>
      </c>
      <c r="DA67" s="102" t="e">
        <f t="shared" si="27"/>
        <v>#REF!</v>
      </c>
      <c r="DB67" s="58"/>
      <c r="DC67" s="101"/>
      <c r="DD67" s="101"/>
      <c r="DE67" s="101"/>
      <c r="DF67" s="101"/>
      <c r="DG67" s="101"/>
      <c r="DH67" s="101"/>
      <c r="DI67" s="101"/>
      <c r="DJ67" s="101"/>
      <c r="DK67" s="101"/>
      <c r="DL67" s="101"/>
      <c r="DM67" s="101"/>
      <c r="DN67" s="101"/>
      <c r="DO67" s="101"/>
      <c r="DP67" s="101"/>
      <c r="DQ67" s="101"/>
      <c r="DR67" s="101"/>
      <c r="DS67" s="101"/>
      <c r="DT67" s="101"/>
      <c r="DU67" s="101" t="e">
        <v>#REF!</v>
      </c>
      <c r="DV67" s="101" t="e">
        <f t="shared" si="28"/>
        <v>#REF!</v>
      </c>
      <c r="DW67" s="101" t="e">
        <f t="shared" ref="DW67:DW84" si="31">IF(DV67&gt;=0.1,"Y","N")</f>
        <v>#REF!</v>
      </c>
      <c r="DX67" s="103"/>
      <c r="DY67" s="104"/>
      <c r="DZ67" s="104"/>
      <c r="EA67" s="104"/>
      <c r="EB67" s="104"/>
      <c r="EC67" s="104"/>
      <c r="ED67" s="104"/>
      <c r="EE67" s="104"/>
      <c r="EF67" s="104"/>
      <c r="EG67" s="104"/>
      <c r="EH67" s="104"/>
      <c r="EI67" s="104"/>
      <c r="EJ67" s="104"/>
      <c r="EK67" s="104">
        <f t="shared" si="29"/>
        <v>0</v>
      </c>
      <c r="EL67" s="104" t="str">
        <f t="shared" si="30"/>
        <v>N</v>
      </c>
      <c r="EM67" s="62"/>
      <c r="EN67" s="6"/>
      <c r="EO67" s="6"/>
      <c r="EP67" s="6"/>
      <c r="EQ67" s="6"/>
      <c r="ER67" s="6"/>
    </row>
    <row r="68" spans="1:148" x14ac:dyDescent="0.2">
      <c r="A68" s="1147"/>
      <c r="B68" s="1139"/>
      <c r="C68" s="1141"/>
      <c r="D68" s="1134"/>
      <c r="E68" s="1086"/>
      <c r="F68" s="1079"/>
      <c r="G68" s="1077"/>
      <c r="H68" s="1077"/>
      <c r="I68" s="1077"/>
      <c r="J68" s="1079"/>
      <c r="K68" s="1077"/>
      <c r="L68" s="181"/>
      <c r="M68" s="186"/>
      <c r="N68" s="177"/>
      <c r="O68" s="185"/>
      <c r="P68" s="173"/>
      <c r="Q68" s="173"/>
      <c r="R68" s="173"/>
      <c r="S68" s="173"/>
      <c r="T68" s="173"/>
      <c r="U68" s="173"/>
      <c r="V68" s="174"/>
      <c r="W68" s="175"/>
      <c r="X68" s="1099"/>
      <c r="Y68" s="1081"/>
      <c r="Z68" s="1081"/>
      <c r="AA68" s="1081"/>
      <c r="AB68" s="1081"/>
      <c r="AC68" s="1081"/>
      <c r="AD68" s="1081"/>
      <c r="AE68" s="1081"/>
      <c r="AF68" s="1081"/>
      <c r="AG68" s="1081"/>
      <c r="AH68" s="1081"/>
      <c r="AI68" s="1081"/>
      <c r="AJ68" s="1081"/>
      <c r="AK68" s="1082"/>
      <c r="AL68" s="1082"/>
      <c r="AM68" s="1082"/>
      <c r="AN68" s="1082"/>
      <c r="AO68" s="1081"/>
      <c r="AP68" s="1081"/>
      <c r="AQ68" s="95"/>
      <c r="AR68" s="95"/>
      <c r="AS68" s="95"/>
      <c r="AT68" s="95"/>
      <c r="AU68" s="95"/>
      <c r="AV68" s="95"/>
      <c r="AW68" s="95"/>
      <c r="AX68" s="95"/>
      <c r="AY68" s="95"/>
      <c r="AZ68" s="95"/>
      <c r="BA68" s="95"/>
      <c r="BB68" s="95"/>
      <c r="BC68" s="95" t="e">
        <v>#REF!</v>
      </c>
      <c r="BD68" s="95"/>
      <c r="BE68" s="95" t="e">
        <f t="shared" si="18"/>
        <v>#REF!</v>
      </c>
      <c r="BF68" s="96" t="e">
        <f t="shared" si="19"/>
        <v>#REF!</v>
      </c>
      <c r="BG68" s="97"/>
      <c r="BH68" s="98">
        <v>0</v>
      </c>
      <c r="BI68" s="98"/>
      <c r="BJ68" s="98"/>
      <c r="BK68" s="98"/>
      <c r="BL68" s="111"/>
      <c r="BM68" s="98">
        <f t="shared" si="20"/>
        <v>0</v>
      </c>
      <c r="BN68" s="98" t="str">
        <f t="shared" si="21"/>
        <v>N</v>
      </c>
      <c r="BO68" s="108"/>
      <c r="BP68" s="100"/>
      <c r="BQ68" s="100">
        <f>IF(COURTSplanting="y",1,0)</f>
        <v>0</v>
      </c>
      <c r="BR68" s="100"/>
      <c r="BS68" s="100">
        <f t="shared" si="22"/>
        <v>0</v>
      </c>
      <c r="BT68" s="100" t="str">
        <f t="shared" si="23"/>
        <v>N</v>
      </c>
      <c r="BU68" s="50"/>
      <c r="BV68" s="101"/>
      <c r="BW68" s="101"/>
      <c r="BX68" s="101"/>
      <c r="BY68" s="101"/>
      <c r="BZ68" s="101"/>
      <c r="CA68" s="101"/>
      <c r="CB68" s="101"/>
      <c r="CC68" s="101"/>
      <c r="CD68" s="101">
        <f t="shared" si="24"/>
        <v>0</v>
      </c>
      <c r="CE68" s="101" t="str">
        <f t="shared" si="25"/>
        <v>N</v>
      </c>
      <c r="CF68" s="54"/>
      <c r="CG68" s="102"/>
      <c r="CH68" s="102"/>
      <c r="CI68" s="102"/>
      <c r="CJ68" s="102"/>
      <c r="CK68" s="102"/>
      <c r="CL68" s="102"/>
      <c r="CM68" s="102"/>
      <c r="CN68" s="102"/>
      <c r="CO68" s="102"/>
      <c r="CP68" s="102"/>
      <c r="CQ68" s="102"/>
      <c r="CR68" s="102"/>
      <c r="CS68" s="102"/>
      <c r="CT68" s="102"/>
      <c r="CU68" s="102"/>
      <c r="CV68" s="102"/>
      <c r="CW68" s="102"/>
      <c r="CX68" s="102"/>
      <c r="CY68" s="102" t="e">
        <v>#REF!</v>
      </c>
      <c r="CZ68" s="102" t="e">
        <f t="shared" si="26"/>
        <v>#REF!</v>
      </c>
      <c r="DA68" s="102" t="e">
        <f t="shared" si="27"/>
        <v>#REF!</v>
      </c>
      <c r="DB68" s="58"/>
      <c r="DC68" s="101"/>
      <c r="DD68" s="101"/>
      <c r="DE68" s="101"/>
      <c r="DF68" s="101"/>
      <c r="DG68" s="101"/>
      <c r="DH68" s="101"/>
      <c r="DI68" s="101"/>
      <c r="DJ68" s="101"/>
      <c r="DK68" s="101"/>
      <c r="DL68" s="101"/>
      <c r="DM68" s="101"/>
      <c r="DN68" s="101"/>
      <c r="DO68" s="101"/>
      <c r="DP68" s="101"/>
      <c r="DQ68" s="101"/>
      <c r="DR68" s="101"/>
      <c r="DS68" s="101"/>
      <c r="DT68" s="101"/>
      <c r="DU68" s="101" t="e">
        <v>#REF!</v>
      </c>
      <c r="DV68" s="101" t="e">
        <f t="shared" si="28"/>
        <v>#REF!</v>
      </c>
      <c r="DW68" s="101" t="e">
        <f t="shared" si="31"/>
        <v>#REF!</v>
      </c>
      <c r="DX68" s="103"/>
      <c r="DY68" s="104"/>
      <c r="DZ68" s="104"/>
      <c r="EA68" s="104"/>
      <c r="EB68" s="104"/>
      <c r="EC68" s="104"/>
      <c r="ED68" s="104"/>
      <c r="EE68" s="104"/>
      <c r="EF68" s="104"/>
      <c r="EG68" s="104"/>
      <c r="EH68" s="104"/>
      <c r="EI68" s="104"/>
      <c r="EJ68" s="104"/>
      <c r="EK68" s="104">
        <f t="shared" si="29"/>
        <v>0</v>
      </c>
      <c r="EL68" s="104" t="str">
        <f t="shared" si="30"/>
        <v>N</v>
      </c>
      <c r="EM68" s="62"/>
      <c r="EN68" s="6"/>
      <c r="EO68" s="6"/>
      <c r="EP68" s="6"/>
      <c r="EQ68" s="6"/>
      <c r="ER68" s="6"/>
    </row>
    <row r="69" spans="1:148" ht="13.5" thickBot="1" x14ac:dyDescent="0.25">
      <c r="A69" s="1147"/>
      <c r="B69" s="1145"/>
      <c r="C69" s="1142"/>
      <c r="D69" s="1136"/>
      <c r="E69" s="1143"/>
      <c r="F69" s="1080"/>
      <c r="G69" s="1078"/>
      <c r="H69" s="1078"/>
      <c r="I69" s="1078"/>
      <c r="J69" s="1080"/>
      <c r="K69" s="1078"/>
      <c r="L69" s="180"/>
      <c r="M69" s="186"/>
      <c r="N69" s="177"/>
      <c r="O69" s="172"/>
      <c r="P69" s="173"/>
      <c r="Q69" s="173"/>
      <c r="R69" s="173"/>
      <c r="S69" s="173"/>
      <c r="T69" s="173"/>
      <c r="U69" s="173"/>
      <c r="V69" s="174"/>
      <c r="W69" s="175"/>
      <c r="X69" s="1100"/>
      <c r="Y69" s="1081"/>
      <c r="Z69" s="1081"/>
      <c r="AA69" s="1081"/>
      <c r="AB69" s="1081"/>
      <c r="AC69" s="1081"/>
      <c r="AD69" s="1081"/>
      <c r="AE69" s="1081"/>
      <c r="AF69" s="1081"/>
      <c r="AG69" s="1081"/>
      <c r="AH69" s="1081"/>
      <c r="AI69" s="1081"/>
      <c r="AJ69" s="1081"/>
      <c r="AK69" s="1082"/>
      <c r="AL69" s="1082"/>
      <c r="AM69" s="1082"/>
      <c r="AN69" s="1082"/>
      <c r="AO69" s="1081"/>
      <c r="AP69" s="1081"/>
      <c r="AQ69" s="95"/>
      <c r="AR69" s="95"/>
      <c r="AS69" s="95"/>
      <c r="AT69" s="95"/>
      <c r="AU69" s="95"/>
      <c r="AV69" s="95"/>
      <c r="AW69" s="95"/>
      <c r="AX69" s="95"/>
      <c r="AY69" s="95"/>
      <c r="AZ69" s="95"/>
      <c r="BA69" s="95"/>
      <c r="BB69" s="95"/>
      <c r="BC69" s="95" t="e">
        <v>#REF!</v>
      </c>
      <c r="BD69" s="95"/>
      <c r="BE69" s="95" t="e">
        <f t="shared" si="18"/>
        <v>#REF!</v>
      </c>
      <c r="BF69" s="96" t="e">
        <f t="shared" si="19"/>
        <v>#REF!</v>
      </c>
      <c r="BG69" s="97"/>
      <c r="BH69" s="98">
        <v>0</v>
      </c>
      <c r="BI69" s="98"/>
      <c r="BJ69" s="98"/>
      <c r="BK69" s="98"/>
      <c r="BL69" s="111"/>
      <c r="BM69" s="98">
        <f t="shared" si="20"/>
        <v>0</v>
      </c>
      <c r="BN69" s="98" t="str">
        <f t="shared" si="21"/>
        <v>N</v>
      </c>
      <c r="BO69" s="108"/>
      <c r="BP69" s="100"/>
      <c r="BQ69" s="100">
        <f>IF(COURTSplanting="y",1,0)</f>
        <v>0</v>
      </c>
      <c r="BR69" s="100"/>
      <c r="BS69" s="100">
        <f t="shared" si="22"/>
        <v>0</v>
      </c>
      <c r="BT69" s="100" t="str">
        <f t="shared" si="23"/>
        <v>N</v>
      </c>
      <c r="BU69" s="50"/>
      <c r="BV69" s="101"/>
      <c r="BW69" s="101"/>
      <c r="BX69" s="101"/>
      <c r="BY69" s="101"/>
      <c r="BZ69" s="101"/>
      <c r="CA69" s="101"/>
      <c r="CB69" s="101"/>
      <c r="CC69" s="101"/>
      <c r="CD69" s="101">
        <f t="shared" si="24"/>
        <v>0</v>
      </c>
      <c r="CE69" s="101" t="str">
        <f t="shared" si="25"/>
        <v>N</v>
      </c>
      <c r="CF69" s="54"/>
      <c r="CG69" s="102"/>
      <c r="CH69" s="102"/>
      <c r="CI69" s="102"/>
      <c r="CJ69" s="102"/>
      <c r="CK69" s="102"/>
      <c r="CL69" s="102"/>
      <c r="CM69" s="102"/>
      <c r="CN69" s="102"/>
      <c r="CO69" s="102"/>
      <c r="CP69" s="102"/>
      <c r="CQ69" s="102"/>
      <c r="CR69" s="102"/>
      <c r="CS69" s="102"/>
      <c r="CT69" s="102"/>
      <c r="CU69" s="102"/>
      <c r="CV69" s="102"/>
      <c r="CW69" s="102"/>
      <c r="CX69" s="102"/>
      <c r="CY69" s="102" t="e">
        <v>#REF!</v>
      </c>
      <c r="CZ69" s="102" t="e">
        <f t="shared" si="26"/>
        <v>#REF!</v>
      </c>
      <c r="DA69" s="102" t="e">
        <f t="shared" si="27"/>
        <v>#REF!</v>
      </c>
      <c r="DB69" s="58"/>
      <c r="DC69" s="101"/>
      <c r="DD69" s="101"/>
      <c r="DE69" s="101"/>
      <c r="DF69" s="101"/>
      <c r="DG69" s="101"/>
      <c r="DH69" s="101"/>
      <c r="DI69" s="101"/>
      <c r="DJ69" s="101"/>
      <c r="DK69" s="101"/>
      <c r="DL69" s="101"/>
      <c r="DM69" s="101"/>
      <c r="DN69" s="101"/>
      <c r="DO69" s="101"/>
      <c r="DP69" s="101"/>
      <c r="DQ69" s="101"/>
      <c r="DR69" s="101"/>
      <c r="DS69" s="101"/>
      <c r="DT69" s="101"/>
      <c r="DU69" s="101" t="e">
        <v>#REF!</v>
      </c>
      <c r="DV69" s="101" t="e">
        <f t="shared" si="28"/>
        <v>#REF!</v>
      </c>
      <c r="DW69" s="101" t="e">
        <f t="shared" si="31"/>
        <v>#REF!</v>
      </c>
      <c r="DX69" s="103"/>
      <c r="DY69" s="104"/>
      <c r="DZ69" s="104"/>
      <c r="EA69" s="104"/>
      <c r="EB69" s="104"/>
      <c r="EC69" s="104"/>
      <c r="ED69" s="104"/>
      <c r="EE69" s="104"/>
      <c r="EF69" s="104"/>
      <c r="EG69" s="104"/>
      <c r="EH69" s="104"/>
      <c r="EI69" s="104"/>
      <c r="EJ69" s="104"/>
      <c r="EK69" s="104">
        <f t="shared" si="29"/>
        <v>0</v>
      </c>
      <c r="EL69" s="104" t="str">
        <f t="shared" si="30"/>
        <v>N</v>
      </c>
      <c r="EM69" s="62"/>
      <c r="EN69" s="6"/>
      <c r="EO69" s="6"/>
      <c r="EP69" s="6"/>
      <c r="EQ69" s="6"/>
      <c r="ER69" s="6"/>
    </row>
    <row r="70" spans="1:148" x14ac:dyDescent="0.2">
      <c r="A70" s="1147"/>
      <c r="B70" s="1164" t="s">
        <v>289</v>
      </c>
      <c r="C70" s="1165" t="s">
        <v>290</v>
      </c>
      <c r="D70" s="1133"/>
      <c r="E70" s="1085"/>
      <c r="F70" s="1144"/>
      <c r="G70" s="1076" t="s">
        <v>349</v>
      </c>
      <c r="H70" s="1076" t="s">
        <v>276</v>
      </c>
      <c r="I70" s="1076"/>
      <c r="J70" s="1079">
        <v>1</v>
      </c>
      <c r="K70" s="1076"/>
      <c r="L70" s="180"/>
      <c r="M70" s="186"/>
      <c r="N70" s="177"/>
      <c r="O70" s="172"/>
      <c r="P70" s="173"/>
      <c r="Q70" s="173"/>
      <c r="R70" s="173"/>
      <c r="S70" s="173"/>
      <c r="T70" s="173"/>
      <c r="U70" s="173"/>
      <c r="V70" s="174"/>
      <c r="W70" s="175"/>
      <c r="X70" s="1197" t="s">
        <v>410</v>
      </c>
      <c r="Y70" s="116"/>
      <c r="Z70" s="116"/>
      <c r="AA70" s="116"/>
      <c r="AB70" s="116"/>
      <c r="AC70" s="116"/>
      <c r="AD70" s="116"/>
      <c r="AE70" s="116"/>
      <c r="AF70" s="116"/>
      <c r="AG70" s="116"/>
      <c r="AH70" s="116"/>
      <c r="AI70" s="116"/>
      <c r="AJ70" s="116"/>
      <c r="AK70" s="117"/>
      <c r="AL70" s="117"/>
      <c r="AM70" s="117"/>
      <c r="AN70" s="117"/>
      <c r="AO70" s="116"/>
      <c r="AP70" s="116"/>
      <c r="AQ70" s="95"/>
      <c r="AR70" s="95"/>
      <c r="AS70" s="95"/>
      <c r="AT70" s="95"/>
      <c r="AU70" s="95"/>
      <c r="AV70" s="95"/>
      <c r="AW70" s="95"/>
      <c r="AX70" s="95"/>
      <c r="AY70" s="95"/>
      <c r="AZ70" s="95"/>
      <c r="BA70" s="95"/>
      <c r="BB70" s="95"/>
      <c r="BC70" s="95"/>
      <c r="BD70" s="95"/>
      <c r="BE70" s="95"/>
      <c r="BF70" s="96"/>
      <c r="BG70" s="97"/>
      <c r="BH70" s="98"/>
      <c r="BI70" s="98"/>
      <c r="BJ70" s="98"/>
      <c r="BK70" s="98"/>
      <c r="BL70" s="111"/>
      <c r="BM70" s="98"/>
      <c r="BN70" s="98"/>
      <c r="BO70" s="108"/>
      <c r="BP70" s="100"/>
      <c r="BQ70" s="100"/>
      <c r="BR70" s="100"/>
      <c r="BS70" s="100"/>
      <c r="BT70" s="100"/>
      <c r="BU70" s="50"/>
      <c r="BV70" s="101"/>
      <c r="BW70" s="101"/>
      <c r="BX70" s="101"/>
      <c r="BY70" s="101"/>
      <c r="BZ70" s="101"/>
      <c r="CA70" s="101"/>
      <c r="CB70" s="101"/>
      <c r="CC70" s="101"/>
      <c r="CD70" s="101"/>
      <c r="CE70" s="101"/>
      <c r="CF70" s="54"/>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58"/>
      <c r="DC70" s="101"/>
      <c r="DD70" s="101"/>
      <c r="DE70" s="101"/>
      <c r="DF70" s="101"/>
      <c r="DG70" s="101"/>
      <c r="DH70" s="101"/>
      <c r="DI70" s="101"/>
      <c r="DJ70" s="101"/>
      <c r="DK70" s="101"/>
      <c r="DL70" s="101"/>
      <c r="DM70" s="101"/>
      <c r="DN70" s="101"/>
      <c r="DO70" s="101"/>
      <c r="DP70" s="101"/>
      <c r="DQ70" s="101"/>
      <c r="DR70" s="101"/>
      <c r="DS70" s="101"/>
      <c r="DT70" s="101"/>
      <c r="DU70" s="101"/>
      <c r="DV70" s="101"/>
      <c r="DW70" s="101"/>
      <c r="DX70" s="103"/>
      <c r="DY70" s="104"/>
      <c r="DZ70" s="104"/>
      <c r="EA70" s="104"/>
      <c r="EB70" s="104"/>
      <c r="EC70" s="104"/>
      <c r="ED70" s="104"/>
      <c r="EE70" s="104"/>
      <c r="EF70" s="104"/>
      <c r="EG70" s="104"/>
      <c r="EH70" s="104"/>
      <c r="EI70" s="104"/>
      <c r="EJ70" s="104"/>
      <c r="EK70" s="104"/>
      <c r="EL70" s="104"/>
      <c r="EM70" s="62"/>
      <c r="EN70" s="6"/>
      <c r="EO70" s="6"/>
      <c r="EP70" s="6"/>
      <c r="EQ70" s="6"/>
      <c r="ER70" s="6"/>
    </row>
    <row r="71" spans="1:148" x14ac:dyDescent="0.2">
      <c r="A71" s="1147"/>
      <c r="B71" s="1164"/>
      <c r="C71" s="1165"/>
      <c r="D71" s="1134"/>
      <c r="E71" s="1086"/>
      <c r="F71" s="1079"/>
      <c r="G71" s="1077"/>
      <c r="H71" s="1077"/>
      <c r="I71" s="1077"/>
      <c r="J71" s="1079"/>
      <c r="K71" s="1077"/>
      <c r="L71" s="181"/>
      <c r="M71" s="186"/>
      <c r="N71" s="177"/>
      <c r="O71" s="185"/>
      <c r="P71" s="173"/>
      <c r="Q71" s="173"/>
      <c r="R71" s="173"/>
      <c r="S71" s="173"/>
      <c r="T71" s="173"/>
      <c r="U71" s="173"/>
      <c r="V71" s="174"/>
      <c r="W71" s="175"/>
      <c r="X71" s="1198"/>
      <c r="Y71" s="116"/>
      <c r="Z71" s="116"/>
      <c r="AA71" s="116"/>
      <c r="AB71" s="116"/>
      <c r="AC71" s="116"/>
      <c r="AD71" s="116"/>
      <c r="AE71" s="116"/>
      <c r="AF71" s="116"/>
      <c r="AG71" s="116"/>
      <c r="AH71" s="116"/>
      <c r="AI71" s="116"/>
      <c r="AJ71" s="116"/>
      <c r="AK71" s="117"/>
      <c r="AL71" s="117"/>
      <c r="AM71" s="117"/>
      <c r="AN71" s="117"/>
      <c r="AO71" s="116"/>
      <c r="AP71" s="116"/>
      <c r="AQ71" s="95"/>
      <c r="AR71" s="95"/>
      <c r="AS71" s="95"/>
      <c r="AT71" s="95"/>
      <c r="AU71" s="95"/>
      <c r="AV71" s="95"/>
      <c r="AW71" s="95"/>
      <c r="AX71" s="95"/>
      <c r="AY71" s="95"/>
      <c r="AZ71" s="95"/>
      <c r="BA71" s="95"/>
      <c r="BB71" s="95"/>
      <c r="BC71" s="95"/>
      <c r="BD71" s="95"/>
      <c r="BE71" s="95"/>
      <c r="BF71" s="96"/>
      <c r="BG71" s="97"/>
      <c r="BH71" s="98"/>
      <c r="BI71" s="98"/>
      <c r="BJ71" s="98"/>
      <c r="BK71" s="98"/>
      <c r="BL71" s="111"/>
      <c r="BM71" s="98"/>
      <c r="BN71" s="98"/>
      <c r="BO71" s="108"/>
      <c r="BP71" s="100"/>
      <c r="BQ71" s="100"/>
      <c r="BR71" s="100"/>
      <c r="BS71" s="100"/>
      <c r="BT71" s="100"/>
      <c r="BU71" s="50"/>
      <c r="BV71" s="101"/>
      <c r="BW71" s="101"/>
      <c r="BX71" s="101"/>
      <c r="BY71" s="101"/>
      <c r="BZ71" s="101"/>
      <c r="CA71" s="101"/>
      <c r="CB71" s="101"/>
      <c r="CC71" s="101"/>
      <c r="CD71" s="101"/>
      <c r="CE71" s="101"/>
      <c r="CF71" s="54"/>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58"/>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3"/>
      <c r="DY71" s="104"/>
      <c r="DZ71" s="104"/>
      <c r="EA71" s="104"/>
      <c r="EB71" s="104"/>
      <c r="EC71" s="104"/>
      <c r="ED71" s="104"/>
      <c r="EE71" s="104"/>
      <c r="EF71" s="104"/>
      <c r="EG71" s="104"/>
      <c r="EH71" s="104"/>
      <c r="EI71" s="104"/>
      <c r="EJ71" s="104"/>
      <c r="EK71" s="104"/>
      <c r="EL71" s="104"/>
      <c r="EM71" s="62"/>
      <c r="EN71" s="6"/>
      <c r="EO71" s="6"/>
      <c r="EP71" s="6"/>
      <c r="EQ71" s="6"/>
      <c r="ER71" s="6"/>
    </row>
    <row r="72" spans="1:148" ht="13.5" thickBot="1" x14ac:dyDescent="0.25">
      <c r="A72" s="1147"/>
      <c r="B72" s="1138"/>
      <c r="C72" s="1140"/>
      <c r="D72" s="1134"/>
      <c r="E72" s="1143"/>
      <c r="F72" s="1080"/>
      <c r="G72" s="1078"/>
      <c r="H72" s="1078"/>
      <c r="I72" s="1078"/>
      <c r="J72" s="1080"/>
      <c r="K72" s="1078"/>
      <c r="L72" s="187"/>
      <c r="M72" s="186"/>
      <c r="N72" s="177"/>
      <c r="O72" s="172"/>
      <c r="P72" s="173"/>
      <c r="Q72" s="173"/>
      <c r="R72" s="173"/>
      <c r="S72" s="173"/>
      <c r="T72" s="173"/>
      <c r="U72" s="173"/>
      <c r="V72" s="174"/>
      <c r="W72" s="175"/>
      <c r="X72" s="1199"/>
      <c r="Y72" s="116"/>
      <c r="Z72" s="116"/>
      <c r="AA72" s="116"/>
      <c r="AB72" s="116"/>
      <c r="AC72" s="116"/>
      <c r="AD72" s="116"/>
      <c r="AE72" s="116"/>
      <c r="AF72" s="116"/>
      <c r="AG72" s="116"/>
      <c r="AH72" s="116"/>
      <c r="AI72" s="116"/>
      <c r="AJ72" s="116"/>
      <c r="AK72" s="117"/>
      <c r="AL72" s="117"/>
      <c r="AM72" s="117"/>
      <c r="AN72" s="117"/>
      <c r="AO72" s="116"/>
      <c r="AP72" s="116"/>
      <c r="AQ72" s="95"/>
      <c r="AR72" s="95"/>
      <c r="AS72" s="95"/>
      <c r="AT72" s="95"/>
      <c r="AU72" s="95"/>
      <c r="AV72" s="95"/>
      <c r="AW72" s="95"/>
      <c r="AX72" s="95"/>
      <c r="AY72" s="95"/>
      <c r="AZ72" s="95"/>
      <c r="BA72" s="95"/>
      <c r="BB72" s="95"/>
      <c r="BC72" s="95"/>
      <c r="BD72" s="95"/>
      <c r="BE72" s="95"/>
      <c r="BF72" s="96"/>
      <c r="BG72" s="97"/>
      <c r="BH72" s="98"/>
      <c r="BI72" s="98"/>
      <c r="BJ72" s="98"/>
      <c r="BK72" s="98"/>
      <c r="BL72" s="111"/>
      <c r="BM72" s="98"/>
      <c r="BN72" s="98"/>
      <c r="BO72" s="108"/>
      <c r="BP72" s="100"/>
      <c r="BQ72" s="100"/>
      <c r="BR72" s="100"/>
      <c r="BS72" s="100"/>
      <c r="BT72" s="100"/>
      <c r="BU72" s="50"/>
      <c r="BV72" s="101"/>
      <c r="BW72" s="101"/>
      <c r="BX72" s="101"/>
      <c r="BY72" s="101"/>
      <c r="BZ72" s="101"/>
      <c r="CA72" s="101"/>
      <c r="CB72" s="101"/>
      <c r="CC72" s="101"/>
      <c r="CD72" s="101"/>
      <c r="CE72" s="101"/>
      <c r="CF72" s="54"/>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58"/>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3"/>
      <c r="DY72" s="104"/>
      <c r="DZ72" s="104"/>
      <c r="EA72" s="104"/>
      <c r="EB72" s="104"/>
      <c r="EC72" s="104"/>
      <c r="ED72" s="104"/>
      <c r="EE72" s="104"/>
      <c r="EF72" s="104"/>
      <c r="EG72" s="104"/>
      <c r="EH72" s="104"/>
      <c r="EI72" s="104"/>
      <c r="EJ72" s="104"/>
      <c r="EK72" s="104"/>
      <c r="EL72" s="104"/>
      <c r="EM72" s="62"/>
      <c r="EN72" s="6"/>
      <c r="EO72" s="6"/>
      <c r="EP72" s="6"/>
      <c r="EQ72" s="6"/>
      <c r="ER72" s="6"/>
    </row>
    <row r="73" spans="1:148" x14ac:dyDescent="0.2">
      <c r="A73" s="1147"/>
      <c r="B73" s="1149" t="s">
        <v>242</v>
      </c>
      <c r="C73" s="1152" t="s">
        <v>241</v>
      </c>
      <c r="D73" s="140"/>
      <c r="E73" s="1085"/>
      <c r="F73" s="1144"/>
      <c r="G73" s="1076" t="s">
        <v>347</v>
      </c>
      <c r="H73" s="1076" t="s">
        <v>341</v>
      </c>
      <c r="I73" s="1076"/>
      <c r="J73" s="1079">
        <f>Y73+AA73+AC73+AE73+AG73+AI73+AK73+AM73+AO73</f>
        <v>3</v>
      </c>
      <c r="K73" s="1076"/>
      <c r="L73" s="181"/>
      <c r="M73" s="186"/>
      <c r="N73" s="177"/>
      <c r="O73" s="172"/>
      <c r="P73" s="173"/>
      <c r="Q73" s="182"/>
      <c r="R73" s="173"/>
      <c r="S73" s="173"/>
      <c r="T73" s="173"/>
      <c r="U73" s="173"/>
      <c r="V73" s="174"/>
      <c r="W73" s="175"/>
      <c r="X73" s="1098" t="s">
        <v>411</v>
      </c>
      <c r="Y73" s="1081">
        <f>IF(HC="Y",IF(BF73="Y",Z73,0),0)</f>
        <v>0</v>
      </c>
      <c r="Z73" s="1081">
        <v>3</v>
      </c>
      <c r="AA73" s="1081">
        <f>IF(OFF="Y",IF(BN73="Y",AB73,0),0)</f>
        <v>3</v>
      </c>
      <c r="AB73" s="1081">
        <v>3</v>
      </c>
      <c r="AC73" s="1081">
        <f>IF(COURTS="Y",IF(BT73="Y",AD73,0),0)</f>
        <v>0</v>
      </c>
      <c r="AD73" s="1081">
        <v>3</v>
      </c>
      <c r="AE73" s="1081">
        <f>IF(PRISONS="Y",IF(CE73="Y",AF73,0),0)</f>
        <v>0</v>
      </c>
      <c r="AF73" s="1081">
        <v>4</v>
      </c>
      <c r="AG73" s="1081">
        <f>IF(RET="Y",IF(DA73="Y",AH73,0),0)</f>
        <v>0</v>
      </c>
      <c r="AH73" s="1081">
        <v>3</v>
      </c>
      <c r="AI73" s="1081">
        <f>IF(SCHOOLS="y",IF(DW73="y",AJ73,0),0)</f>
        <v>0</v>
      </c>
      <c r="AJ73" s="1081">
        <v>3</v>
      </c>
      <c r="AK73" s="1082">
        <f>IF(FE="y",IF(DW73="y",AL73,0),0)</f>
        <v>0</v>
      </c>
      <c r="AL73" s="1082">
        <v>3</v>
      </c>
      <c r="AM73" s="1082">
        <f>IF(HE="Y",IF(DW73="Y",AN73,0),0)</f>
        <v>0</v>
      </c>
      <c r="AN73" s="1082">
        <v>3</v>
      </c>
      <c r="AO73" s="1081">
        <f>IF(INDUSTRIAL="Y",IF(EL73="Y",AP73,0),0)</f>
        <v>0</v>
      </c>
      <c r="AP73" s="1081">
        <v>3</v>
      </c>
      <c r="AQ73" s="95">
        <v>1</v>
      </c>
      <c r="AR73" s="95"/>
      <c r="AS73" s="95"/>
      <c r="AT73" s="95"/>
      <c r="AU73" s="95"/>
      <c r="AV73" s="95"/>
      <c r="AW73" s="95"/>
      <c r="AX73" s="95"/>
      <c r="AY73" s="95"/>
      <c r="AZ73" s="95"/>
      <c r="BA73" s="95"/>
      <c r="BB73" s="95"/>
      <c r="BC73" s="95"/>
      <c r="BD73" s="95"/>
      <c r="BE73" s="95">
        <f t="shared" si="18"/>
        <v>1</v>
      </c>
      <c r="BF73" s="96" t="str">
        <f t="shared" si="19"/>
        <v>Y</v>
      </c>
      <c r="BG73" s="97"/>
      <c r="BH73" s="98">
        <v>1</v>
      </c>
      <c r="BI73" s="98"/>
      <c r="BJ73" s="98"/>
      <c r="BK73" s="98"/>
      <c r="BL73" s="111"/>
      <c r="BM73" s="98">
        <f t="shared" si="20"/>
        <v>1</v>
      </c>
      <c r="BN73" s="98" t="str">
        <f t="shared" si="21"/>
        <v>Y</v>
      </c>
      <c r="BO73" s="108"/>
      <c r="BP73" s="100">
        <v>1</v>
      </c>
      <c r="BQ73" s="100"/>
      <c r="BR73" s="100"/>
      <c r="BS73" s="100">
        <f t="shared" si="22"/>
        <v>1</v>
      </c>
      <c r="BT73" s="100" t="str">
        <f t="shared" si="23"/>
        <v>Y</v>
      </c>
      <c r="BU73" s="50"/>
      <c r="BV73" s="101">
        <v>1</v>
      </c>
      <c r="BW73" s="101"/>
      <c r="BX73" s="101"/>
      <c r="BY73" s="101"/>
      <c r="BZ73" s="101"/>
      <c r="CA73" s="101"/>
      <c r="CB73" s="101"/>
      <c r="CC73" s="101"/>
      <c r="CD73" s="101">
        <f t="shared" si="24"/>
        <v>1</v>
      </c>
      <c r="CE73" s="101" t="str">
        <f t="shared" si="25"/>
        <v>Y</v>
      </c>
      <c r="CF73" s="54"/>
      <c r="CG73" s="102">
        <v>1</v>
      </c>
      <c r="CH73" s="102"/>
      <c r="CI73" s="102"/>
      <c r="CJ73" s="102"/>
      <c r="CK73" s="102"/>
      <c r="CL73" s="102"/>
      <c r="CM73" s="102"/>
      <c r="CN73" s="102"/>
      <c r="CO73" s="102"/>
      <c r="CP73" s="102"/>
      <c r="CQ73" s="102"/>
      <c r="CR73" s="102"/>
      <c r="CS73" s="102"/>
      <c r="CT73" s="102"/>
      <c r="CU73" s="102"/>
      <c r="CV73" s="102"/>
      <c r="CW73" s="102"/>
      <c r="CX73" s="102"/>
      <c r="CY73" s="102"/>
      <c r="CZ73" s="102">
        <f t="shared" si="26"/>
        <v>1</v>
      </c>
      <c r="DA73" s="102" t="str">
        <f t="shared" si="27"/>
        <v>Y</v>
      </c>
      <c r="DB73" s="58"/>
      <c r="DC73" s="101">
        <v>1</v>
      </c>
      <c r="DD73" s="101"/>
      <c r="DE73" s="101"/>
      <c r="DF73" s="101"/>
      <c r="DG73" s="101"/>
      <c r="DH73" s="101"/>
      <c r="DI73" s="101"/>
      <c r="DJ73" s="101"/>
      <c r="DK73" s="101"/>
      <c r="DL73" s="101"/>
      <c r="DM73" s="101"/>
      <c r="DN73" s="101"/>
      <c r="DO73" s="101"/>
      <c r="DP73" s="101"/>
      <c r="DQ73" s="101"/>
      <c r="DR73" s="101"/>
      <c r="DS73" s="101"/>
      <c r="DT73" s="101"/>
      <c r="DU73" s="101"/>
      <c r="DV73" s="101">
        <f t="shared" si="28"/>
        <v>1</v>
      </c>
      <c r="DW73" s="101" t="str">
        <f t="shared" si="31"/>
        <v>Y</v>
      </c>
      <c r="DX73" s="103"/>
      <c r="DY73" s="104">
        <v>1</v>
      </c>
      <c r="DZ73" s="104"/>
      <c r="EA73" s="104"/>
      <c r="EB73" s="104"/>
      <c r="EC73" s="104"/>
      <c r="ED73" s="104"/>
      <c r="EE73" s="104"/>
      <c r="EF73" s="104"/>
      <c r="EG73" s="104"/>
      <c r="EH73" s="104"/>
      <c r="EI73" s="104"/>
      <c r="EJ73" s="104"/>
      <c r="EK73" s="104">
        <f t="shared" si="29"/>
        <v>1</v>
      </c>
      <c r="EL73" s="104" t="str">
        <f t="shared" si="30"/>
        <v>Y</v>
      </c>
      <c r="EM73" s="62"/>
      <c r="EN73" s="6"/>
      <c r="EO73" s="6"/>
      <c r="EP73" s="6"/>
      <c r="EQ73" s="6"/>
      <c r="ER73" s="6"/>
    </row>
    <row r="74" spans="1:148" x14ac:dyDescent="0.2">
      <c r="A74" s="1147"/>
      <c r="B74" s="1150"/>
      <c r="C74" s="1153"/>
      <c r="D74" s="141"/>
      <c r="E74" s="1086"/>
      <c r="F74" s="1079"/>
      <c r="G74" s="1077"/>
      <c r="H74" s="1077"/>
      <c r="I74" s="1077"/>
      <c r="J74" s="1079"/>
      <c r="K74" s="1077"/>
      <c r="L74" s="181"/>
      <c r="M74" s="186"/>
      <c r="N74" s="177"/>
      <c r="O74" s="172"/>
      <c r="P74" s="173"/>
      <c r="Q74" s="182"/>
      <c r="R74" s="173"/>
      <c r="S74" s="173"/>
      <c r="T74" s="173"/>
      <c r="U74" s="173"/>
      <c r="V74" s="174"/>
      <c r="W74" s="175"/>
      <c r="X74" s="1099"/>
      <c r="Y74" s="1081"/>
      <c r="Z74" s="1081"/>
      <c r="AA74" s="1081"/>
      <c r="AB74" s="1081"/>
      <c r="AC74" s="1081"/>
      <c r="AD74" s="1081"/>
      <c r="AE74" s="1081"/>
      <c r="AF74" s="1081"/>
      <c r="AG74" s="1081"/>
      <c r="AH74" s="1081"/>
      <c r="AI74" s="1081"/>
      <c r="AJ74" s="1081"/>
      <c r="AK74" s="1082"/>
      <c r="AL74" s="1082"/>
      <c r="AM74" s="1082"/>
      <c r="AN74" s="1082"/>
      <c r="AO74" s="1081"/>
      <c r="AP74" s="1081"/>
      <c r="AQ74" s="95">
        <v>1</v>
      </c>
      <c r="AR74" s="95"/>
      <c r="AS74" s="95"/>
      <c r="AT74" s="95"/>
      <c r="AU74" s="95"/>
      <c r="AV74" s="95"/>
      <c r="AW74" s="95"/>
      <c r="AX74" s="95"/>
      <c r="AY74" s="95"/>
      <c r="AZ74" s="95"/>
      <c r="BA74" s="95"/>
      <c r="BB74" s="95"/>
      <c r="BC74" s="95"/>
      <c r="BD74" s="95"/>
      <c r="BE74" s="95">
        <f t="shared" si="18"/>
        <v>1</v>
      </c>
      <c r="BF74" s="96" t="str">
        <f t="shared" si="19"/>
        <v>Y</v>
      </c>
      <c r="BG74" s="97"/>
      <c r="BH74" s="98">
        <v>1</v>
      </c>
      <c r="BI74" s="98"/>
      <c r="BJ74" s="98"/>
      <c r="BK74" s="98"/>
      <c r="BL74" s="111"/>
      <c r="BM74" s="98">
        <f t="shared" si="20"/>
        <v>1</v>
      </c>
      <c r="BN74" s="98" t="str">
        <f t="shared" si="21"/>
        <v>Y</v>
      </c>
      <c r="BO74" s="108"/>
      <c r="BP74" s="100">
        <v>1</v>
      </c>
      <c r="BQ74" s="100"/>
      <c r="BR74" s="100"/>
      <c r="BS74" s="100">
        <f t="shared" si="22"/>
        <v>1</v>
      </c>
      <c r="BT74" s="100" t="str">
        <f t="shared" si="23"/>
        <v>Y</v>
      </c>
      <c r="BU74" s="50"/>
      <c r="BV74" s="101">
        <v>1</v>
      </c>
      <c r="BW74" s="101"/>
      <c r="BX74" s="101"/>
      <c r="BY74" s="101"/>
      <c r="BZ74" s="101"/>
      <c r="CA74" s="101"/>
      <c r="CB74" s="101"/>
      <c r="CC74" s="101"/>
      <c r="CD74" s="101">
        <f t="shared" si="24"/>
        <v>1</v>
      </c>
      <c r="CE74" s="101" t="str">
        <f t="shared" si="25"/>
        <v>Y</v>
      </c>
      <c r="CF74" s="54"/>
      <c r="CG74" s="102">
        <v>1</v>
      </c>
      <c r="CH74" s="102"/>
      <c r="CI74" s="102"/>
      <c r="CJ74" s="102"/>
      <c r="CK74" s="102"/>
      <c r="CL74" s="102"/>
      <c r="CM74" s="102"/>
      <c r="CN74" s="102"/>
      <c r="CO74" s="102"/>
      <c r="CP74" s="102"/>
      <c r="CQ74" s="102"/>
      <c r="CR74" s="102"/>
      <c r="CS74" s="102"/>
      <c r="CT74" s="102"/>
      <c r="CU74" s="102"/>
      <c r="CV74" s="102"/>
      <c r="CW74" s="102"/>
      <c r="CX74" s="102"/>
      <c r="CY74" s="102"/>
      <c r="CZ74" s="102">
        <f t="shared" si="26"/>
        <v>1</v>
      </c>
      <c r="DA74" s="102" t="str">
        <f t="shared" si="27"/>
        <v>Y</v>
      </c>
      <c r="DB74" s="58"/>
      <c r="DC74" s="101">
        <v>1</v>
      </c>
      <c r="DD74" s="101"/>
      <c r="DE74" s="101"/>
      <c r="DF74" s="101"/>
      <c r="DG74" s="101"/>
      <c r="DH74" s="101"/>
      <c r="DI74" s="101"/>
      <c r="DJ74" s="101"/>
      <c r="DK74" s="101"/>
      <c r="DL74" s="101"/>
      <c r="DM74" s="101"/>
      <c r="DN74" s="101"/>
      <c r="DO74" s="101"/>
      <c r="DP74" s="101"/>
      <c r="DQ74" s="101"/>
      <c r="DR74" s="101"/>
      <c r="DS74" s="101"/>
      <c r="DT74" s="101"/>
      <c r="DU74" s="101"/>
      <c r="DV74" s="101">
        <f t="shared" si="28"/>
        <v>1</v>
      </c>
      <c r="DW74" s="101" t="str">
        <f t="shared" si="31"/>
        <v>Y</v>
      </c>
      <c r="DX74" s="103"/>
      <c r="DY74" s="104">
        <v>1</v>
      </c>
      <c r="DZ74" s="104"/>
      <c r="EA74" s="104"/>
      <c r="EB74" s="104"/>
      <c r="EC74" s="104"/>
      <c r="ED74" s="104"/>
      <c r="EE74" s="104"/>
      <c r="EF74" s="104"/>
      <c r="EG74" s="104"/>
      <c r="EH74" s="104"/>
      <c r="EI74" s="104"/>
      <c r="EJ74" s="104"/>
      <c r="EK74" s="104">
        <f t="shared" si="29"/>
        <v>1</v>
      </c>
      <c r="EL74" s="104" t="str">
        <f t="shared" si="30"/>
        <v>Y</v>
      </c>
      <c r="EM74" s="62"/>
      <c r="EN74" s="6"/>
      <c r="EO74" s="6"/>
      <c r="EP74" s="6"/>
      <c r="EQ74" s="6"/>
      <c r="ER74" s="6"/>
    </row>
    <row r="75" spans="1:148" ht="13.5" thickBot="1" x14ac:dyDescent="0.25">
      <c r="A75" s="1148"/>
      <c r="B75" s="1151"/>
      <c r="C75" s="1154"/>
      <c r="D75" s="142"/>
      <c r="E75" s="1143"/>
      <c r="F75" s="1080"/>
      <c r="G75" s="1078"/>
      <c r="H75" s="1078"/>
      <c r="I75" s="1078"/>
      <c r="J75" s="1080"/>
      <c r="K75" s="1078"/>
      <c r="L75" s="176"/>
      <c r="M75" s="186"/>
      <c r="N75" s="177"/>
      <c r="O75" s="172"/>
      <c r="P75" s="173"/>
      <c r="Q75" s="173"/>
      <c r="R75" s="173"/>
      <c r="S75" s="173"/>
      <c r="T75" s="173"/>
      <c r="U75" s="173"/>
      <c r="V75" s="174"/>
      <c r="W75" s="175"/>
      <c r="X75" s="1100"/>
      <c r="Y75" s="1081"/>
      <c r="Z75" s="1081"/>
      <c r="AA75" s="1081"/>
      <c r="AB75" s="1081"/>
      <c r="AC75" s="1081"/>
      <c r="AD75" s="1081"/>
      <c r="AE75" s="1081"/>
      <c r="AF75" s="1081"/>
      <c r="AG75" s="1081"/>
      <c r="AH75" s="1081"/>
      <c r="AI75" s="1081"/>
      <c r="AJ75" s="1081"/>
      <c r="AK75" s="1082"/>
      <c r="AL75" s="1082"/>
      <c r="AM75" s="1082"/>
      <c r="AN75" s="1082"/>
      <c r="AO75" s="1081"/>
      <c r="AP75" s="1081"/>
      <c r="AQ75" s="95">
        <v>1</v>
      </c>
      <c r="AR75" s="95"/>
      <c r="AS75" s="95"/>
      <c r="AT75" s="95"/>
      <c r="AU75" s="95"/>
      <c r="AV75" s="95"/>
      <c r="AW75" s="95"/>
      <c r="AX75" s="95"/>
      <c r="AY75" s="95"/>
      <c r="AZ75" s="95"/>
      <c r="BA75" s="95"/>
      <c r="BB75" s="95"/>
      <c r="BC75" s="95"/>
      <c r="BD75" s="95"/>
      <c r="BE75" s="95">
        <f t="shared" si="18"/>
        <v>1</v>
      </c>
      <c r="BF75" s="96" t="str">
        <f t="shared" si="19"/>
        <v>Y</v>
      </c>
      <c r="BG75" s="97"/>
      <c r="BH75" s="98">
        <v>1</v>
      </c>
      <c r="BI75" s="98"/>
      <c r="BJ75" s="98"/>
      <c r="BK75" s="98"/>
      <c r="BL75" s="111"/>
      <c r="BM75" s="98">
        <f t="shared" si="20"/>
        <v>1</v>
      </c>
      <c r="BN75" s="98" t="str">
        <f t="shared" si="21"/>
        <v>Y</v>
      </c>
      <c r="BO75" s="108"/>
      <c r="BP75" s="100">
        <v>1</v>
      </c>
      <c r="BQ75" s="100"/>
      <c r="BR75" s="100"/>
      <c r="BS75" s="100">
        <f t="shared" si="22"/>
        <v>1</v>
      </c>
      <c r="BT75" s="100" t="str">
        <f t="shared" si="23"/>
        <v>Y</v>
      </c>
      <c r="BU75" s="50"/>
      <c r="BV75" s="101">
        <v>1</v>
      </c>
      <c r="BW75" s="101"/>
      <c r="BX75" s="101"/>
      <c r="BY75" s="101"/>
      <c r="BZ75" s="101"/>
      <c r="CA75" s="101"/>
      <c r="CB75" s="101"/>
      <c r="CC75" s="101"/>
      <c r="CD75" s="101">
        <f t="shared" si="24"/>
        <v>1</v>
      </c>
      <c r="CE75" s="101" t="str">
        <f t="shared" si="25"/>
        <v>Y</v>
      </c>
      <c r="CF75" s="54"/>
      <c r="CG75" s="102">
        <v>1</v>
      </c>
      <c r="CH75" s="102"/>
      <c r="CI75" s="102"/>
      <c r="CJ75" s="102"/>
      <c r="CK75" s="102"/>
      <c r="CL75" s="102"/>
      <c r="CM75" s="102"/>
      <c r="CN75" s="102"/>
      <c r="CO75" s="102"/>
      <c r="CP75" s="102"/>
      <c r="CQ75" s="102"/>
      <c r="CR75" s="102"/>
      <c r="CS75" s="102"/>
      <c r="CT75" s="102"/>
      <c r="CU75" s="102"/>
      <c r="CV75" s="102"/>
      <c r="CW75" s="102"/>
      <c r="CX75" s="102"/>
      <c r="CY75" s="102"/>
      <c r="CZ75" s="102">
        <f t="shared" si="26"/>
        <v>1</v>
      </c>
      <c r="DA75" s="102" t="str">
        <f t="shared" si="27"/>
        <v>Y</v>
      </c>
      <c r="DB75" s="58"/>
      <c r="DC75" s="101">
        <v>1</v>
      </c>
      <c r="DD75" s="101"/>
      <c r="DE75" s="101"/>
      <c r="DF75" s="101"/>
      <c r="DG75" s="101"/>
      <c r="DH75" s="101"/>
      <c r="DI75" s="101"/>
      <c r="DJ75" s="101"/>
      <c r="DK75" s="101"/>
      <c r="DL75" s="101"/>
      <c r="DM75" s="101"/>
      <c r="DN75" s="101"/>
      <c r="DO75" s="101"/>
      <c r="DP75" s="101"/>
      <c r="DQ75" s="101"/>
      <c r="DR75" s="101"/>
      <c r="DS75" s="101"/>
      <c r="DT75" s="101"/>
      <c r="DU75" s="101"/>
      <c r="DV75" s="101">
        <f t="shared" si="28"/>
        <v>1</v>
      </c>
      <c r="DW75" s="101" t="str">
        <f t="shared" si="31"/>
        <v>Y</v>
      </c>
      <c r="DX75" s="103"/>
      <c r="DY75" s="104">
        <v>1</v>
      </c>
      <c r="DZ75" s="104"/>
      <c r="EA75" s="104"/>
      <c r="EB75" s="104"/>
      <c r="EC75" s="104"/>
      <c r="ED75" s="104"/>
      <c r="EE75" s="104"/>
      <c r="EF75" s="104"/>
      <c r="EG75" s="104"/>
      <c r="EH75" s="104"/>
      <c r="EI75" s="104"/>
      <c r="EJ75" s="104"/>
      <c r="EK75" s="104">
        <f t="shared" si="29"/>
        <v>1</v>
      </c>
      <c r="EL75" s="104" t="str">
        <f t="shared" si="30"/>
        <v>Y</v>
      </c>
      <c r="EM75" s="62"/>
      <c r="EN75" s="6"/>
      <c r="EO75" s="6"/>
      <c r="EP75" s="6"/>
      <c r="EQ75" s="6"/>
      <c r="ER75" s="6"/>
    </row>
    <row r="76" spans="1:148" x14ac:dyDescent="0.2">
      <c r="A76" s="1146" t="s">
        <v>240</v>
      </c>
      <c r="B76" s="1139" t="s">
        <v>239</v>
      </c>
      <c r="C76" s="1141" t="s">
        <v>238</v>
      </c>
      <c r="D76" s="1158" t="s">
        <v>179</v>
      </c>
      <c r="E76" s="1085"/>
      <c r="F76" s="1144"/>
      <c r="G76" s="1076" t="s">
        <v>347</v>
      </c>
      <c r="H76" s="1076" t="s">
        <v>283</v>
      </c>
      <c r="I76" s="1076"/>
      <c r="J76" s="1079">
        <f>Y76+AA76+AC76+AE76+AG76+AI76+AK76+AM76+AO76</f>
        <v>2</v>
      </c>
      <c r="K76" s="1076"/>
      <c r="L76" s="180"/>
      <c r="M76" s="186"/>
      <c r="N76" s="177"/>
      <c r="O76" s="172"/>
      <c r="P76" s="173"/>
      <c r="Q76" s="173"/>
      <c r="R76" s="173"/>
      <c r="S76" s="173"/>
      <c r="T76" s="173"/>
      <c r="U76" s="173"/>
      <c r="V76" s="174"/>
      <c r="W76" s="175"/>
      <c r="X76" s="1098" t="s">
        <v>412</v>
      </c>
      <c r="Y76" s="1081">
        <f>IF(HC="Y",IF(BF76="Y",Z76,0),0)</f>
        <v>0</v>
      </c>
      <c r="Z76" s="1081">
        <v>2</v>
      </c>
      <c r="AA76" s="1081">
        <f>IF(OFF="Y",IF(BN76="Y",AB76,0),0)</f>
        <v>2</v>
      </c>
      <c r="AB76" s="1081">
        <v>2</v>
      </c>
      <c r="AC76" s="1081">
        <f>IF(COURTS="Y",IF(BT76="Y",AD76,0),0)</f>
        <v>0</v>
      </c>
      <c r="AD76" s="1081">
        <v>2</v>
      </c>
      <c r="AE76" s="1081">
        <f>IF(PRISONS="Y",IF(CE76="Y",AF76,0),0)</f>
        <v>0</v>
      </c>
      <c r="AF76" s="1081">
        <v>1</v>
      </c>
      <c r="AG76" s="1081">
        <f>IF(RET="Y",IF(DA76="Y",AH76,0),0)</f>
        <v>0</v>
      </c>
      <c r="AH76" s="1081">
        <v>2</v>
      </c>
      <c r="AI76" s="1081">
        <f>IF(SCHOOLS="y",IF(DW76="y",AJ76,0),0)</f>
        <v>0</v>
      </c>
      <c r="AJ76" s="1081">
        <v>2</v>
      </c>
      <c r="AK76" s="1082">
        <f>IF(FE="y",IF(DW76="y",AL76,0),0)</f>
        <v>0</v>
      </c>
      <c r="AL76" s="1082">
        <v>2</v>
      </c>
      <c r="AM76" s="1082">
        <f>IF(HE="Y",IF(DW76="Y",AN76,0),0)</f>
        <v>0</v>
      </c>
      <c r="AN76" s="1082">
        <v>2</v>
      </c>
      <c r="AO76" s="1081">
        <f>IF(INDUSTRIAL="Y",IF(EL76="Y",AP76,0),0)</f>
        <v>0</v>
      </c>
      <c r="AP76" s="1081">
        <v>2</v>
      </c>
      <c r="AQ76" s="95">
        <v>1</v>
      </c>
      <c r="AR76" s="95"/>
      <c r="AS76" s="95"/>
      <c r="AT76" s="95"/>
      <c r="AU76" s="95"/>
      <c r="AV76" s="95"/>
      <c r="AW76" s="95"/>
      <c r="AX76" s="95"/>
      <c r="AY76" s="95"/>
      <c r="AZ76" s="95"/>
      <c r="BA76" s="95"/>
      <c r="BB76" s="95"/>
      <c r="BC76" s="95"/>
      <c r="BD76" s="95"/>
      <c r="BE76" s="95">
        <f t="shared" si="18"/>
        <v>1</v>
      </c>
      <c r="BF76" s="96" t="str">
        <f t="shared" si="19"/>
        <v>Y</v>
      </c>
      <c r="BG76" s="97"/>
      <c r="BH76" s="98">
        <v>1</v>
      </c>
      <c r="BI76" s="98"/>
      <c r="BJ76" s="98"/>
      <c r="BK76" s="98"/>
      <c r="BL76" s="111"/>
      <c r="BM76" s="98">
        <f t="shared" si="20"/>
        <v>1</v>
      </c>
      <c r="BN76" s="98" t="str">
        <f t="shared" si="21"/>
        <v>Y</v>
      </c>
      <c r="BO76" s="108"/>
      <c r="BP76" s="100">
        <v>1</v>
      </c>
      <c r="BQ76" s="100"/>
      <c r="BR76" s="100"/>
      <c r="BS76" s="100">
        <f t="shared" si="22"/>
        <v>1</v>
      </c>
      <c r="BT76" s="100" t="str">
        <f t="shared" si="23"/>
        <v>Y</v>
      </c>
      <c r="BU76" s="50"/>
      <c r="BV76" s="101">
        <v>1</v>
      </c>
      <c r="BW76" s="101"/>
      <c r="BX76" s="101"/>
      <c r="BY76" s="101"/>
      <c r="BZ76" s="101"/>
      <c r="CA76" s="101"/>
      <c r="CB76" s="101"/>
      <c r="CC76" s="101"/>
      <c r="CD76" s="101">
        <f t="shared" si="24"/>
        <v>1</v>
      </c>
      <c r="CE76" s="101" t="str">
        <f t="shared" si="25"/>
        <v>Y</v>
      </c>
      <c r="CF76" s="54"/>
      <c r="CG76" s="102">
        <v>1</v>
      </c>
      <c r="CH76" s="102"/>
      <c r="CI76" s="102"/>
      <c r="CJ76" s="102"/>
      <c r="CK76" s="102"/>
      <c r="CL76" s="102"/>
      <c r="CM76" s="102"/>
      <c r="CN76" s="102"/>
      <c r="CO76" s="102"/>
      <c r="CP76" s="102"/>
      <c r="CQ76" s="102"/>
      <c r="CR76" s="102"/>
      <c r="CS76" s="102"/>
      <c r="CT76" s="102"/>
      <c r="CU76" s="102"/>
      <c r="CV76" s="102"/>
      <c r="CW76" s="102"/>
      <c r="CX76" s="102"/>
      <c r="CY76" s="102"/>
      <c r="CZ76" s="102">
        <f t="shared" si="26"/>
        <v>1</v>
      </c>
      <c r="DA76" s="102" t="str">
        <f t="shared" si="27"/>
        <v>Y</v>
      </c>
      <c r="DB76" s="58"/>
      <c r="DC76" s="101">
        <v>1</v>
      </c>
      <c r="DD76" s="101"/>
      <c r="DE76" s="101"/>
      <c r="DF76" s="101"/>
      <c r="DG76" s="101"/>
      <c r="DH76" s="101"/>
      <c r="DI76" s="101"/>
      <c r="DJ76" s="101"/>
      <c r="DK76" s="101"/>
      <c r="DL76" s="101"/>
      <c r="DM76" s="101"/>
      <c r="DN76" s="101"/>
      <c r="DO76" s="101"/>
      <c r="DP76" s="101"/>
      <c r="DQ76" s="101"/>
      <c r="DR76" s="101"/>
      <c r="DS76" s="101"/>
      <c r="DT76" s="101"/>
      <c r="DU76" s="101"/>
      <c r="DV76" s="101">
        <f t="shared" si="28"/>
        <v>1</v>
      </c>
      <c r="DW76" s="101" t="str">
        <f t="shared" si="31"/>
        <v>Y</v>
      </c>
      <c r="DX76" s="103"/>
      <c r="DY76" s="104">
        <v>1</v>
      </c>
      <c r="DZ76" s="104"/>
      <c r="EA76" s="104"/>
      <c r="EB76" s="104"/>
      <c r="EC76" s="104"/>
      <c r="ED76" s="104"/>
      <c r="EE76" s="104"/>
      <c r="EF76" s="104"/>
      <c r="EG76" s="104"/>
      <c r="EH76" s="104"/>
      <c r="EI76" s="104"/>
      <c r="EJ76" s="104"/>
      <c r="EK76" s="104">
        <f t="shared" si="29"/>
        <v>1</v>
      </c>
      <c r="EL76" s="104" t="str">
        <f t="shared" si="30"/>
        <v>Y</v>
      </c>
      <c r="EM76" s="62"/>
      <c r="EN76" s="6"/>
      <c r="EO76" s="6"/>
      <c r="EP76" s="6"/>
      <c r="EQ76" s="6"/>
      <c r="ER76" s="6"/>
    </row>
    <row r="77" spans="1:148" x14ac:dyDescent="0.2">
      <c r="A77" s="1147"/>
      <c r="B77" s="1139"/>
      <c r="C77" s="1141"/>
      <c r="D77" s="1134"/>
      <c r="E77" s="1086"/>
      <c r="F77" s="1079"/>
      <c r="G77" s="1077"/>
      <c r="H77" s="1077"/>
      <c r="I77" s="1077"/>
      <c r="J77" s="1079"/>
      <c r="K77" s="1077"/>
      <c r="L77" s="181"/>
      <c r="M77" s="186"/>
      <c r="N77" s="177"/>
      <c r="O77" s="172"/>
      <c r="P77" s="173"/>
      <c r="Q77" s="173"/>
      <c r="R77" s="173"/>
      <c r="S77" s="173"/>
      <c r="T77" s="173"/>
      <c r="U77" s="173"/>
      <c r="V77" s="174"/>
      <c r="W77" s="175"/>
      <c r="X77" s="1099"/>
      <c r="Y77" s="1081"/>
      <c r="Z77" s="1081"/>
      <c r="AA77" s="1081"/>
      <c r="AB77" s="1081"/>
      <c r="AC77" s="1081"/>
      <c r="AD77" s="1081"/>
      <c r="AE77" s="1081"/>
      <c r="AF77" s="1081"/>
      <c r="AG77" s="1081"/>
      <c r="AH77" s="1081"/>
      <c r="AI77" s="1081"/>
      <c r="AJ77" s="1081"/>
      <c r="AK77" s="1082"/>
      <c r="AL77" s="1082"/>
      <c r="AM77" s="1082"/>
      <c r="AN77" s="1082"/>
      <c r="AO77" s="1081"/>
      <c r="AP77" s="1081"/>
      <c r="AQ77" s="95">
        <v>1</v>
      </c>
      <c r="AR77" s="95"/>
      <c r="AS77" s="95"/>
      <c r="AT77" s="95"/>
      <c r="AU77" s="95"/>
      <c r="AV77" s="95"/>
      <c r="AW77" s="95"/>
      <c r="AX77" s="95"/>
      <c r="AY77" s="95"/>
      <c r="AZ77" s="95"/>
      <c r="BA77" s="95"/>
      <c r="BB77" s="95"/>
      <c r="BC77" s="95"/>
      <c r="BD77" s="95"/>
      <c r="BE77" s="95">
        <f t="shared" si="18"/>
        <v>1</v>
      </c>
      <c r="BF77" s="96" t="str">
        <f t="shared" si="19"/>
        <v>Y</v>
      </c>
      <c r="BG77" s="97"/>
      <c r="BH77" s="98">
        <v>1</v>
      </c>
      <c r="BI77" s="98"/>
      <c r="BJ77" s="98"/>
      <c r="BK77" s="98"/>
      <c r="BL77" s="111"/>
      <c r="BM77" s="98">
        <f t="shared" si="20"/>
        <v>1</v>
      </c>
      <c r="BN77" s="98" t="str">
        <f t="shared" si="21"/>
        <v>Y</v>
      </c>
      <c r="BO77" s="108"/>
      <c r="BP77" s="100">
        <v>1</v>
      </c>
      <c r="BQ77" s="100"/>
      <c r="BR77" s="100"/>
      <c r="BS77" s="100">
        <f t="shared" si="22"/>
        <v>1</v>
      </c>
      <c r="BT77" s="100" t="str">
        <f t="shared" si="23"/>
        <v>Y</v>
      </c>
      <c r="BU77" s="50"/>
      <c r="BV77" s="101">
        <v>1</v>
      </c>
      <c r="BW77" s="101"/>
      <c r="BX77" s="101"/>
      <c r="BY77" s="101"/>
      <c r="BZ77" s="101"/>
      <c r="CA77" s="101"/>
      <c r="CB77" s="101"/>
      <c r="CC77" s="101"/>
      <c r="CD77" s="101">
        <f t="shared" si="24"/>
        <v>1</v>
      </c>
      <c r="CE77" s="101" t="str">
        <f t="shared" si="25"/>
        <v>Y</v>
      </c>
      <c r="CF77" s="54"/>
      <c r="CG77" s="102">
        <v>1</v>
      </c>
      <c r="CH77" s="102"/>
      <c r="CI77" s="102"/>
      <c r="CJ77" s="102"/>
      <c r="CK77" s="102"/>
      <c r="CL77" s="102"/>
      <c r="CM77" s="102"/>
      <c r="CN77" s="102"/>
      <c r="CO77" s="102"/>
      <c r="CP77" s="102"/>
      <c r="CQ77" s="102"/>
      <c r="CR77" s="102"/>
      <c r="CS77" s="102"/>
      <c r="CT77" s="102"/>
      <c r="CU77" s="102"/>
      <c r="CV77" s="102"/>
      <c r="CW77" s="102"/>
      <c r="CX77" s="102"/>
      <c r="CY77" s="102"/>
      <c r="CZ77" s="102">
        <f t="shared" si="26"/>
        <v>1</v>
      </c>
      <c r="DA77" s="102" t="str">
        <f t="shared" si="27"/>
        <v>Y</v>
      </c>
      <c r="DB77" s="58"/>
      <c r="DC77" s="101">
        <v>1</v>
      </c>
      <c r="DD77" s="101"/>
      <c r="DE77" s="101"/>
      <c r="DF77" s="101"/>
      <c r="DG77" s="101"/>
      <c r="DH77" s="101"/>
      <c r="DI77" s="101"/>
      <c r="DJ77" s="101"/>
      <c r="DK77" s="101"/>
      <c r="DL77" s="101"/>
      <c r="DM77" s="101"/>
      <c r="DN77" s="101"/>
      <c r="DO77" s="101"/>
      <c r="DP77" s="101"/>
      <c r="DQ77" s="101"/>
      <c r="DR77" s="101"/>
      <c r="DS77" s="101"/>
      <c r="DT77" s="101"/>
      <c r="DU77" s="101"/>
      <c r="DV77" s="101">
        <f t="shared" si="28"/>
        <v>1</v>
      </c>
      <c r="DW77" s="101" t="str">
        <f t="shared" si="31"/>
        <v>Y</v>
      </c>
      <c r="DX77" s="103"/>
      <c r="DY77" s="104">
        <v>1</v>
      </c>
      <c r="DZ77" s="104"/>
      <c r="EA77" s="104"/>
      <c r="EB77" s="104"/>
      <c r="EC77" s="104"/>
      <c r="ED77" s="104"/>
      <c r="EE77" s="104"/>
      <c r="EF77" s="104"/>
      <c r="EG77" s="104"/>
      <c r="EH77" s="104"/>
      <c r="EI77" s="104"/>
      <c r="EJ77" s="104"/>
      <c r="EK77" s="104">
        <f t="shared" si="29"/>
        <v>1</v>
      </c>
      <c r="EL77" s="104" t="str">
        <f t="shared" si="30"/>
        <v>Y</v>
      </c>
      <c r="EM77" s="62"/>
      <c r="EN77" s="6"/>
      <c r="EO77" s="6"/>
      <c r="EP77" s="6"/>
      <c r="EQ77" s="6"/>
      <c r="ER77" s="6"/>
    </row>
    <row r="78" spans="1:148" ht="13.5" thickBot="1" x14ac:dyDescent="0.25">
      <c r="A78" s="1147"/>
      <c r="B78" s="1145"/>
      <c r="C78" s="1142"/>
      <c r="D78" s="1136"/>
      <c r="E78" s="1143"/>
      <c r="F78" s="1080"/>
      <c r="G78" s="1078"/>
      <c r="H78" s="1078"/>
      <c r="I78" s="1078"/>
      <c r="J78" s="1080"/>
      <c r="K78" s="1078"/>
      <c r="L78" s="188"/>
      <c r="M78" s="186"/>
      <c r="N78" s="177"/>
      <c r="O78" s="172"/>
      <c r="P78" s="173"/>
      <c r="Q78" s="173"/>
      <c r="R78" s="173"/>
      <c r="S78" s="173"/>
      <c r="T78" s="173"/>
      <c r="U78" s="173"/>
      <c r="V78" s="174"/>
      <c r="W78" s="175"/>
      <c r="X78" s="1100"/>
      <c r="Y78" s="1081"/>
      <c r="Z78" s="1081"/>
      <c r="AA78" s="1081"/>
      <c r="AB78" s="1081"/>
      <c r="AC78" s="1081"/>
      <c r="AD78" s="1081"/>
      <c r="AE78" s="1081"/>
      <c r="AF78" s="1081"/>
      <c r="AG78" s="1081"/>
      <c r="AH78" s="1081"/>
      <c r="AI78" s="1081"/>
      <c r="AJ78" s="1081"/>
      <c r="AK78" s="1082"/>
      <c r="AL78" s="1082"/>
      <c r="AM78" s="1082"/>
      <c r="AN78" s="1082"/>
      <c r="AO78" s="1081"/>
      <c r="AP78" s="1081"/>
      <c r="AQ78" s="95">
        <v>1</v>
      </c>
      <c r="AR78" s="95"/>
      <c r="AS78" s="95"/>
      <c r="AT78" s="95"/>
      <c r="AU78" s="95"/>
      <c r="AV78" s="95"/>
      <c r="AW78" s="95"/>
      <c r="AX78" s="95"/>
      <c r="AY78" s="95"/>
      <c r="AZ78" s="95"/>
      <c r="BA78" s="95"/>
      <c r="BB78" s="95"/>
      <c r="BC78" s="95"/>
      <c r="BD78" s="95"/>
      <c r="BE78" s="95">
        <f t="shared" si="18"/>
        <v>1</v>
      </c>
      <c r="BF78" s="96" t="str">
        <f t="shared" si="19"/>
        <v>Y</v>
      </c>
      <c r="BG78" s="97"/>
      <c r="BH78" s="98">
        <v>1</v>
      </c>
      <c r="BI78" s="98"/>
      <c r="BJ78" s="98"/>
      <c r="BK78" s="98"/>
      <c r="BL78" s="111"/>
      <c r="BM78" s="98">
        <f t="shared" si="20"/>
        <v>1</v>
      </c>
      <c r="BN78" s="98" t="str">
        <f t="shared" si="21"/>
        <v>Y</v>
      </c>
      <c r="BO78" s="108"/>
      <c r="BP78" s="100">
        <v>1</v>
      </c>
      <c r="BQ78" s="100"/>
      <c r="BR78" s="100"/>
      <c r="BS78" s="100">
        <f t="shared" si="22"/>
        <v>1</v>
      </c>
      <c r="BT78" s="100" t="str">
        <f t="shared" si="23"/>
        <v>Y</v>
      </c>
      <c r="BU78" s="50"/>
      <c r="BV78" s="101">
        <v>1</v>
      </c>
      <c r="BW78" s="101"/>
      <c r="BX78" s="101"/>
      <c r="BY78" s="101"/>
      <c r="BZ78" s="101"/>
      <c r="CA78" s="101"/>
      <c r="CB78" s="101"/>
      <c r="CC78" s="101"/>
      <c r="CD78" s="101">
        <f t="shared" si="24"/>
        <v>1</v>
      </c>
      <c r="CE78" s="101" t="str">
        <f t="shared" si="25"/>
        <v>Y</v>
      </c>
      <c r="CF78" s="54"/>
      <c r="CG78" s="102">
        <v>1</v>
      </c>
      <c r="CH78" s="102"/>
      <c r="CI78" s="102"/>
      <c r="CJ78" s="102"/>
      <c r="CK78" s="102"/>
      <c r="CL78" s="102"/>
      <c r="CM78" s="102"/>
      <c r="CN78" s="102"/>
      <c r="CO78" s="102"/>
      <c r="CP78" s="102"/>
      <c r="CQ78" s="102"/>
      <c r="CR78" s="102"/>
      <c r="CS78" s="102"/>
      <c r="CT78" s="102"/>
      <c r="CU78" s="102"/>
      <c r="CV78" s="102"/>
      <c r="CW78" s="102"/>
      <c r="CX78" s="102"/>
      <c r="CY78" s="102"/>
      <c r="CZ78" s="102">
        <f t="shared" si="26"/>
        <v>1</v>
      </c>
      <c r="DA78" s="102" t="str">
        <f t="shared" si="27"/>
        <v>Y</v>
      </c>
      <c r="DB78" s="58"/>
      <c r="DC78" s="101">
        <v>1</v>
      </c>
      <c r="DD78" s="101"/>
      <c r="DE78" s="101"/>
      <c r="DF78" s="101"/>
      <c r="DG78" s="101"/>
      <c r="DH78" s="101"/>
      <c r="DI78" s="101"/>
      <c r="DJ78" s="101"/>
      <c r="DK78" s="101"/>
      <c r="DL78" s="101"/>
      <c r="DM78" s="101"/>
      <c r="DN78" s="101"/>
      <c r="DO78" s="101"/>
      <c r="DP78" s="101"/>
      <c r="DQ78" s="101"/>
      <c r="DR78" s="101"/>
      <c r="DS78" s="101"/>
      <c r="DT78" s="101"/>
      <c r="DU78" s="101"/>
      <c r="DV78" s="101">
        <f t="shared" si="28"/>
        <v>1</v>
      </c>
      <c r="DW78" s="101" t="str">
        <f t="shared" si="31"/>
        <v>Y</v>
      </c>
      <c r="DX78" s="103"/>
      <c r="DY78" s="104">
        <v>1</v>
      </c>
      <c r="DZ78" s="104"/>
      <c r="EA78" s="104"/>
      <c r="EB78" s="104"/>
      <c r="EC78" s="104"/>
      <c r="ED78" s="104"/>
      <c r="EE78" s="104"/>
      <c r="EF78" s="104"/>
      <c r="EG78" s="104"/>
      <c r="EH78" s="104"/>
      <c r="EI78" s="104"/>
      <c r="EJ78" s="104"/>
      <c r="EK78" s="104">
        <f t="shared" si="29"/>
        <v>1</v>
      </c>
      <c r="EL78" s="104" t="str">
        <f t="shared" si="30"/>
        <v>Y</v>
      </c>
      <c r="EM78" s="62"/>
      <c r="EN78" s="6"/>
      <c r="EO78" s="6"/>
      <c r="EP78" s="6"/>
      <c r="EQ78" s="6"/>
      <c r="ER78" s="6"/>
    </row>
    <row r="79" spans="1:148" x14ac:dyDescent="0.2">
      <c r="A79" s="1147"/>
      <c r="B79" s="1138" t="s">
        <v>237</v>
      </c>
      <c r="C79" s="1140" t="s">
        <v>236</v>
      </c>
      <c r="D79" s="1133"/>
      <c r="E79" s="1085"/>
      <c r="F79" s="1144"/>
      <c r="G79" s="1076" t="s">
        <v>347</v>
      </c>
      <c r="H79" s="1076" t="s">
        <v>8</v>
      </c>
      <c r="I79" s="1076"/>
      <c r="J79" s="1079">
        <v>2</v>
      </c>
      <c r="K79" s="1076"/>
      <c r="L79" s="188"/>
      <c r="M79" s="186"/>
      <c r="N79" s="177"/>
      <c r="O79" s="172"/>
      <c r="P79" s="173"/>
      <c r="Q79" s="173"/>
      <c r="R79" s="173"/>
      <c r="S79" s="173"/>
      <c r="T79" s="173"/>
      <c r="U79" s="173"/>
      <c r="V79" s="174"/>
      <c r="W79" s="175"/>
      <c r="X79" s="1098" t="s">
        <v>284</v>
      </c>
      <c r="Y79" s="116"/>
      <c r="Z79" s="116"/>
      <c r="AA79" s="116"/>
      <c r="AB79" s="116"/>
      <c r="AC79" s="116"/>
      <c r="AD79" s="116"/>
      <c r="AE79" s="116"/>
      <c r="AF79" s="116"/>
      <c r="AG79" s="116"/>
      <c r="AH79" s="116"/>
      <c r="AI79" s="116"/>
      <c r="AJ79" s="116"/>
      <c r="AK79" s="117"/>
      <c r="AL79" s="117"/>
      <c r="AM79" s="117"/>
      <c r="AN79" s="117"/>
      <c r="AO79" s="116"/>
      <c r="AP79" s="116"/>
      <c r="AQ79" s="95"/>
      <c r="AR79" s="95"/>
      <c r="AS79" s="95"/>
      <c r="AT79" s="95"/>
      <c r="AU79" s="95"/>
      <c r="AV79" s="95"/>
      <c r="AW79" s="95"/>
      <c r="AX79" s="95"/>
      <c r="AY79" s="95"/>
      <c r="AZ79" s="95"/>
      <c r="BA79" s="95"/>
      <c r="BB79" s="95"/>
      <c r="BC79" s="95"/>
      <c r="BD79" s="95"/>
      <c r="BE79" s="95"/>
      <c r="BF79" s="96"/>
      <c r="BG79" s="97"/>
      <c r="BH79" s="98"/>
      <c r="BI79" s="98"/>
      <c r="BJ79" s="98"/>
      <c r="BK79" s="98"/>
      <c r="BL79" s="111"/>
      <c r="BM79" s="98"/>
      <c r="BN79" s="98"/>
      <c r="BO79" s="108"/>
      <c r="BP79" s="100"/>
      <c r="BQ79" s="100"/>
      <c r="BR79" s="100"/>
      <c r="BS79" s="100"/>
      <c r="BT79" s="100"/>
      <c r="BU79" s="50"/>
      <c r="BV79" s="101"/>
      <c r="BW79" s="101"/>
      <c r="BX79" s="101"/>
      <c r="BY79" s="101"/>
      <c r="BZ79" s="101"/>
      <c r="CA79" s="101"/>
      <c r="CB79" s="101"/>
      <c r="CC79" s="101"/>
      <c r="CD79" s="101"/>
      <c r="CE79" s="101"/>
      <c r="CF79" s="54"/>
      <c r="CG79" s="102"/>
      <c r="CH79" s="102"/>
      <c r="CI79" s="102"/>
      <c r="CJ79" s="102"/>
      <c r="CK79" s="102"/>
      <c r="CL79" s="102"/>
      <c r="CM79" s="102"/>
      <c r="CN79" s="102"/>
      <c r="CO79" s="102"/>
      <c r="CP79" s="102"/>
      <c r="CQ79" s="102"/>
      <c r="CR79" s="102"/>
      <c r="CS79" s="102"/>
      <c r="CT79" s="102"/>
      <c r="CU79" s="102"/>
      <c r="CV79" s="102"/>
      <c r="CW79" s="102"/>
      <c r="CX79" s="102"/>
      <c r="CY79" s="102"/>
      <c r="CZ79" s="102"/>
      <c r="DA79" s="102"/>
      <c r="DB79" s="58"/>
      <c r="DC79" s="101"/>
      <c r="DD79" s="101"/>
      <c r="DE79" s="101"/>
      <c r="DF79" s="101"/>
      <c r="DG79" s="101"/>
      <c r="DH79" s="101"/>
      <c r="DI79" s="101"/>
      <c r="DJ79" s="101"/>
      <c r="DK79" s="101"/>
      <c r="DL79" s="101"/>
      <c r="DM79" s="101"/>
      <c r="DN79" s="101"/>
      <c r="DO79" s="101"/>
      <c r="DP79" s="101"/>
      <c r="DQ79" s="101"/>
      <c r="DR79" s="101"/>
      <c r="DS79" s="101"/>
      <c r="DT79" s="101"/>
      <c r="DU79" s="101"/>
      <c r="DV79" s="101"/>
      <c r="DW79" s="101"/>
      <c r="DX79" s="103"/>
      <c r="DY79" s="104"/>
      <c r="DZ79" s="104"/>
      <c r="EA79" s="104"/>
      <c r="EB79" s="104"/>
      <c r="EC79" s="104"/>
      <c r="ED79" s="104"/>
      <c r="EE79" s="104"/>
      <c r="EF79" s="104"/>
      <c r="EG79" s="104"/>
      <c r="EH79" s="104"/>
      <c r="EI79" s="104"/>
      <c r="EJ79" s="104"/>
      <c r="EK79" s="104"/>
      <c r="EL79" s="104"/>
      <c r="EM79" s="62"/>
      <c r="EN79" s="6"/>
      <c r="EO79" s="6"/>
      <c r="EP79" s="6"/>
      <c r="EQ79" s="6"/>
      <c r="ER79" s="6"/>
    </row>
    <row r="80" spans="1:148" x14ac:dyDescent="0.2">
      <c r="A80" s="1147"/>
      <c r="B80" s="1139"/>
      <c r="C80" s="1141"/>
      <c r="D80" s="1134"/>
      <c r="E80" s="1086"/>
      <c r="F80" s="1079"/>
      <c r="G80" s="1077"/>
      <c r="H80" s="1077"/>
      <c r="I80" s="1077"/>
      <c r="J80" s="1079"/>
      <c r="K80" s="1077"/>
      <c r="L80" s="181"/>
      <c r="M80" s="186"/>
      <c r="N80" s="177"/>
      <c r="O80" s="172"/>
      <c r="P80" s="173"/>
      <c r="Q80" s="173"/>
      <c r="R80" s="173"/>
      <c r="S80" s="173"/>
      <c r="T80" s="173"/>
      <c r="U80" s="173"/>
      <c r="V80" s="174"/>
      <c r="W80" s="175"/>
      <c r="X80" s="1099"/>
      <c r="Y80" s="116"/>
      <c r="Z80" s="116"/>
      <c r="AA80" s="116"/>
      <c r="AB80" s="116"/>
      <c r="AC80" s="116"/>
      <c r="AD80" s="116"/>
      <c r="AE80" s="116"/>
      <c r="AF80" s="116"/>
      <c r="AG80" s="116"/>
      <c r="AH80" s="116"/>
      <c r="AI80" s="116"/>
      <c r="AJ80" s="116"/>
      <c r="AK80" s="117"/>
      <c r="AL80" s="117"/>
      <c r="AM80" s="117"/>
      <c r="AN80" s="117"/>
      <c r="AO80" s="116"/>
      <c r="AP80" s="116"/>
      <c r="AQ80" s="95"/>
      <c r="AR80" s="95"/>
      <c r="AS80" s="95"/>
      <c r="AT80" s="95"/>
      <c r="AU80" s="95"/>
      <c r="AV80" s="95"/>
      <c r="AW80" s="95"/>
      <c r="AX80" s="95"/>
      <c r="AY80" s="95"/>
      <c r="AZ80" s="95"/>
      <c r="BA80" s="95"/>
      <c r="BB80" s="95"/>
      <c r="BC80" s="95"/>
      <c r="BD80" s="95"/>
      <c r="BE80" s="95"/>
      <c r="BF80" s="96"/>
      <c r="BG80" s="97"/>
      <c r="BH80" s="98"/>
      <c r="BI80" s="98"/>
      <c r="BJ80" s="98"/>
      <c r="BK80" s="98"/>
      <c r="BL80" s="111"/>
      <c r="BM80" s="98"/>
      <c r="BN80" s="98"/>
      <c r="BO80" s="108"/>
      <c r="BP80" s="100"/>
      <c r="BQ80" s="100"/>
      <c r="BR80" s="100"/>
      <c r="BS80" s="100"/>
      <c r="BT80" s="100"/>
      <c r="BU80" s="50"/>
      <c r="BV80" s="101"/>
      <c r="BW80" s="101"/>
      <c r="BX80" s="101"/>
      <c r="BY80" s="101"/>
      <c r="BZ80" s="101"/>
      <c r="CA80" s="101"/>
      <c r="CB80" s="101"/>
      <c r="CC80" s="101"/>
      <c r="CD80" s="101"/>
      <c r="CE80" s="101"/>
      <c r="CF80" s="54"/>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58"/>
      <c r="DC80" s="101"/>
      <c r="DD80" s="101"/>
      <c r="DE80" s="101"/>
      <c r="DF80" s="101"/>
      <c r="DG80" s="101"/>
      <c r="DH80" s="101"/>
      <c r="DI80" s="101"/>
      <c r="DJ80" s="101"/>
      <c r="DK80" s="101"/>
      <c r="DL80" s="101"/>
      <c r="DM80" s="101"/>
      <c r="DN80" s="101"/>
      <c r="DO80" s="101"/>
      <c r="DP80" s="101"/>
      <c r="DQ80" s="101"/>
      <c r="DR80" s="101"/>
      <c r="DS80" s="101"/>
      <c r="DT80" s="101"/>
      <c r="DU80" s="101"/>
      <c r="DV80" s="101"/>
      <c r="DW80" s="101"/>
      <c r="DX80" s="103"/>
      <c r="DY80" s="104"/>
      <c r="DZ80" s="104"/>
      <c r="EA80" s="104"/>
      <c r="EB80" s="104"/>
      <c r="EC80" s="104"/>
      <c r="ED80" s="104"/>
      <c r="EE80" s="104"/>
      <c r="EF80" s="104"/>
      <c r="EG80" s="104"/>
      <c r="EH80" s="104"/>
      <c r="EI80" s="104"/>
      <c r="EJ80" s="104"/>
      <c r="EK80" s="104"/>
      <c r="EL80" s="104"/>
      <c r="EM80" s="62"/>
      <c r="EN80" s="6"/>
      <c r="EO80" s="6"/>
      <c r="EP80" s="6"/>
      <c r="EQ80" s="6"/>
      <c r="ER80" s="6"/>
    </row>
    <row r="81" spans="1:257" ht="13.5" thickBot="1" x14ac:dyDescent="0.25">
      <c r="A81" s="1147"/>
      <c r="B81" s="1145"/>
      <c r="C81" s="1142"/>
      <c r="D81" s="1136"/>
      <c r="E81" s="1143"/>
      <c r="F81" s="1080"/>
      <c r="G81" s="1078"/>
      <c r="H81" s="1078"/>
      <c r="I81" s="1078"/>
      <c r="J81" s="1080"/>
      <c r="K81" s="1078"/>
      <c r="L81" s="188"/>
      <c r="M81" s="186"/>
      <c r="N81" s="177"/>
      <c r="O81" s="172"/>
      <c r="P81" s="173"/>
      <c r="Q81" s="173"/>
      <c r="R81" s="173"/>
      <c r="S81" s="173"/>
      <c r="T81" s="173"/>
      <c r="U81" s="173"/>
      <c r="V81" s="174"/>
      <c r="W81" s="175"/>
      <c r="X81" s="1100"/>
      <c r="Y81" s="116"/>
      <c r="Z81" s="116"/>
      <c r="AA81" s="116"/>
      <c r="AB81" s="116"/>
      <c r="AC81" s="116"/>
      <c r="AD81" s="116"/>
      <c r="AE81" s="116"/>
      <c r="AF81" s="116"/>
      <c r="AG81" s="116"/>
      <c r="AH81" s="116"/>
      <c r="AI81" s="116"/>
      <c r="AJ81" s="116"/>
      <c r="AK81" s="117"/>
      <c r="AL81" s="117"/>
      <c r="AM81" s="117"/>
      <c r="AN81" s="117"/>
      <c r="AO81" s="116"/>
      <c r="AP81" s="116"/>
      <c r="AQ81" s="95"/>
      <c r="AR81" s="95"/>
      <c r="AS81" s="95"/>
      <c r="AT81" s="95"/>
      <c r="AU81" s="95"/>
      <c r="AV81" s="95"/>
      <c r="AW81" s="95"/>
      <c r="AX81" s="95"/>
      <c r="AY81" s="95"/>
      <c r="AZ81" s="95"/>
      <c r="BA81" s="95"/>
      <c r="BB81" s="95"/>
      <c r="BC81" s="95"/>
      <c r="BD81" s="95"/>
      <c r="BE81" s="95"/>
      <c r="BF81" s="96"/>
      <c r="BG81" s="97"/>
      <c r="BH81" s="98"/>
      <c r="BI81" s="98"/>
      <c r="BJ81" s="98"/>
      <c r="BK81" s="98"/>
      <c r="BL81" s="111"/>
      <c r="BM81" s="98"/>
      <c r="BN81" s="98"/>
      <c r="BO81" s="108"/>
      <c r="BP81" s="100"/>
      <c r="BQ81" s="100"/>
      <c r="BR81" s="100"/>
      <c r="BS81" s="100"/>
      <c r="BT81" s="100"/>
      <c r="BU81" s="50"/>
      <c r="BV81" s="101"/>
      <c r="BW81" s="101"/>
      <c r="BX81" s="101"/>
      <c r="BY81" s="101"/>
      <c r="BZ81" s="101"/>
      <c r="CA81" s="101"/>
      <c r="CB81" s="101"/>
      <c r="CC81" s="101"/>
      <c r="CD81" s="101"/>
      <c r="CE81" s="101"/>
      <c r="CF81" s="54"/>
      <c r="CG81" s="102"/>
      <c r="CH81" s="102"/>
      <c r="CI81" s="102"/>
      <c r="CJ81" s="102"/>
      <c r="CK81" s="102"/>
      <c r="CL81" s="102"/>
      <c r="CM81" s="102"/>
      <c r="CN81" s="102"/>
      <c r="CO81" s="102"/>
      <c r="CP81" s="102"/>
      <c r="CQ81" s="102"/>
      <c r="CR81" s="102"/>
      <c r="CS81" s="102"/>
      <c r="CT81" s="102"/>
      <c r="CU81" s="102"/>
      <c r="CV81" s="102"/>
      <c r="CW81" s="102"/>
      <c r="CX81" s="102"/>
      <c r="CY81" s="102"/>
      <c r="CZ81" s="102"/>
      <c r="DA81" s="102"/>
      <c r="DB81" s="58"/>
      <c r="DC81" s="101"/>
      <c r="DD81" s="101"/>
      <c r="DE81" s="101"/>
      <c r="DF81" s="101"/>
      <c r="DG81" s="101"/>
      <c r="DH81" s="101"/>
      <c r="DI81" s="101"/>
      <c r="DJ81" s="101"/>
      <c r="DK81" s="101"/>
      <c r="DL81" s="101"/>
      <c r="DM81" s="101"/>
      <c r="DN81" s="101"/>
      <c r="DO81" s="101"/>
      <c r="DP81" s="101"/>
      <c r="DQ81" s="101"/>
      <c r="DR81" s="101"/>
      <c r="DS81" s="101"/>
      <c r="DT81" s="101"/>
      <c r="DU81" s="101"/>
      <c r="DV81" s="101"/>
      <c r="DW81" s="101"/>
      <c r="DX81" s="103"/>
      <c r="DY81" s="104"/>
      <c r="DZ81" s="104"/>
      <c r="EA81" s="104"/>
      <c r="EB81" s="104"/>
      <c r="EC81" s="104"/>
      <c r="ED81" s="104"/>
      <c r="EE81" s="104"/>
      <c r="EF81" s="104"/>
      <c r="EG81" s="104"/>
      <c r="EH81" s="104"/>
      <c r="EI81" s="104"/>
      <c r="EJ81" s="104"/>
      <c r="EK81" s="104"/>
      <c r="EL81" s="104"/>
      <c r="EM81" s="62"/>
      <c r="EN81" s="6"/>
      <c r="EO81" s="6"/>
      <c r="EP81" s="6"/>
      <c r="EQ81" s="6"/>
      <c r="ER81" s="6"/>
    </row>
    <row r="82" spans="1:257" x14ac:dyDescent="0.2">
      <c r="A82" s="1147"/>
      <c r="B82" s="1138" t="s">
        <v>286</v>
      </c>
      <c r="C82" s="1140" t="s">
        <v>287</v>
      </c>
      <c r="D82" s="1133"/>
      <c r="E82" s="1085"/>
      <c r="F82" s="1144"/>
      <c r="G82" s="1076" t="s">
        <v>271</v>
      </c>
      <c r="H82" s="1076" t="s">
        <v>342</v>
      </c>
      <c r="I82" s="1076"/>
      <c r="J82" s="1079">
        <f>Y82+AA82+AC82+AE82+AG82+AI82+AK82+AM82+AO82</f>
        <v>1</v>
      </c>
      <c r="K82" s="1076"/>
      <c r="L82" s="188"/>
      <c r="M82" s="186"/>
      <c r="N82" s="177"/>
      <c r="O82" s="172"/>
      <c r="P82" s="173"/>
      <c r="Q82" s="173"/>
      <c r="R82" s="173"/>
      <c r="S82" s="173"/>
      <c r="T82" s="173"/>
      <c r="U82" s="173"/>
      <c r="V82" s="174"/>
      <c r="W82" s="175"/>
      <c r="X82" s="1098" t="s">
        <v>342</v>
      </c>
      <c r="Y82" s="1081">
        <f>IF(HC="Y",IF(BF82="Y",Z82,0),0)</f>
        <v>0</v>
      </c>
      <c r="Z82" s="1081">
        <f>IF(smallhc="y",1,IF(largehc="y",2,0))</f>
        <v>0</v>
      </c>
      <c r="AA82" s="1081">
        <f>IF(OFF="Y",IF(BN82="Y",AB82,0),0)</f>
        <v>1</v>
      </c>
      <c r="AB82" s="1081">
        <v>1</v>
      </c>
      <c r="AC82" s="1081">
        <f>IF(COURTS="Y",IF(BT82="Y",AD82,0),0)</f>
        <v>0</v>
      </c>
      <c r="AD82" s="1081">
        <v>1</v>
      </c>
      <c r="AE82" s="1081">
        <f>IF(PRISONS="Y",IF(CE82="Y",AF82,0),0)</f>
        <v>0</v>
      </c>
      <c r="AF82" s="1081">
        <v>0</v>
      </c>
      <c r="AG82" s="1081">
        <f>IF(RET="Y",IF(DA82="Y",AH82,0),0)</f>
        <v>0</v>
      </c>
      <c r="AH82" s="1081">
        <v>2</v>
      </c>
      <c r="AI82" s="1081">
        <f>IF(SCHOOLS="y",IF(DW82="y",AJ82,0),0)</f>
        <v>0</v>
      </c>
      <c r="AJ82" s="1081">
        <v>1</v>
      </c>
      <c r="AK82" s="1082">
        <f>IF(FE="y",IF(DW82="y",AL82,0),0)</f>
        <v>0</v>
      </c>
      <c r="AL82" s="1082">
        <v>1</v>
      </c>
      <c r="AM82" s="1082">
        <f>IF(HE="Y",IF(DW82="Y",AN82,0),0)</f>
        <v>0</v>
      </c>
      <c r="AN82" s="1082">
        <v>1</v>
      </c>
      <c r="AO82" s="1081">
        <f>IF(INDUSTRIAL="Y",IF(EL82="Y",AP82,0),0)</f>
        <v>0</v>
      </c>
      <c r="AP82" s="1081">
        <v>1</v>
      </c>
      <c r="AQ82" s="95"/>
      <c r="AR82" s="95"/>
      <c r="AS82" s="95"/>
      <c r="AT82" s="95"/>
      <c r="AU82" s="95"/>
      <c r="AV82" s="95"/>
      <c r="AW82" s="95"/>
      <c r="AX82" s="95"/>
      <c r="AY82" s="95">
        <f>IF(smallhc = "y",1,0)</f>
        <v>0</v>
      </c>
      <c r="AZ82" s="95">
        <f>IF(largehc = "y",1,0)</f>
        <v>0</v>
      </c>
      <c r="BA82" s="95"/>
      <c r="BB82" s="95"/>
      <c r="BC82" s="95"/>
      <c r="BD82" s="95"/>
      <c r="BE82" s="95">
        <f t="shared" si="18"/>
        <v>0</v>
      </c>
      <c r="BF82" s="96" t="str">
        <f t="shared" si="19"/>
        <v>N</v>
      </c>
      <c r="BG82" s="97"/>
      <c r="BH82" s="98">
        <v>1</v>
      </c>
      <c r="BI82" s="98"/>
      <c r="BJ82" s="98"/>
      <c r="BK82" s="98"/>
      <c r="BL82" s="111"/>
      <c r="BM82" s="98">
        <f t="shared" si="20"/>
        <v>1</v>
      </c>
      <c r="BN82" s="98" t="str">
        <f t="shared" si="21"/>
        <v>Y</v>
      </c>
      <c r="BO82" s="108"/>
      <c r="BP82" s="100">
        <v>1</v>
      </c>
      <c r="BQ82" s="100"/>
      <c r="BR82" s="100"/>
      <c r="BS82" s="100">
        <f t="shared" si="22"/>
        <v>1</v>
      </c>
      <c r="BT82" s="100" t="str">
        <f t="shared" si="23"/>
        <v>Y</v>
      </c>
      <c r="BU82" s="50"/>
      <c r="BV82" s="101"/>
      <c r="BW82" s="101"/>
      <c r="BX82" s="101"/>
      <c r="BY82" s="101"/>
      <c r="BZ82" s="101"/>
      <c r="CA82" s="101"/>
      <c r="CB82" s="101"/>
      <c r="CC82" s="101"/>
      <c r="CD82" s="101">
        <f t="shared" si="24"/>
        <v>0</v>
      </c>
      <c r="CE82" s="101" t="str">
        <f t="shared" si="25"/>
        <v>N</v>
      </c>
      <c r="CF82" s="54"/>
      <c r="CG82" s="102">
        <v>1</v>
      </c>
      <c r="CH82" s="102"/>
      <c r="CI82" s="102"/>
      <c r="CJ82" s="102"/>
      <c r="CK82" s="102"/>
      <c r="CL82" s="102"/>
      <c r="CM82" s="102"/>
      <c r="CN82" s="102"/>
      <c r="CO82" s="102"/>
      <c r="CP82" s="102"/>
      <c r="CQ82" s="102"/>
      <c r="CR82" s="102"/>
      <c r="CS82" s="102"/>
      <c r="CT82" s="102"/>
      <c r="CU82" s="102"/>
      <c r="CV82" s="102"/>
      <c r="CW82" s="102"/>
      <c r="CX82" s="102"/>
      <c r="CY82" s="102"/>
      <c r="CZ82" s="102">
        <f t="shared" si="26"/>
        <v>1</v>
      </c>
      <c r="DA82" s="102" t="str">
        <f t="shared" si="27"/>
        <v>Y</v>
      </c>
      <c r="DB82" s="58"/>
      <c r="DC82" s="101">
        <v>1</v>
      </c>
      <c r="DD82" s="101"/>
      <c r="DE82" s="101"/>
      <c r="DF82" s="101"/>
      <c r="DG82" s="101"/>
      <c r="DH82" s="101"/>
      <c r="DI82" s="101"/>
      <c r="DJ82" s="101"/>
      <c r="DK82" s="101"/>
      <c r="DL82" s="101"/>
      <c r="DM82" s="101"/>
      <c r="DN82" s="101"/>
      <c r="DO82" s="101"/>
      <c r="DP82" s="101"/>
      <c r="DQ82" s="101"/>
      <c r="DR82" s="101"/>
      <c r="DS82" s="101"/>
      <c r="DT82" s="101"/>
      <c r="DU82" s="101"/>
      <c r="DV82" s="101">
        <f t="shared" si="28"/>
        <v>1</v>
      </c>
      <c r="DW82" s="101" t="str">
        <f t="shared" si="31"/>
        <v>Y</v>
      </c>
      <c r="DX82" s="103"/>
      <c r="DY82" s="104">
        <v>1</v>
      </c>
      <c r="DZ82" s="104"/>
      <c r="EA82" s="104"/>
      <c r="EB82" s="104"/>
      <c r="EC82" s="104"/>
      <c r="ED82" s="104"/>
      <c r="EE82" s="104"/>
      <c r="EF82" s="104"/>
      <c r="EG82" s="104"/>
      <c r="EH82" s="104"/>
      <c r="EI82" s="104"/>
      <c r="EJ82" s="104"/>
      <c r="EK82" s="104">
        <f t="shared" si="29"/>
        <v>1</v>
      </c>
      <c r="EL82" s="104" t="str">
        <f t="shared" si="30"/>
        <v>Y</v>
      </c>
      <c r="EM82" s="62"/>
      <c r="EN82" s="6"/>
      <c r="EO82" s="6"/>
      <c r="EP82" s="6"/>
      <c r="EQ82" s="6"/>
      <c r="ER82" s="6"/>
    </row>
    <row r="83" spans="1:257" x14ac:dyDescent="0.2">
      <c r="A83" s="1147"/>
      <c r="B83" s="1139"/>
      <c r="C83" s="1141"/>
      <c r="D83" s="1134"/>
      <c r="E83" s="1086"/>
      <c r="F83" s="1079"/>
      <c r="G83" s="1077"/>
      <c r="H83" s="1077"/>
      <c r="I83" s="1077"/>
      <c r="J83" s="1079"/>
      <c r="K83" s="1077"/>
      <c r="L83" s="181"/>
      <c r="M83" s="186"/>
      <c r="N83" s="177"/>
      <c r="O83" s="172"/>
      <c r="P83" s="173"/>
      <c r="Q83" s="173"/>
      <c r="R83" s="173"/>
      <c r="S83" s="173"/>
      <c r="T83" s="173"/>
      <c r="U83" s="173"/>
      <c r="V83" s="174"/>
      <c r="W83" s="175"/>
      <c r="X83" s="1099"/>
      <c r="Y83" s="1081"/>
      <c r="Z83" s="1081"/>
      <c r="AA83" s="1081"/>
      <c r="AB83" s="1081"/>
      <c r="AC83" s="1081"/>
      <c r="AD83" s="1081"/>
      <c r="AE83" s="1081"/>
      <c r="AF83" s="1081"/>
      <c r="AG83" s="1081"/>
      <c r="AH83" s="1081"/>
      <c r="AI83" s="1081"/>
      <c r="AJ83" s="1081"/>
      <c r="AK83" s="1082"/>
      <c r="AL83" s="1082"/>
      <c r="AM83" s="1082"/>
      <c r="AN83" s="1082"/>
      <c r="AO83" s="1081"/>
      <c r="AP83" s="1081"/>
      <c r="AQ83" s="95"/>
      <c r="AR83" s="95"/>
      <c r="AS83" s="95"/>
      <c r="AT83" s="95"/>
      <c r="AU83" s="95"/>
      <c r="AV83" s="95"/>
      <c r="AW83" s="95"/>
      <c r="AX83" s="95"/>
      <c r="AY83" s="95">
        <f>IF(smallhc = "y",1,0)</f>
        <v>0</v>
      </c>
      <c r="AZ83" s="95">
        <f>IF(largehc = "y",1,0)</f>
        <v>0</v>
      </c>
      <c r="BA83" s="95"/>
      <c r="BB83" s="95"/>
      <c r="BC83" s="95"/>
      <c r="BD83" s="95"/>
      <c r="BE83" s="95">
        <f t="shared" si="18"/>
        <v>0</v>
      </c>
      <c r="BF83" s="96" t="str">
        <f t="shared" si="19"/>
        <v>N</v>
      </c>
      <c r="BG83" s="97"/>
      <c r="BH83" s="98">
        <v>1</v>
      </c>
      <c r="BI83" s="98"/>
      <c r="BJ83" s="98"/>
      <c r="BK83" s="98"/>
      <c r="BL83" s="111"/>
      <c r="BM83" s="98">
        <f t="shared" si="20"/>
        <v>1</v>
      </c>
      <c r="BN83" s="98" t="str">
        <f t="shared" si="21"/>
        <v>Y</v>
      </c>
      <c r="BO83" s="108"/>
      <c r="BP83" s="100">
        <v>1</v>
      </c>
      <c r="BQ83" s="100"/>
      <c r="BR83" s="100"/>
      <c r="BS83" s="100">
        <f t="shared" si="22"/>
        <v>1</v>
      </c>
      <c r="BT83" s="100" t="str">
        <f t="shared" si="23"/>
        <v>Y</v>
      </c>
      <c r="BU83" s="50"/>
      <c r="BV83" s="101"/>
      <c r="BW83" s="101"/>
      <c r="BX83" s="101"/>
      <c r="BY83" s="101"/>
      <c r="BZ83" s="101"/>
      <c r="CA83" s="101"/>
      <c r="CB83" s="101"/>
      <c r="CC83" s="101"/>
      <c r="CD83" s="101">
        <f t="shared" si="24"/>
        <v>0</v>
      </c>
      <c r="CE83" s="101" t="str">
        <f t="shared" si="25"/>
        <v>N</v>
      </c>
      <c r="CF83" s="54"/>
      <c r="CG83" s="102">
        <v>1</v>
      </c>
      <c r="CH83" s="102"/>
      <c r="CI83" s="102"/>
      <c r="CJ83" s="102"/>
      <c r="CK83" s="102"/>
      <c r="CL83" s="102"/>
      <c r="CM83" s="102"/>
      <c r="CN83" s="102"/>
      <c r="CO83" s="102"/>
      <c r="CP83" s="102"/>
      <c r="CQ83" s="102"/>
      <c r="CR83" s="102"/>
      <c r="CS83" s="102"/>
      <c r="CT83" s="102"/>
      <c r="CU83" s="102"/>
      <c r="CV83" s="102"/>
      <c r="CW83" s="102"/>
      <c r="CX83" s="102"/>
      <c r="CY83" s="102"/>
      <c r="CZ83" s="102">
        <f t="shared" si="26"/>
        <v>1</v>
      </c>
      <c r="DA83" s="102" t="str">
        <f t="shared" si="27"/>
        <v>Y</v>
      </c>
      <c r="DB83" s="58"/>
      <c r="DC83" s="101">
        <v>1</v>
      </c>
      <c r="DD83" s="101"/>
      <c r="DE83" s="101"/>
      <c r="DF83" s="101"/>
      <c r="DG83" s="101"/>
      <c r="DH83" s="101"/>
      <c r="DI83" s="101"/>
      <c r="DJ83" s="101"/>
      <c r="DK83" s="101"/>
      <c r="DL83" s="101"/>
      <c r="DM83" s="101"/>
      <c r="DN83" s="101"/>
      <c r="DO83" s="101"/>
      <c r="DP83" s="101"/>
      <c r="DQ83" s="101"/>
      <c r="DR83" s="101"/>
      <c r="DS83" s="101"/>
      <c r="DT83" s="101"/>
      <c r="DU83" s="101"/>
      <c r="DV83" s="101">
        <f t="shared" si="28"/>
        <v>1</v>
      </c>
      <c r="DW83" s="101" t="str">
        <f t="shared" si="31"/>
        <v>Y</v>
      </c>
      <c r="DX83" s="103"/>
      <c r="DY83" s="104">
        <v>1</v>
      </c>
      <c r="DZ83" s="104"/>
      <c r="EA83" s="104"/>
      <c r="EB83" s="104"/>
      <c r="EC83" s="104"/>
      <c r="ED83" s="104"/>
      <c r="EE83" s="104"/>
      <c r="EF83" s="104"/>
      <c r="EG83" s="104"/>
      <c r="EH83" s="104"/>
      <c r="EI83" s="104"/>
      <c r="EJ83" s="104"/>
      <c r="EK83" s="104">
        <f t="shared" si="29"/>
        <v>1</v>
      </c>
      <c r="EL83" s="104" t="str">
        <f t="shared" si="30"/>
        <v>Y</v>
      </c>
      <c r="EM83" s="62"/>
      <c r="EN83" s="6"/>
      <c r="EO83" s="6"/>
      <c r="EP83" s="6"/>
      <c r="EQ83" s="6"/>
      <c r="ER83" s="6"/>
    </row>
    <row r="84" spans="1:257" ht="13.5" thickBot="1" x14ac:dyDescent="0.25">
      <c r="A84" s="1147"/>
      <c r="B84" s="1145"/>
      <c r="C84" s="1142"/>
      <c r="D84" s="1136"/>
      <c r="E84" s="1143"/>
      <c r="F84" s="1080"/>
      <c r="G84" s="1078"/>
      <c r="H84" s="1078"/>
      <c r="I84" s="1078"/>
      <c r="J84" s="1080"/>
      <c r="K84" s="1078"/>
      <c r="L84" s="188"/>
      <c r="M84" s="186"/>
      <c r="N84" s="177"/>
      <c r="O84" s="172"/>
      <c r="P84" s="173"/>
      <c r="Q84" s="173"/>
      <c r="R84" s="173"/>
      <c r="S84" s="173"/>
      <c r="T84" s="173"/>
      <c r="U84" s="173"/>
      <c r="V84" s="174"/>
      <c r="W84" s="175"/>
      <c r="X84" s="1100"/>
      <c r="Y84" s="1081"/>
      <c r="Z84" s="1081"/>
      <c r="AA84" s="1081"/>
      <c r="AB84" s="1081"/>
      <c r="AC84" s="1081"/>
      <c r="AD84" s="1081"/>
      <c r="AE84" s="1081"/>
      <c r="AF84" s="1081"/>
      <c r="AG84" s="1081"/>
      <c r="AH84" s="1081"/>
      <c r="AI84" s="1081"/>
      <c r="AJ84" s="1081"/>
      <c r="AK84" s="1082"/>
      <c r="AL84" s="1082"/>
      <c r="AM84" s="1082"/>
      <c r="AN84" s="1082"/>
      <c r="AO84" s="1081"/>
      <c r="AP84" s="1081"/>
      <c r="AQ84" s="95"/>
      <c r="AR84" s="95"/>
      <c r="AS84" s="95"/>
      <c r="AT84" s="95"/>
      <c r="AU84" s="95"/>
      <c r="AV84" s="95"/>
      <c r="AW84" s="95"/>
      <c r="AX84" s="95"/>
      <c r="AY84" s="95">
        <f>IF(smallhc = "y",1,0)</f>
        <v>0</v>
      </c>
      <c r="AZ84" s="95">
        <f>IF(largehc = "y",1,0)</f>
        <v>0</v>
      </c>
      <c r="BA84" s="95"/>
      <c r="BB84" s="95"/>
      <c r="BC84" s="95"/>
      <c r="BD84" s="95"/>
      <c r="BE84" s="95">
        <f t="shared" si="18"/>
        <v>0</v>
      </c>
      <c r="BF84" s="96" t="str">
        <f t="shared" si="19"/>
        <v>N</v>
      </c>
      <c r="BG84" s="97"/>
      <c r="BH84" s="98">
        <v>1</v>
      </c>
      <c r="BI84" s="98"/>
      <c r="BJ84" s="98"/>
      <c r="BK84" s="98"/>
      <c r="BL84" s="111"/>
      <c r="BM84" s="98">
        <f t="shared" si="20"/>
        <v>1</v>
      </c>
      <c r="BN84" s="98" t="str">
        <f t="shared" si="21"/>
        <v>Y</v>
      </c>
      <c r="BO84" s="108"/>
      <c r="BP84" s="100">
        <v>1</v>
      </c>
      <c r="BQ84" s="100"/>
      <c r="BR84" s="100"/>
      <c r="BS84" s="100">
        <f t="shared" si="22"/>
        <v>1</v>
      </c>
      <c r="BT84" s="100" t="str">
        <f t="shared" si="23"/>
        <v>Y</v>
      </c>
      <c r="BU84" s="50"/>
      <c r="BV84" s="101"/>
      <c r="BW84" s="101"/>
      <c r="BX84" s="101"/>
      <c r="BY84" s="101"/>
      <c r="BZ84" s="101"/>
      <c r="CA84" s="101"/>
      <c r="CB84" s="101"/>
      <c r="CC84" s="101"/>
      <c r="CD84" s="101">
        <f t="shared" si="24"/>
        <v>0</v>
      </c>
      <c r="CE84" s="101" t="str">
        <f t="shared" si="25"/>
        <v>N</v>
      </c>
      <c r="CF84" s="54"/>
      <c r="CG84" s="102">
        <v>1</v>
      </c>
      <c r="CH84" s="102"/>
      <c r="CI84" s="102"/>
      <c r="CJ84" s="102"/>
      <c r="CK84" s="102"/>
      <c r="CL84" s="102"/>
      <c r="CM84" s="102"/>
      <c r="CN84" s="102"/>
      <c r="CO84" s="102"/>
      <c r="CP84" s="102"/>
      <c r="CQ84" s="102"/>
      <c r="CR84" s="102"/>
      <c r="CS84" s="102"/>
      <c r="CT84" s="102"/>
      <c r="CU84" s="102"/>
      <c r="CV84" s="102"/>
      <c r="CW84" s="102"/>
      <c r="CX84" s="102"/>
      <c r="CY84" s="102"/>
      <c r="CZ84" s="102">
        <f t="shared" si="26"/>
        <v>1</v>
      </c>
      <c r="DA84" s="102" t="str">
        <f t="shared" si="27"/>
        <v>Y</v>
      </c>
      <c r="DB84" s="58"/>
      <c r="DC84" s="101">
        <v>1</v>
      </c>
      <c r="DD84" s="101"/>
      <c r="DE84" s="101"/>
      <c r="DF84" s="101"/>
      <c r="DG84" s="101"/>
      <c r="DH84" s="101"/>
      <c r="DI84" s="101"/>
      <c r="DJ84" s="101"/>
      <c r="DK84" s="101"/>
      <c r="DL84" s="101"/>
      <c r="DM84" s="101"/>
      <c r="DN84" s="101"/>
      <c r="DO84" s="101"/>
      <c r="DP84" s="101"/>
      <c r="DQ84" s="101"/>
      <c r="DR84" s="101"/>
      <c r="DS84" s="101"/>
      <c r="DT84" s="101"/>
      <c r="DU84" s="101"/>
      <c r="DV84" s="101">
        <f t="shared" si="28"/>
        <v>1</v>
      </c>
      <c r="DW84" s="101" t="str">
        <f t="shared" si="31"/>
        <v>Y</v>
      </c>
      <c r="DX84" s="103"/>
      <c r="DY84" s="104">
        <v>1</v>
      </c>
      <c r="DZ84" s="104"/>
      <c r="EA84" s="104"/>
      <c r="EB84" s="104"/>
      <c r="EC84" s="104"/>
      <c r="ED84" s="104"/>
      <c r="EE84" s="104"/>
      <c r="EF84" s="104"/>
      <c r="EG84" s="104"/>
      <c r="EH84" s="104"/>
      <c r="EI84" s="104"/>
      <c r="EJ84" s="104"/>
      <c r="EK84" s="104">
        <f t="shared" si="29"/>
        <v>1</v>
      </c>
      <c r="EL84" s="104" t="str">
        <f t="shared" si="30"/>
        <v>Y</v>
      </c>
      <c r="EM84" s="62"/>
      <c r="EN84" s="6"/>
      <c r="EO84" s="6"/>
      <c r="EP84" s="6"/>
      <c r="EQ84" s="6"/>
      <c r="ER84" s="6"/>
    </row>
    <row r="85" spans="1:257" x14ac:dyDescent="0.2">
      <c r="A85" s="143"/>
      <c r="B85" s="1139" t="s">
        <v>235</v>
      </c>
      <c r="C85" s="1141" t="s">
        <v>234</v>
      </c>
      <c r="D85" s="1133"/>
      <c r="E85" s="1085"/>
      <c r="F85" s="1144"/>
      <c r="G85" s="1076" t="s">
        <v>349</v>
      </c>
      <c r="H85" s="1076" t="s">
        <v>342</v>
      </c>
      <c r="I85" s="1076"/>
      <c r="J85" s="1079">
        <f>Y85+AA85+AC85+AE85+AG85+AI85+AK85+AM85+AO85</f>
        <v>1</v>
      </c>
      <c r="K85" s="1076"/>
      <c r="L85" s="176"/>
      <c r="M85" s="186"/>
      <c r="N85" s="177"/>
      <c r="O85" s="172"/>
      <c r="P85" s="173"/>
      <c r="Q85" s="173"/>
      <c r="R85" s="173"/>
      <c r="S85" s="173"/>
      <c r="T85" s="173"/>
      <c r="U85" s="173"/>
      <c r="V85" s="174"/>
      <c r="W85" s="175"/>
      <c r="X85" s="1098" t="s">
        <v>350</v>
      </c>
      <c r="Y85" s="1081">
        <f>IF(HC="Y",IF(BF85="Y",Z85,0),0)</f>
        <v>0</v>
      </c>
      <c r="Z85" s="1081">
        <f>IF(inpatient="y",2,1)</f>
        <v>1</v>
      </c>
      <c r="AA85" s="1081">
        <f>IF(OFF="Y",IF(BN85="Y",AB85,0),0)</f>
        <v>1</v>
      </c>
      <c r="AB85" s="1081">
        <v>1</v>
      </c>
      <c r="AC85" s="1081">
        <f>IF(COURTS="Y",IF(BT85="Y",AD85,0),0)</f>
        <v>0</v>
      </c>
      <c r="AD85" s="1081">
        <v>1</v>
      </c>
      <c r="AE85" s="1081">
        <f>IF(PRISONS="Y",IF(CE85="Y",AF85,0),0)</f>
        <v>0</v>
      </c>
      <c r="AF85" s="1081">
        <v>1</v>
      </c>
      <c r="AG85" s="1081">
        <f>IF(RET="Y",IF(DA85="Y",AH85,0),0)</f>
        <v>0</v>
      </c>
      <c r="AH85" s="1081">
        <v>1</v>
      </c>
      <c r="AI85" s="1081">
        <f>IF(SCHOOLS="y",IF(DW85="y",AJ85,0),0)</f>
        <v>0</v>
      </c>
      <c r="AJ85" s="1081">
        <v>1</v>
      </c>
      <c r="AK85" s="1082">
        <f>IF(FE="y",IF(DW85="y",AL85,0),0)</f>
        <v>0</v>
      </c>
      <c r="AL85" s="1082">
        <v>1</v>
      </c>
      <c r="AM85" s="1082">
        <f>IF(HE="Y",IF(DW85="Y",AN85,0),0)</f>
        <v>0</v>
      </c>
      <c r="AN85" s="1082">
        <v>1</v>
      </c>
      <c r="AO85" s="1081">
        <f>IF(INDUSTRIAL="Y",IF(EL85="Y",AP85,0),0)</f>
        <v>0</v>
      </c>
      <c r="AP85" s="1081">
        <v>1</v>
      </c>
      <c r="AQ85" s="95">
        <v>1</v>
      </c>
      <c r="AR85" s="95"/>
      <c r="AS85" s="95"/>
      <c r="AT85" s="95"/>
      <c r="AU85" s="95"/>
      <c r="AV85" s="95"/>
      <c r="AW85" s="95"/>
      <c r="AX85" s="95"/>
      <c r="AY85" s="95"/>
      <c r="AZ85" s="95"/>
      <c r="BA85" s="95"/>
      <c r="BB85" s="95"/>
      <c r="BC85" s="95"/>
      <c r="BD85" s="95"/>
      <c r="BE85" s="95">
        <f t="shared" si="18"/>
        <v>1</v>
      </c>
      <c r="BF85" s="96" t="str">
        <f t="shared" si="19"/>
        <v>Y</v>
      </c>
      <c r="BG85" s="97"/>
      <c r="BH85" s="98">
        <v>1</v>
      </c>
      <c r="BI85" s="98"/>
      <c r="BJ85" s="98"/>
      <c r="BK85" s="98"/>
      <c r="BL85" s="111"/>
      <c r="BM85" s="98">
        <f t="shared" si="20"/>
        <v>1</v>
      </c>
      <c r="BN85" s="98" t="str">
        <f t="shared" si="21"/>
        <v>Y</v>
      </c>
      <c r="BO85" s="108"/>
      <c r="BP85" s="100">
        <v>1</v>
      </c>
      <c r="BQ85" s="100"/>
      <c r="BR85" s="100"/>
      <c r="BS85" s="100">
        <f t="shared" si="22"/>
        <v>1</v>
      </c>
      <c r="BT85" s="100" t="str">
        <f t="shared" si="23"/>
        <v>Y</v>
      </c>
      <c r="BU85" s="50"/>
      <c r="BV85" s="101">
        <v>1</v>
      </c>
      <c r="BW85" s="101"/>
      <c r="BX85" s="101"/>
      <c r="BY85" s="101"/>
      <c r="BZ85" s="101"/>
      <c r="CA85" s="101"/>
      <c r="CB85" s="101"/>
      <c r="CC85" s="101"/>
      <c r="CD85" s="101">
        <f t="shared" si="24"/>
        <v>1</v>
      </c>
      <c r="CE85" s="101" t="str">
        <f t="shared" si="25"/>
        <v>Y</v>
      </c>
      <c r="CF85" s="54"/>
      <c r="CG85" s="102"/>
      <c r="CH85" s="102"/>
      <c r="CI85" s="102"/>
      <c r="CJ85" s="102"/>
      <c r="CK85" s="102"/>
      <c r="CL85" s="102"/>
      <c r="CM85" s="102"/>
      <c r="CN85" s="102"/>
      <c r="CO85" s="102"/>
      <c r="CP85" s="102"/>
      <c r="CQ85" s="102"/>
      <c r="CR85" s="102"/>
      <c r="CS85" s="102"/>
      <c r="CT85" s="102"/>
      <c r="CU85" s="102"/>
      <c r="CV85" s="102" t="e">
        <v>#REF!</v>
      </c>
      <c r="CW85" s="102"/>
      <c r="CX85" s="102"/>
      <c r="CY85" s="102"/>
      <c r="CZ85" s="102" t="e">
        <f t="shared" si="26"/>
        <v>#REF!</v>
      </c>
      <c r="DA85" s="102" t="e">
        <f t="shared" si="27"/>
        <v>#REF!</v>
      </c>
      <c r="DB85" s="58"/>
      <c r="DC85" s="101">
        <v>1</v>
      </c>
      <c r="DD85" s="101"/>
      <c r="DE85" s="101"/>
      <c r="DF85" s="101"/>
      <c r="DG85" s="101"/>
      <c r="DH85" s="101"/>
      <c r="DI85" s="101"/>
      <c r="DJ85" s="101"/>
      <c r="DK85" s="101"/>
      <c r="DL85" s="101"/>
      <c r="DM85" s="101"/>
      <c r="DN85" s="101"/>
      <c r="DO85" s="101"/>
      <c r="DP85" s="101"/>
      <c r="DQ85" s="101"/>
      <c r="DR85" s="101"/>
      <c r="DS85" s="101"/>
      <c r="DT85" s="101"/>
      <c r="DU85" s="101"/>
      <c r="DV85" s="101">
        <f t="shared" si="28"/>
        <v>1</v>
      </c>
      <c r="DW85" s="101" t="str">
        <f t="shared" ref="DW85:DW96" si="32">IF(DV85&gt;=0.1,"Y","N")</f>
        <v>Y</v>
      </c>
      <c r="DX85" s="103"/>
      <c r="DY85" s="104"/>
      <c r="DZ85" s="104"/>
      <c r="EA85" s="104"/>
      <c r="EB85" s="104"/>
      <c r="EC85" s="104"/>
      <c r="ED85" s="104"/>
      <c r="EE85" s="104" t="e">
        <v>#REF!</v>
      </c>
      <c r="EF85" s="104"/>
      <c r="EG85" s="104"/>
      <c r="EH85" s="104"/>
      <c r="EI85" s="104"/>
      <c r="EJ85" s="104"/>
      <c r="EK85" s="104" t="e">
        <f t="shared" si="29"/>
        <v>#REF!</v>
      </c>
      <c r="EL85" s="104" t="e">
        <f t="shared" si="30"/>
        <v>#REF!</v>
      </c>
      <c r="EM85" s="62"/>
      <c r="EN85" s="6"/>
      <c r="EO85" s="6"/>
      <c r="EP85" s="6"/>
      <c r="EQ85" s="6"/>
      <c r="ER85" s="6"/>
    </row>
    <row r="86" spans="1:257" x14ac:dyDescent="0.2">
      <c r="A86" s="143"/>
      <c r="B86" s="1139"/>
      <c r="C86" s="1141"/>
      <c r="D86" s="1134"/>
      <c r="E86" s="1086"/>
      <c r="F86" s="1079"/>
      <c r="G86" s="1077"/>
      <c r="H86" s="1077"/>
      <c r="I86" s="1077"/>
      <c r="J86" s="1079"/>
      <c r="K86" s="1077"/>
      <c r="L86" s="181"/>
      <c r="M86" s="186"/>
      <c r="N86" s="177"/>
      <c r="O86" s="172"/>
      <c r="P86" s="173"/>
      <c r="Q86" s="173"/>
      <c r="R86" s="173"/>
      <c r="S86" s="173"/>
      <c r="T86" s="173"/>
      <c r="U86" s="173"/>
      <c r="V86" s="174"/>
      <c r="W86" s="175"/>
      <c r="X86" s="1099"/>
      <c r="Y86" s="1081"/>
      <c r="Z86" s="1081"/>
      <c r="AA86" s="1081"/>
      <c r="AB86" s="1081"/>
      <c r="AC86" s="1081"/>
      <c r="AD86" s="1081"/>
      <c r="AE86" s="1081"/>
      <c r="AF86" s="1081"/>
      <c r="AG86" s="1081"/>
      <c r="AH86" s="1081"/>
      <c r="AI86" s="1081"/>
      <c r="AJ86" s="1081"/>
      <c r="AK86" s="1082"/>
      <c r="AL86" s="1082"/>
      <c r="AM86" s="1082"/>
      <c r="AN86" s="1082"/>
      <c r="AO86" s="1081"/>
      <c r="AP86" s="1081"/>
      <c r="AQ86" s="95">
        <v>1</v>
      </c>
      <c r="AR86" s="95"/>
      <c r="AS86" s="95"/>
      <c r="AT86" s="95"/>
      <c r="AU86" s="95"/>
      <c r="AV86" s="95"/>
      <c r="AW86" s="95"/>
      <c r="AX86" s="95"/>
      <c r="AY86" s="95"/>
      <c r="AZ86" s="95"/>
      <c r="BA86" s="95"/>
      <c r="BB86" s="95"/>
      <c r="BC86" s="95"/>
      <c r="BD86" s="95"/>
      <c r="BE86" s="95">
        <f t="shared" si="18"/>
        <v>1</v>
      </c>
      <c r="BF86" s="96" t="str">
        <f t="shared" si="19"/>
        <v>Y</v>
      </c>
      <c r="BG86" s="97"/>
      <c r="BH86" s="98">
        <v>1</v>
      </c>
      <c r="BI86" s="98"/>
      <c r="BJ86" s="98"/>
      <c r="BK86" s="98"/>
      <c r="BL86" s="111"/>
      <c r="BM86" s="98">
        <f t="shared" si="20"/>
        <v>1</v>
      </c>
      <c r="BN86" s="98" t="str">
        <f t="shared" si="21"/>
        <v>Y</v>
      </c>
      <c r="BO86" s="108"/>
      <c r="BP86" s="100">
        <v>1</v>
      </c>
      <c r="BQ86" s="100"/>
      <c r="BR86" s="100"/>
      <c r="BS86" s="100">
        <f t="shared" si="22"/>
        <v>1</v>
      </c>
      <c r="BT86" s="100" t="str">
        <f t="shared" si="23"/>
        <v>Y</v>
      </c>
      <c r="BU86" s="50"/>
      <c r="BV86" s="101">
        <v>1</v>
      </c>
      <c r="BW86" s="101"/>
      <c r="BX86" s="101"/>
      <c r="BY86" s="101"/>
      <c r="BZ86" s="101"/>
      <c r="CA86" s="101"/>
      <c r="CB86" s="101"/>
      <c r="CC86" s="101"/>
      <c r="CD86" s="101">
        <f t="shared" si="24"/>
        <v>1</v>
      </c>
      <c r="CE86" s="101" t="str">
        <f t="shared" si="25"/>
        <v>Y</v>
      </c>
      <c r="CF86" s="54"/>
      <c r="CG86" s="102"/>
      <c r="CH86" s="102"/>
      <c r="CI86" s="102"/>
      <c r="CJ86" s="102"/>
      <c r="CK86" s="102"/>
      <c r="CL86" s="102"/>
      <c r="CM86" s="102"/>
      <c r="CN86" s="102"/>
      <c r="CO86" s="102"/>
      <c r="CP86" s="102"/>
      <c r="CQ86" s="102"/>
      <c r="CR86" s="102"/>
      <c r="CS86" s="102"/>
      <c r="CT86" s="102"/>
      <c r="CU86" s="102"/>
      <c r="CV86" s="102" t="e">
        <v>#REF!</v>
      </c>
      <c r="CW86" s="102"/>
      <c r="CX86" s="102"/>
      <c r="CY86" s="102"/>
      <c r="CZ86" s="102" t="e">
        <f t="shared" si="26"/>
        <v>#REF!</v>
      </c>
      <c r="DA86" s="102" t="e">
        <f t="shared" si="27"/>
        <v>#REF!</v>
      </c>
      <c r="DB86" s="58"/>
      <c r="DC86" s="101">
        <v>1</v>
      </c>
      <c r="DD86" s="101"/>
      <c r="DE86" s="101"/>
      <c r="DF86" s="101"/>
      <c r="DG86" s="101"/>
      <c r="DH86" s="101"/>
      <c r="DI86" s="101"/>
      <c r="DJ86" s="101"/>
      <c r="DK86" s="101"/>
      <c r="DL86" s="101"/>
      <c r="DM86" s="101"/>
      <c r="DN86" s="101"/>
      <c r="DO86" s="101"/>
      <c r="DP86" s="101"/>
      <c r="DQ86" s="101"/>
      <c r="DR86" s="101"/>
      <c r="DS86" s="101"/>
      <c r="DT86" s="101"/>
      <c r="DU86" s="101"/>
      <c r="DV86" s="101">
        <f t="shared" si="28"/>
        <v>1</v>
      </c>
      <c r="DW86" s="101" t="str">
        <f t="shared" si="32"/>
        <v>Y</v>
      </c>
      <c r="DX86" s="103"/>
      <c r="DY86" s="104"/>
      <c r="DZ86" s="104"/>
      <c r="EA86" s="104"/>
      <c r="EB86" s="104"/>
      <c r="EC86" s="104"/>
      <c r="ED86" s="104"/>
      <c r="EE86" s="104" t="e">
        <v>#REF!</v>
      </c>
      <c r="EF86" s="104"/>
      <c r="EG86" s="104"/>
      <c r="EH86" s="104"/>
      <c r="EI86" s="104"/>
      <c r="EJ86" s="104"/>
      <c r="EK86" s="104" t="e">
        <f t="shared" si="29"/>
        <v>#REF!</v>
      </c>
      <c r="EL86" s="104" t="e">
        <f t="shared" si="30"/>
        <v>#REF!</v>
      </c>
      <c r="EM86" s="62"/>
      <c r="EN86" s="6"/>
      <c r="EO86" s="6"/>
      <c r="EP86" s="6"/>
      <c r="EQ86" s="6"/>
      <c r="ER86" s="6"/>
    </row>
    <row r="87" spans="1:257" ht="13.5" thickBot="1" x14ac:dyDescent="0.25">
      <c r="A87" s="143"/>
      <c r="B87" s="1145"/>
      <c r="C87" s="1142"/>
      <c r="D87" s="1136"/>
      <c r="E87" s="1143"/>
      <c r="F87" s="1080"/>
      <c r="G87" s="1078"/>
      <c r="H87" s="1078"/>
      <c r="I87" s="1078"/>
      <c r="J87" s="1080"/>
      <c r="K87" s="1078"/>
      <c r="L87" s="181"/>
      <c r="M87" s="186"/>
      <c r="N87" s="177"/>
      <c r="O87" s="172"/>
      <c r="P87" s="173"/>
      <c r="Q87" s="173"/>
      <c r="R87" s="173"/>
      <c r="S87" s="173"/>
      <c r="T87" s="173"/>
      <c r="U87" s="173"/>
      <c r="V87" s="174"/>
      <c r="W87" s="175"/>
      <c r="X87" s="1100"/>
      <c r="Y87" s="1081"/>
      <c r="Z87" s="1081"/>
      <c r="AA87" s="1081"/>
      <c r="AB87" s="1081"/>
      <c r="AC87" s="1081"/>
      <c r="AD87" s="1081"/>
      <c r="AE87" s="1081"/>
      <c r="AF87" s="1081"/>
      <c r="AG87" s="1081"/>
      <c r="AH87" s="1081"/>
      <c r="AI87" s="1081"/>
      <c r="AJ87" s="1081"/>
      <c r="AK87" s="1082"/>
      <c r="AL87" s="1082"/>
      <c r="AM87" s="1082"/>
      <c r="AN87" s="1082"/>
      <c r="AO87" s="1081"/>
      <c r="AP87" s="1081"/>
      <c r="AQ87" s="95">
        <v>1</v>
      </c>
      <c r="AR87" s="95"/>
      <c r="AS87" s="95"/>
      <c r="AT87" s="95"/>
      <c r="AU87" s="95"/>
      <c r="AV87" s="95"/>
      <c r="AW87" s="95"/>
      <c r="AX87" s="95"/>
      <c r="AY87" s="95"/>
      <c r="AZ87" s="95"/>
      <c r="BA87" s="95"/>
      <c r="BB87" s="95"/>
      <c r="BC87" s="95"/>
      <c r="BD87" s="95"/>
      <c r="BE87" s="95">
        <f t="shared" si="18"/>
        <v>1</v>
      </c>
      <c r="BF87" s="96" t="str">
        <f t="shared" si="19"/>
        <v>Y</v>
      </c>
      <c r="BG87" s="97"/>
      <c r="BH87" s="98">
        <v>1</v>
      </c>
      <c r="BI87" s="98"/>
      <c r="BJ87" s="98"/>
      <c r="BK87" s="98"/>
      <c r="BL87" s="111"/>
      <c r="BM87" s="98">
        <f t="shared" si="20"/>
        <v>1</v>
      </c>
      <c r="BN87" s="98" t="str">
        <f t="shared" si="21"/>
        <v>Y</v>
      </c>
      <c r="BO87" s="115"/>
      <c r="BP87" s="100">
        <v>1</v>
      </c>
      <c r="BQ87" s="100"/>
      <c r="BR87" s="100"/>
      <c r="BS87" s="100">
        <f t="shared" si="22"/>
        <v>1</v>
      </c>
      <c r="BT87" s="100" t="str">
        <f t="shared" si="23"/>
        <v>Y</v>
      </c>
      <c r="BU87" s="50"/>
      <c r="BV87" s="101">
        <v>1</v>
      </c>
      <c r="BW87" s="101"/>
      <c r="BX87" s="101"/>
      <c r="BY87" s="101"/>
      <c r="BZ87" s="101"/>
      <c r="CA87" s="101"/>
      <c r="CB87" s="101"/>
      <c r="CC87" s="101"/>
      <c r="CD87" s="101">
        <f t="shared" si="24"/>
        <v>1</v>
      </c>
      <c r="CE87" s="101" t="str">
        <f t="shared" si="25"/>
        <v>Y</v>
      </c>
      <c r="CF87" s="54"/>
      <c r="CG87" s="102"/>
      <c r="CH87" s="102"/>
      <c r="CI87" s="102"/>
      <c r="CJ87" s="102"/>
      <c r="CK87" s="102"/>
      <c r="CL87" s="102"/>
      <c r="CM87" s="102"/>
      <c r="CN87" s="102"/>
      <c r="CO87" s="102"/>
      <c r="CP87" s="102"/>
      <c r="CQ87" s="102"/>
      <c r="CR87" s="102"/>
      <c r="CS87" s="102"/>
      <c r="CT87" s="102"/>
      <c r="CU87" s="102"/>
      <c r="CV87" s="102" t="e">
        <v>#REF!</v>
      </c>
      <c r="CW87" s="102"/>
      <c r="CX87" s="102"/>
      <c r="CY87" s="102"/>
      <c r="CZ87" s="102" t="e">
        <f t="shared" si="26"/>
        <v>#REF!</v>
      </c>
      <c r="DA87" s="102" t="e">
        <f t="shared" si="27"/>
        <v>#REF!</v>
      </c>
      <c r="DB87" s="58"/>
      <c r="DC87" s="101">
        <v>1</v>
      </c>
      <c r="DD87" s="101"/>
      <c r="DE87" s="101"/>
      <c r="DF87" s="101"/>
      <c r="DG87" s="101"/>
      <c r="DH87" s="101"/>
      <c r="DI87" s="101"/>
      <c r="DJ87" s="101"/>
      <c r="DK87" s="101"/>
      <c r="DL87" s="101"/>
      <c r="DM87" s="101"/>
      <c r="DN87" s="101"/>
      <c r="DO87" s="101"/>
      <c r="DP87" s="101"/>
      <c r="DQ87" s="101"/>
      <c r="DR87" s="101"/>
      <c r="DS87" s="101"/>
      <c r="DT87" s="101"/>
      <c r="DU87" s="101"/>
      <c r="DV87" s="101">
        <f t="shared" si="28"/>
        <v>1</v>
      </c>
      <c r="DW87" s="101" t="str">
        <f t="shared" si="32"/>
        <v>Y</v>
      </c>
      <c r="DX87" s="103"/>
      <c r="DY87" s="104"/>
      <c r="DZ87" s="104"/>
      <c r="EA87" s="104"/>
      <c r="EB87" s="104"/>
      <c r="EC87" s="104"/>
      <c r="ED87" s="104"/>
      <c r="EE87" s="104" t="e">
        <v>#REF!</v>
      </c>
      <c r="EF87" s="104"/>
      <c r="EG87" s="104"/>
      <c r="EH87" s="104"/>
      <c r="EI87" s="104"/>
      <c r="EJ87" s="104"/>
      <c r="EK87" s="104" t="e">
        <f t="shared" si="29"/>
        <v>#REF!</v>
      </c>
      <c r="EL87" s="104" t="e">
        <f t="shared" si="30"/>
        <v>#REF!</v>
      </c>
      <c r="EM87" s="62"/>
      <c r="EN87" s="6"/>
      <c r="EO87" s="6"/>
      <c r="EP87" s="6"/>
      <c r="EQ87" s="6"/>
      <c r="ER87" s="6"/>
    </row>
    <row r="88" spans="1:257" x14ac:dyDescent="0.2">
      <c r="A88" s="143"/>
      <c r="B88" s="1138" t="s">
        <v>233</v>
      </c>
      <c r="C88" s="1140" t="s">
        <v>232</v>
      </c>
      <c r="D88" s="1133"/>
      <c r="E88" s="1085"/>
      <c r="F88" s="1144"/>
      <c r="G88" s="1076" t="s">
        <v>348</v>
      </c>
      <c r="H88" s="1076" t="s">
        <v>322</v>
      </c>
      <c r="I88" s="1076"/>
      <c r="J88" s="1079">
        <f>Y88+AA88+AC88+AE88+AG88+AI88+AK88+AM88+AO88</f>
        <v>2</v>
      </c>
      <c r="K88" s="1076"/>
      <c r="L88" s="181"/>
      <c r="M88" s="186"/>
      <c r="N88" s="177"/>
      <c r="O88" s="172"/>
      <c r="P88" s="173"/>
      <c r="Q88" s="173"/>
      <c r="R88" s="173"/>
      <c r="S88" s="173"/>
      <c r="T88" s="173"/>
      <c r="U88" s="173"/>
      <c r="V88" s="174"/>
      <c r="W88" s="175"/>
      <c r="X88" s="1098" t="s">
        <v>413</v>
      </c>
      <c r="Y88" s="1081">
        <f>IF(HC="Y",IF(BF88="Y",Z88,0),0)</f>
        <v>0</v>
      </c>
      <c r="Z88" s="1081">
        <v>2</v>
      </c>
      <c r="AA88" s="1081">
        <f>IF(OFF="Y",IF(BN88="Y",AB88,0),0)</f>
        <v>2</v>
      </c>
      <c r="AB88" s="1081">
        <v>2</v>
      </c>
      <c r="AC88" s="1081">
        <f>IF(COURTS="Y",IF(BT88="Y",AD88,0),0)</f>
        <v>0</v>
      </c>
      <c r="AD88" s="1081">
        <v>2</v>
      </c>
      <c r="AE88" s="1081">
        <f>IF(PRISONS="Y",IF(CE88="Y",AF88,0),0)</f>
        <v>0</v>
      </c>
      <c r="AF88" s="1081">
        <v>3</v>
      </c>
      <c r="AG88" s="1081">
        <f>IF(RET="Y",IF(DA88="Y",AH88,0),0)</f>
        <v>0</v>
      </c>
      <c r="AH88" s="1081">
        <v>2</v>
      </c>
      <c r="AI88" s="1081">
        <f>IF(SCHOOLS="y",IF(DW88="y",AJ88,0),0)</f>
        <v>0</v>
      </c>
      <c r="AJ88" s="1081">
        <v>2</v>
      </c>
      <c r="AK88" s="1082">
        <f>IF(FE="y",IF(DW88="y",AL88,0),0)</f>
        <v>0</v>
      </c>
      <c r="AL88" s="1082">
        <v>2</v>
      </c>
      <c r="AM88" s="1082">
        <f>IF(HE="Y",IF(DW88="Y",AN88,0),0)</f>
        <v>0</v>
      </c>
      <c r="AN88" s="1082">
        <v>2</v>
      </c>
      <c r="AO88" s="1081">
        <f>IF(INDUSTRIAL="Y",IF(EL88="Y",AP88,0),0)</f>
        <v>0</v>
      </c>
      <c r="AP88" s="1081">
        <v>2</v>
      </c>
      <c r="AQ88" s="95">
        <v>1</v>
      </c>
      <c r="AR88" s="95"/>
      <c r="AS88" s="95"/>
      <c r="AT88" s="95"/>
      <c r="AU88" s="95"/>
      <c r="AV88" s="95"/>
      <c r="AW88" s="95"/>
      <c r="AX88" s="95"/>
      <c r="AY88" s="95"/>
      <c r="AZ88" s="95"/>
      <c r="BA88" s="95"/>
      <c r="BB88" s="95"/>
      <c r="BC88" s="95"/>
      <c r="BD88" s="95"/>
      <c r="BE88" s="95">
        <f t="shared" si="18"/>
        <v>1</v>
      </c>
      <c r="BF88" s="96" t="str">
        <f t="shared" si="19"/>
        <v>Y</v>
      </c>
      <c r="BG88" s="97"/>
      <c r="BH88" s="98">
        <v>1</v>
      </c>
      <c r="BI88" s="98"/>
      <c r="BJ88" s="98"/>
      <c r="BK88" s="98"/>
      <c r="BL88" s="111"/>
      <c r="BM88" s="98">
        <f t="shared" si="20"/>
        <v>1</v>
      </c>
      <c r="BN88" s="98" t="str">
        <f t="shared" si="21"/>
        <v>Y</v>
      </c>
      <c r="BO88" s="108"/>
      <c r="BP88" s="100">
        <v>1</v>
      </c>
      <c r="BQ88" s="100"/>
      <c r="BR88" s="100"/>
      <c r="BS88" s="100">
        <f t="shared" si="22"/>
        <v>1</v>
      </c>
      <c r="BT88" s="100" t="str">
        <f t="shared" si="23"/>
        <v>Y</v>
      </c>
      <c r="BU88" s="50"/>
      <c r="BV88" s="101">
        <v>1</v>
      </c>
      <c r="BW88" s="101"/>
      <c r="BX88" s="101"/>
      <c r="BY88" s="101"/>
      <c r="BZ88" s="101"/>
      <c r="CA88" s="101"/>
      <c r="CB88" s="101"/>
      <c r="CC88" s="101"/>
      <c r="CD88" s="101">
        <f t="shared" si="24"/>
        <v>1</v>
      </c>
      <c r="CE88" s="101" t="str">
        <f t="shared" si="25"/>
        <v>Y</v>
      </c>
      <c r="CF88" s="54"/>
      <c r="CG88" s="102">
        <v>1</v>
      </c>
      <c r="CH88" s="102"/>
      <c r="CI88" s="102"/>
      <c r="CJ88" s="102"/>
      <c r="CK88" s="102"/>
      <c r="CL88" s="102"/>
      <c r="CM88" s="102"/>
      <c r="CN88" s="102"/>
      <c r="CO88" s="102"/>
      <c r="CP88" s="102"/>
      <c r="CQ88" s="102"/>
      <c r="CR88" s="102"/>
      <c r="CS88" s="102"/>
      <c r="CT88" s="102"/>
      <c r="CU88" s="102"/>
      <c r="CV88" s="102"/>
      <c r="CW88" s="102"/>
      <c r="CX88" s="102"/>
      <c r="CY88" s="102"/>
      <c r="CZ88" s="102">
        <f t="shared" si="26"/>
        <v>1</v>
      </c>
      <c r="DA88" s="102" t="str">
        <f t="shared" si="27"/>
        <v>Y</v>
      </c>
      <c r="DB88" s="58"/>
      <c r="DC88" s="101">
        <v>1</v>
      </c>
      <c r="DD88" s="101"/>
      <c r="DE88" s="101"/>
      <c r="DF88" s="101"/>
      <c r="DG88" s="101"/>
      <c r="DH88" s="101"/>
      <c r="DI88" s="101"/>
      <c r="DJ88" s="101"/>
      <c r="DK88" s="101"/>
      <c r="DL88" s="101"/>
      <c r="DM88" s="101"/>
      <c r="DN88" s="101"/>
      <c r="DO88" s="101"/>
      <c r="DP88" s="101"/>
      <c r="DQ88" s="101"/>
      <c r="DR88" s="101"/>
      <c r="DS88" s="101"/>
      <c r="DT88" s="101"/>
      <c r="DU88" s="101"/>
      <c r="DV88" s="101">
        <f t="shared" si="28"/>
        <v>1</v>
      </c>
      <c r="DW88" s="101" t="str">
        <f t="shared" si="32"/>
        <v>Y</v>
      </c>
      <c r="DX88" s="103"/>
      <c r="DY88" s="104">
        <v>1</v>
      </c>
      <c r="DZ88" s="104"/>
      <c r="EA88" s="104"/>
      <c r="EB88" s="104"/>
      <c r="EC88" s="104"/>
      <c r="ED88" s="104"/>
      <c r="EE88" s="104"/>
      <c r="EF88" s="104"/>
      <c r="EG88" s="104"/>
      <c r="EH88" s="104"/>
      <c r="EI88" s="104"/>
      <c r="EJ88" s="104"/>
      <c r="EK88" s="104">
        <f t="shared" si="29"/>
        <v>1</v>
      </c>
      <c r="EL88" s="104" t="str">
        <f t="shared" si="30"/>
        <v>Y</v>
      </c>
      <c r="EM88" s="62"/>
      <c r="EN88" s="6"/>
      <c r="EO88" s="6"/>
      <c r="EP88" s="6"/>
      <c r="EQ88" s="6"/>
      <c r="ER88" s="6"/>
    </row>
    <row r="89" spans="1:257" x14ac:dyDescent="0.2">
      <c r="A89" s="143"/>
      <c r="B89" s="1139"/>
      <c r="C89" s="1141"/>
      <c r="D89" s="1134"/>
      <c r="E89" s="1086"/>
      <c r="F89" s="1079"/>
      <c r="G89" s="1077"/>
      <c r="H89" s="1077"/>
      <c r="I89" s="1077"/>
      <c r="J89" s="1079"/>
      <c r="K89" s="1077"/>
      <c r="L89" s="181"/>
      <c r="M89" s="186"/>
      <c r="N89" s="177"/>
      <c r="O89" s="172"/>
      <c r="P89" s="173"/>
      <c r="Q89" s="173"/>
      <c r="R89" s="173"/>
      <c r="S89" s="173"/>
      <c r="T89" s="173"/>
      <c r="U89" s="173"/>
      <c r="V89" s="174"/>
      <c r="W89" s="175"/>
      <c r="X89" s="1099"/>
      <c r="Y89" s="1081"/>
      <c r="Z89" s="1081"/>
      <c r="AA89" s="1081"/>
      <c r="AB89" s="1081"/>
      <c r="AC89" s="1081"/>
      <c r="AD89" s="1081"/>
      <c r="AE89" s="1081"/>
      <c r="AF89" s="1081"/>
      <c r="AG89" s="1081"/>
      <c r="AH89" s="1081"/>
      <c r="AI89" s="1081"/>
      <c r="AJ89" s="1081"/>
      <c r="AK89" s="1082"/>
      <c r="AL89" s="1082"/>
      <c r="AM89" s="1082"/>
      <c r="AN89" s="1082"/>
      <c r="AO89" s="1081"/>
      <c r="AP89" s="1081"/>
      <c r="AQ89" s="95">
        <v>1</v>
      </c>
      <c r="AR89" s="95"/>
      <c r="AS89" s="95"/>
      <c r="AT89" s="95"/>
      <c r="AU89" s="95"/>
      <c r="AV89" s="95"/>
      <c r="AW89" s="95"/>
      <c r="AX89" s="95"/>
      <c r="AY89" s="95"/>
      <c r="AZ89" s="95"/>
      <c r="BA89" s="95"/>
      <c r="BB89" s="95"/>
      <c r="BC89" s="95"/>
      <c r="BD89" s="95"/>
      <c r="BE89" s="95">
        <f t="shared" si="18"/>
        <v>1</v>
      </c>
      <c r="BF89" s="96" t="str">
        <f t="shared" si="19"/>
        <v>Y</v>
      </c>
      <c r="BG89" s="97"/>
      <c r="BH89" s="98">
        <v>1</v>
      </c>
      <c r="BI89" s="98"/>
      <c r="BJ89" s="98"/>
      <c r="BK89" s="98"/>
      <c r="BL89" s="111"/>
      <c r="BM89" s="98">
        <f t="shared" si="20"/>
        <v>1</v>
      </c>
      <c r="BN89" s="98" t="str">
        <f t="shared" si="21"/>
        <v>Y</v>
      </c>
      <c r="BO89" s="108"/>
      <c r="BP89" s="100">
        <v>1</v>
      </c>
      <c r="BQ89" s="100"/>
      <c r="BR89" s="100"/>
      <c r="BS89" s="100">
        <f t="shared" si="22"/>
        <v>1</v>
      </c>
      <c r="BT89" s="100" t="str">
        <f t="shared" si="23"/>
        <v>Y</v>
      </c>
      <c r="BU89" s="50"/>
      <c r="BV89" s="101">
        <v>1</v>
      </c>
      <c r="BW89" s="101"/>
      <c r="BX89" s="101"/>
      <c r="BY89" s="101"/>
      <c r="BZ89" s="101"/>
      <c r="CA89" s="101"/>
      <c r="CB89" s="101"/>
      <c r="CC89" s="101"/>
      <c r="CD89" s="101">
        <f t="shared" si="24"/>
        <v>1</v>
      </c>
      <c r="CE89" s="101" t="str">
        <f t="shared" si="25"/>
        <v>Y</v>
      </c>
      <c r="CF89" s="54"/>
      <c r="CG89" s="102">
        <v>1</v>
      </c>
      <c r="CH89" s="102"/>
      <c r="CI89" s="102"/>
      <c r="CJ89" s="102"/>
      <c r="CK89" s="102"/>
      <c r="CL89" s="102"/>
      <c r="CM89" s="102"/>
      <c r="CN89" s="102"/>
      <c r="CO89" s="102"/>
      <c r="CP89" s="102"/>
      <c r="CQ89" s="102"/>
      <c r="CR89" s="102"/>
      <c r="CS89" s="102"/>
      <c r="CT89" s="102"/>
      <c r="CU89" s="102"/>
      <c r="CV89" s="102"/>
      <c r="CW89" s="102"/>
      <c r="CX89" s="102"/>
      <c r="CY89" s="102"/>
      <c r="CZ89" s="102">
        <f t="shared" si="26"/>
        <v>1</v>
      </c>
      <c r="DA89" s="102" t="str">
        <f t="shared" si="27"/>
        <v>Y</v>
      </c>
      <c r="DB89" s="58"/>
      <c r="DC89" s="101">
        <v>1</v>
      </c>
      <c r="DD89" s="101"/>
      <c r="DE89" s="101"/>
      <c r="DF89" s="101"/>
      <c r="DG89" s="101"/>
      <c r="DH89" s="101"/>
      <c r="DI89" s="101"/>
      <c r="DJ89" s="101"/>
      <c r="DK89" s="101"/>
      <c r="DL89" s="101"/>
      <c r="DM89" s="101"/>
      <c r="DN89" s="101"/>
      <c r="DO89" s="101"/>
      <c r="DP89" s="101"/>
      <c r="DQ89" s="101"/>
      <c r="DR89" s="101"/>
      <c r="DS89" s="101"/>
      <c r="DT89" s="101"/>
      <c r="DU89" s="101"/>
      <c r="DV89" s="101">
        <f t="shared" si="28"/>
        <v>1</v>
      </c>
      <c r="DW89" s="101" t="str">
        <f t="shared" si="32"/>
        <v>Y</v>
      </c>
      <c r="DX89" s="103"/>
      <c r="DY89" s="104">
        <v>1</v>
      </c>
      <c r="DZ89" s="104"/>
      <c r="EA89" s="104"/>
      <c r="EB89" s="104"/>
      <c r="EC89" s="104"/>
      <c r="ED89" s="104"/>
      <c r="EE89" s="104"/>
      <c r="EF89" s="104"/>
      <c r="EG89" s="104"/>
      <c r="EH89" s="104"/>
      <c r="EI89" s="104"/>
      <c r="EJ89" s="104"/>
      <c r="EK89" s="104">
        <f t="shared" si="29"/>
        <v>1</v>
      </c>
      <c r="EL89" s="104" t="str">
        <f t="shared" si="30"/>
        <v>Y</v>
      </c>
      <c r="EM89" s="62"/>
      <c r="EN89" s="6"/>
      <c r="EO89" s="6"/>
      <c r="EP89" s="6"/>
      <c r="EQ89" s="6"/>
      <c r="ER89" s="6"/>
    </row>
    <row r="90" spans="1:257" s="119" customFormat="1" ht="13.5" thickBot="1" x14ac:dyDescent="0.25">
      <c r="A90" s="143"/>
      <c r="B90" s="1139"/>
      <c r="C90" s="1141"/>
      <c r="D90" s="1136"/>
      <c r="E90" s="1086"/>
      <c r="F90" s="1079"/>
      <c r="G90" s="1077"/>
      <c r="H90" s="1077"/>
      <c r="I90" s="1077"/>
      <c r="J90" s="1080"/>
      <c r="K90" s="1077"/>
      <c r="L90" s="181"/>
      <c r="M90" s="186"/>
      <c r="N90" s="177"/>
      <c r="O90" s="172"/>
      <c r="P90" s="173"/>
      <c r="Q90" s="173"/>
      <c r="R90" s="173"/>
      <c r="S90" s="173"/>
      <c r="T90" s="173"/>
      <c r="U90" s="173"/>
      <c r="V90" s="174"/>
      <c r="W90" s="175"/>
      <c r="X90" s="1100"/>
      <c r="Y90" s="1081"/>
      <c r="Z90" s="1081"/>
      <c r="AA90" s="1081"/>
      <c r="AB90" s="1081"/>
      <c r="AC90" s="1081"/>
      <c r="AD90" s="1081"/>
      <c r="AE90" s="1081"/>
      <c r="AF90" s="1081"/>
      <c r="AG90" s="1081"/>
      <c r="AH90" s="1081"/>
      <c r="AI90" s="1081"/>
      <c r="AJ90" s="1081"/>
      <c r="AK90" s="1082"/>
      <c r="AL90" s="1082"/>
      <c r="AM90" s="1082"/>
      <c r="AN90" s="1082"/>
      <c r="AO90" s="1081"/>
      <c r="AP90" s="1081"/>
      <c r="AQ90" s="95">
        <v>1</v>
      </c>
      <c r="AR90" s="95"/>
      <c r="AS90" s="95"/>
      <c r="AT90" s="95"/>
      <c r="AU90" s="95"/>
      <c r="AV90" s="95"/>
      <c r="AW90" s="95"/>
      <c r="AX90" s="95"/>
      <c r="AY90" s="95"/>
      <c r="AZ90" s="95"/>
      <c r="BA90" s="95"/>
      <c r="BB90" s="95"/>
      <c r="BC90" s="95"/>
      <c r="BD90" s="95"/>
      <c r="BE90" s="95">
        <f t="shared" si="18"/>
        <v>1</v>
      </c>
      <c r="BF90" s="96" t="str">
        <f t="shared" si="19"/>
        <v>Y</v>
      </c>
      <c r="BG90" s="97"/>
      <c r="BH90" s="98">
        <v>1</v>
      </c>
      <c r="BI90" s="98"/>
      <c r="BJ90" s="98"/>
      <c r="BK90" s="98"/>
      <c r="BL90" s="111"/>
      <c r="BM90" s="98">
        <f t="shared" si="20"/>
        <v>1</v>
      </c>
      <c r="BN90" s="98" t="str">
        <f t="shared" si="21"/>
        <v>Y</v>
      </c>
      <c r="BO90" s="108"/>
      <c r="BP90" s="100">
        <v>1</v>
      </c>
      <c r="BQ90" s="100"/>
      <c r="BR90" s="100"/>
      <c r="BS90" s="100">
        <f t="shared" si="22"/>
        <v>1</v>
      </c>
      <c r="BT90" s="100" t="str">
        <f t="shared" si="23"/>
        <v>Y</v>
      </c>
      <c r="BU90" s="50"/>
      <c r="BV90" s="101">
        <v>1</v>
      </c>
      <c r="BW90" s="101"/>
      <c r="BX90" s="101"/>
      <c r="BY90" s="101"/>
      <c r="BZ90" s="101"/>
      <c r="CA90" s="101"/>
      <c r="CB90" s="101"/>
      <c r="CC90" s="101"/>
      <c r="CD90" s="101">
        <f t="shared" si="24"/>
        <v>1</v>
      </c>
      <c r="CE90" s="101" t="str">
        <f t="shared" si="25"/>
        <v>Y</v>
      </c>
      <c r="CF90" s="54"/>
      <c r="CG90" s="102">
        <v>1</v>
      </c>
      <c r="CH90" s="102"/>
      <c r="CI90" s="102"/>
      <c r="CJ90" s="102"/>
      <c r="CK90" s="102"/>
      <c r="CL90" s="102"/>
      <c r="CM90" s="102"/>
      <c r="CN90" s="102"/>
      <c r="CO90" s="102"/>
      <c r="CP90" s="102"/>
      <c r="CQ90" s="102"/>
      <c r="CR90" s="102"/>
      <c r="CS90" s="102"/>
      <c r="CT90" s="102"/>
      <c r="CU90" s="102"/>
      <c r="CV90" s="102"/>
      <c r="CW90" s="102"/>
      <c r="CX90" s="102"/>
      <c r="CY90" s="102"/>
      <c r="CZ90" s="102">
        <f t="shared" si="26"/>
        <v>1</v>
      </c>
      <c r="DA90" s="102" t="str">
        <f t="shared" si="27"/>
        <v>Y</v>
      </c>
      <c r="DB90" s="58"/>
      <c r="DC90" s="101">
        <v>1</v>
      </c>
      <c r="DD90" s="101"/>
      <c r="DE90" s="101"/>
      <c r="DF90" s="101"/>
      <c r="DG90" s="101"/>
      <c r="DH90" s="101"/>
      <c r="DI90" s="101"/>
      <c r="DJ90" s="101"/>
      <c r="DK90" s="101"/>
      <c r="DL90" s="101"/>
      <c r="DM90" s="101"/>
      <c r="DN90" s="101"/>
      <c r="DO90" s="101"/>
      <c r="DP90" s="101"/>
      <c r="DQ90" s="101"/>
      <c r="DR90" s="101"/>
      <c r="DS90" s="101"/>
      <c r="DT90" s="101"/>
      <c r="DU90" s="101"/>
      <c r="DV90" s="101">
        <f t="shared" si="28"/>
        <v>1</v>
      </c>
      <c r="DW90" s="101" t="str">
        <f t="shared" si="32"/>
        <v>Y</v>
      </c>
      <c r="DX90" s="103"/>
      <c r="DY90" s="104">
        <v>1</v>
      </c>
      <c r="DZ90" s="104"/>
      <c r="EA90" s="104"/>
      <c r="EB90" s="104"/>
      <c r="EC90" s="104"/>
      <c r="ED90" s="104"/>
      <c r="EE90" s="104"/>
      <c r="EF90" s="104"/>
      <c r="EG90" s="104"/>
      <c r="EH90" s="104"/>
      <c r="EI90" s="104"/>
      <c r="EJ90" s="104"/>
      <c r="EK90" s="104">
        <f t="shared" si="29"/>
        <v>1</v>
      </c>
      <c r="EL90" s="104" t="str">
        <f t="shared" si="30"/>
        <v>Y</v>
      </c>
      <c r="EM90" s="62"/>
      <c r="EN90" s="23"/>
      <c r="EO90" s="23"/>
      <c r="EP90" s="23"/>
      <c r="EQ90" s="23"/>
      <c r="ER90" s="23"/>
      <c r="ES90" s="23"/>
      <c r="ET90" s="23"/>
      <c r="EU90" s="23"/>
      <c r="EV90" s="23"/>
      <c r="EW90" s="23"/>
      <c r="EX90" s="23"/>
      <c r="EY90" s="23"/>
      <c r="EZ90" s="23"/>
      <c r="FA90" s="23"/>
      <c r="FB90" s="23"/>
      <c r="FC90" s="23"/>
      <c r="FD90" s="23"/>
      <c r="FE90" s="23"/>
      <c r="FF90" s="23"/>
      <c r="FG90" s="118"/>
      <c r="FH90" s="118"/>
      <c r="FI90" s="118"/>
      <c r="FJ90" s="118"/>
      <c r="FK90" s="118"/>
      <c r="FL90" s="118"/>
      <c r="FM90" s="118"/>
      <c r="FN90" s="118"/>
      <c r="FO90" s="118"/>
      <c r="FP90" s="118"/>
      <c r="FQ90" s="118"/>
      <c r="FR90" s="118"/>
      <c r="FS90" s="118"/>
      <c r="FT90" s="118"/>
      <c r="FU90" s="118"/>
      <c r="FV90" s="118"/>
      <c r="FW90" s="118"/>
      <c r="FX90" s="118"/>
      <c r="FY90" s="118"/>
      <c r="FZ90" s="118"/>
      <c r="GA90" s="118"/>
      <c r="GB90" s="118"/>
      <c r="GC90" s="118"/>
      <c r="GD90" s="118"/>
      <c r="GE90" s="118"/>
      <c r="GF90" s="118"/>
      <c r="GG90" s="118"/>
      <c r="GH90" s="118"/>
      <c r="GI90" s="118"/>
      <c r="GJ90" s="118"/>
      <c r="GK90" s="118"/>
      <c r="GL90" s="118"/>
      <c r="GM90" s="118"/>
      <c r="GN90" s="118"/>
      <c r="GO90" s="118"/>
      <c r="GP90" s="118"/>
      <c r="GQ90" s="118"/>
      <c r="GR90" s="118"/>
      <c r="GS90" s="118"/>
      <c r="GT90" s="118"/>
      <c r="GU90" s="118"/>
      <c r="GV90" s="118"/>
      <c r="GW90" s="118"/>
      <c r="GX90" s="118"/>
      <c r="GY90" s="118"/>
      <c r="GZ90" s="118"/>
      <c r="HA90" s="118"/>
      <c r="HB90" s="118"/>
      <c r="HC90" s="118"/>
      <c r="HD90" s="118"/>
      <c r="HE90" s="118"/>
      <c r="HF90" s="118"/>
      <c r="HG90" s="118"/>
      <c r="HH90" s="118"/>
      <c r="HI90" s="118"/>
      <c r="HJ90" s="118"/>
      <c r="HK90" s="118"/>
      <c r="HL90" s="118"/>
      <c r="HM90" s="118"/>
      <c r="HN90" s="118"/>
      <c r="HO90" s="118"/>
      <c r="HP90" s="118"/>
      <c r="HQ90" s="118"/>
      <c r="HR90" s="118"/>
      <c r="HS90" s="118"/>
      <c r="HT90" s="118"/>
      <c r="HU90" s="118"/>
      <c r="HV90" s="118"/>
      <c r="HW90" s="118"/>
      <c r="HX90" s="118"/>
      <c r="HY90" s="118"/>
      <c r="HZ90" s="118"/>
      <c r="IA90" s="118"/>
      <c r="IB90" s="118"/>
      <c r="IC90" s="118"/>
      <c r="ID90" s="118"/>
      <c r="IE90" s="118"/>
      <c r="IF90" s="118"/>
      <c r="IG90" s="118"/>
      <c r="IH90" s="118"/>
      <c r="II90" s="118"/>
      <c r="IJ90" s="118"/>
      <c r="IK90" s="118"/>
      <c r="IL90" s="118"/>
      <c r="IM90" s="118"/>
      <c r="IN90" s="118"/>
      <c r="IO90" s="118"/>
      <c r="IP90" s="118"/>
      <c r="IQ90" s="118"/>
      <c r="IR90" s="118"/>
      <c r="IS90" s="118"/>
      <c r="IT90" s="118"/>
      <c r="IU90" s="118"/>
      <c r="IV90" s="118"/>
      <c r="IW90" s="118"/>
    </row>
    <row r="91" spans="1:257" s="14" customFormat="1" x14ac:dyDescent="0.2">
      <c r="A91" s="143"/>
      <c r="B91" s="1138" t="s">
        <v>231</v>
      </c>
      <c r="C91" s="1140" t="s">
        <v>230</v>
      </c>
      <c r="D91" s="1133"/>
      <c r="E91" s="1085"/>
      <c r="F91" s="1144"/>
      <c r="G91" s="1076" t="s">
        <v>347</v>
      </c>
      <c r="H91" s="1076" t="s">
        <v>343</v>
      </c>
      <c r="I91" s="1076"/>
      <c r="J91" s="1079">
        <f>Y91+AA91+AC91+AE91+AG91+AI91+AK91+AM91+AO91</f>
        <v>1</v>
      </c>
      <c r="K91" s="1076"/>
      <c r="L91" s="176"/>
      <c r="M91" s="186"/>
      <c r="N91" s="177"/>
      <c r="O91" s="172"/>
      <c r="P91" s="173"/>
      <c r="Q91" s="173"/>
      <c r="R91" s="173"/>
      <c r="S91" s="173"/>
      <c r="T91" s="173"/>
      <c r="U91" s="173"/>
      <c r="V91" s="174"/>
      <c r="W91" s="175"/>
      <c r="X91" s="1098" t="s">
        <v>382</v>
      </c>
      <c r="Y91" s="1081">
        <f>IF(HC="Y",IF(BF91="Y",Z91,0),0)</f>
        <v>0</v>
      </c>
      <c r="Z91" s="1081">
        <v>1</v>
      </c>
      <c r="AA91" s="1081">
        <f>IF(OFF="Y",IF(BN91="Y",AB91,0),0)</f>
        <v>1</v>
      </c>
      <c r="AB91" s="1081">
        <v>1</v>
      </c>
      <c r="AC91" s="1081">
        <f>IF(COURTS="Y",IF(BT91="Y",AD91,0),0)</f>
        <v>0</v>
      </c>
      <c r="AD91" s="1081">
        <v>1</v>
      </c>
      <c r="AE91" s="1081">
        <f>IF(PRISONS="Y",IF(CE91="Y",AF91,0),0)</f>
        <v>0</v>
      </c>
      <c r="AF91" s="1081">
        <v>1</v>
      </c>
      <c r="AG91" s="1081">
        <f>IF(RET="Y",IF(DA91="Y",AH91,0),0)</f>
        <v>0</v>
      </c>
      <c r="AH91" s="1081">
        <v>1</v>
      </c>
      <c r="AI91" s="1081">
        <f>IF(SCHOOLS="y",IF(DW91="y",AJ91,0),0)</f>
        <v>0</v>
      </c>
      <c r="AJ91" s="1081">
        <v>1</v>
      </c>
      <c r="AK91" s="1082">
        <f>IF(FE="y",IF(DW91="y",AL91,0),0)</f>
        <v>0</v>
      </c>
      <c r="AL91" s="1082">
        <v>1</v>
      </c>
      <c r="AM91" s="1082">
        <f>IF(HE="Y",IF(DW91="Y",AN91,0),0)</f>
        <v>0</v>
      </c>
      <c r="AN91" s="1082">
        <v>1</v>
      </c>
      <c r="AO91" s="1081">
        <f>IF(INDUSTRIAL="Y",IF(EL91="Y",AP91,0),0)</f>
        <v>0</v>
      </c>
      <c r="AP91" s="1081">
        <v>1</v>
      </c>
      <c r="AQ91" s="95">
        <v>1</v>
      </c>
      <c r="AR91" s="95"/>
      <c r="AS91" s="95"/>
      <c r="AT91" s="95"/>
      <c r="AU91" s="95"/>
      <c r="AV91" s="95"/>
      <c r="AW91" s="95"/>
      <c r="AX91" s="95"/>
      <c r="AY91" s="95"/>
      <c r="AZ91" s="95"/>
      <c r="BA91" s="95"/>
      <c r="BB91" s="95"/>
      <c r="BC91" s="95"/>
      <c r="BD91" s="95"/>
      <c r="BE91" s="95">
        <f t="shared" si="18"/>
        <v>1</v>
      </c>
      <c r="BF91" s="96" t="str">
        <f t="shared" si="19"/>
        <v>Y</v>
      </c>
      <c r="BG91" s="97"/>
      <c r="BH91" s="98">
        <v>1</v>
      </c>
      <c r="BI91" s="98"/>
      <c r="BJ91" s="98"/>
      <c r="BK91" s="98"/>
      <c r="BL91" s="111"/>
      <c r="BM91" s="98">
        <f t="shared" si="20"/>
        <v>1</v>
      </c>
      <c r="BN91" s="98" t="str">
        <f t="shared" si="21"/>
        <v>Y</v>
      </c>
      <c r="BO91" s="108"/>
      <c r="BP91" s="100">
        <v>1</v>
      </c>
      <c r="BQ91" s="100"/>
      <c r="BR91" s="100"/>
      <c r="BS91" s="100">
        <f t="shared" si="22"/>
        <v>1</v>
      </c>
      <c r="BT91" s="100" t="str">
        <f t="shared" si="23"/>
        <v>Y</v>
      </c>
      <c r="BU91" s="50"/>
      <c r="BV91" s="101">
        <v>1</v>
      </c>
      <c r="BW91" s="101"/>
      <c r="BX91" s="101"/>
      <c r="BY91" s="101"/>
      <c r="BZ91" s="101"/>
      <c r="CA91" s="101"/>
      <c r="CB91" s="101"/>
      <c r="CC91" s="101"/>
      <c r="CD91" s="101">
        <f t="shared" si="24"/>
        <v>1</v>
      </c>
      <c r="CE91" s="101" t="str">
        <f t="shared" si="25"/>
        <v>Y</v>
      </c>
      <c r="CF91" s="54"/>
      <c r="CG91" s="102">
        <v>1</v>
      </c>
      <c r="CH91" s="102"/>
      <c r="CI91" s="102"/>
      <c r="CJ91" s="102"/>
      <c r="CK91" s="102"/>
      <c r="CL91" s="102"/>
      <c r="CM91" s="102"/>
      <c r="CN91" s="102"/>
      <c r="CO91" s="102"/>
      <c r="CP91" s="102"/>
      <c r="CQ91" s="102"/>
      <c r="CR91" s="102"/>
      <c r="CS91" s="102"/>
      <c r="CT91" s="102"/>
      <c r="CU91" s="102"/>
      <c r="CV91" s="102"/>
      <c r="CW91" s="102"/>
      <c r="CX91" s="102"/>
      <c r="CY91" s="102"/>
      <c r="CZ91" s="102">
        <f t="shared" si="26"/>
        <v>1</v>
      </c>
      <c r="DA91" s="102" t="str">
        <f t="shared" si="27"/>
        <v>Y</v>
      </c>
      <c r="DB91" s="58"/>
      <c r="DC91" s="101">
        <v>1</v>
      </c>
      <c r="DD91" s="101"/>
      <c r="DE91" s="101"/>
      <c r="DF91" s="101"/>
      <c r="DG91" s="101"/>
      <c r="DH91" s="101"/>
      <c r="DI91" s="101"/>
      <c r="DJ91" s="101"/>
      <c r="DK91" s="101"/>
      <c r="DL91" s="101"/>
      <c r="DM91" s="101"/>
      <c r="DN91" s="101"/>
      <c r="DO91" s="101"/>
      <c r="DP91" s="101"/>
      <c r="DQ91" s="101"/>
      <c r="DR91" s="101"/>
      <c r="DS91" s="101"/>
      <c r="DT91" s="101"/>
      <c r="DU91" s="101"/>
      <c r="DV91" s="101">
        <f t="shared" si="28"/>
        <v>1</v>
      </c>
      <c r="DW91" s="101" t="str">
        <f t="shared" si="32"/>
        <v>Y</v>
      </c>
      <c r="DX91" s="103"/>
      <c r="DY91" s="104">
        <v>1</v>
      </c>
      <c r="DZ91" s="104"/>
      <c r="EA91" s="104"/>
      <c r="EB91" s="104"/>
      <c r="EC91" s="104"/>
      <c r="ED91" s="104"/>
      <c r="EE91" s="104"/>
      <c r="EF91" s="104"/>
      <c r="EG91" s="104"/>
      <c r="EH91" s="104"/>
      <c r="EI91" s="104"/>
      <c r="EJ91" s="104"/>
      <c r="EK91" s="104">
        <f t="shared" si="29"/>
        <v>1</v>
      </c>
      <c r="EL91" s="104" t="str">
        <f t="shared" si="30"/>
        <v>Y</v>
      </c>
      <c r="EM91" s="62"/>
      <c r="EN91" s="6"/>
      <c r="EO91" s="6"/>
      <c r="EP91" s="6"/>
      <c r="EQ91" s="6"/>
      <c r="ER91" s="6"/>
      <c r="ES91" s="6"/>
      <c r="ET91" s="6"/>
      <c r="EU91" s="6"/>
      <c r="EV91" s="6"/>
      <c r="EW91" s="6"/>
      <c r="EX91" s="6"/>
      <c r="EY91" s="6"/>
      <c r="EZ91" s="6"/>
      <c r="FA91" s="6"/>
      <c r="FB91" s="6"/>
      <c r="FC91" s="6"/>
      <c r="FD91" s="6"/>
      <c r="FE91" s="6"/>
      <c r="FF91" s="6"/>
    </row>
    <row r="92" spans="1:257" s="14" customFormat="1" x14ac:dyDescent="0.2">
      <c r="A92" s="143"/>
      <c r="B92" s="1139"/>
      <c r="C92" s="1141"/>
      <c r="D92" s="1134"/>
      <c r="E92" s="1086"/>
      <c r="F92" s="1079"/>
      <c r="G92" s="1077"/>
      <c r="H92" s="1077"/>
      <c r="I92" s="1077"/>
      <c r="J92" s="1079"/>
      <c r="K92" s="1077"/>
      <c r="L92" s="181"/>
      <c r="M92" s="186"/>
      <c r="N92" s="177"/>
      <c r="O92" s="172"/>
      <c r="P92" s="173"/>
      <c r="Q92" s="173"/>
      <c r="R92" s="173"/>
      <c r="S92" s="173"/>
      <c r="T92" s="173"/>
      <c r="U92" s="173"/>
      <c r="V92" s="174"/>
      <c r="W92" s="175"/>
      <c r="X92" s="1099"/>
      <c r="Y92" s="1081"/>
      <c r="Z92" s="1081"/>
      <c r="AA92" s="1081"/>
      <c r="AB92" s="1081"/>
      <c r="AC92" s="1081"/>
      <c r="AD92" s="1081"/>
      <c r="AE92" s="1081"/>
      <c r="AF92" s="1081"/>
      <c r="AG92" s="1081"/>
      <c r="AH92" s="1081"/>
      <c r="AI92" s="1081"/>
      <c r="AJ92" s="1081"/>
      <c r="AK92" s="1082"/>
      <c r="AL92" s="1082"/>
      <c r="AM92" s="1082"/>
      <c r="AN92" s="1082"/>
      <c r="AO92" s="1081"/>
      <c r="AP92" s="1081"/>
      <c r="AQ92" s="95">
        <v>1</v>
      </c>
      <c r="AR92" s="95"/>
      <c r="AS92" s="95"/>
      <c r="AT92" s="95"/>
      <c r="AU92" s="95"/>
      <c r="AV92" s="95"/>
      <c r="AW92" s="95"/>
      <c r="AX92" s="95"/>
      <c r="AY92" s="95"/>
      <c r="AZ92" s="95"/>
      <c r="BA92" s="95"/>
      <c r="BB92" s="95"/>
      <c r="BC92" s="95"/>
      <c r="BD92" s="95"/>
      <c r="BE92" s="95">
        <f t="shared" si="18"/>
        <v>1</v>
      </c>
      <c r="BF92" s="96" t="str">
        <f t="shared" si="19"/>
        <v>Y</v>
      </c>
      <c r="BG92" s="97"/>
      <c r="BH92" s="98">
        <v>1</v>
      </c>
      <c r="BI92" s="98"/>
      <c r="BJ92" s="98"/>
      <c r="BK92" s="98"/>
      <c r="BL92" s="111"/>
      <c r="BM92" s="98">
        <f t="shared" si="20"/>
        <v>1</v>
      </c>
      <c r="BN92" s="98" t="str">
        <f t="shared" si="21"/>
        <v>Y</v>
      </c>
      <c r="BO92" s="108"/>
      <c r="BP92" s="100">
        <v>1</v>
      </c>
      <c r="BQ92" s="100"/>
      <c r="BR92" s="100"/>
      <c r="BS92" s="100">
        <f t="shared" si="22"/>
        <v>1</v>
      </c>
      <c r="BT92" s="100" t="str">
        <f t="shared" si="23"/>
        <v>Y</v>
      </c>
      <c r="BU92" s="50"/>
      <c r="BV92" s="101">
        <v>1</v>
      </c>
      <c r="BW92" s="101"/>
      <c r="BX92" s="101"/>
      <c r="BY92" s="101"/>
      <c r="BZ92" s="101"/>
      <c r="CA92" s="101"/>
      <c r="CB92" s="101"/>
      <c r="CC92" s="101"/>
      <c r="CD92" s="101">
        <f t="shared" si="24"/>
        <v>1</v>
      </c>
      <c r="CE92" s="101" t="str">
        <f t="shared" si="25"/>
        <v>Y</v>
      </c>
      <c r="CF92" s="54"/>
      <c r="CG92" s="102">
        <v>1</v>
      </c>
      <c r="CH92" s="102"/>
      <c r="CI92" s="102"/>
      <c r="CJ92" s="102"/>
      <c r="CK92" s="102"/>
      <c r="CL92" s="102"/>
      <c r="CM92" s="102"/>
      <c r="CN92" s="102"/>
      <c r="CO92" s="102"/>
      <c r="CP92" s="102"/>
      <c r="CQ92" s="102"/>
      <c r="CR92" s="102"/>
      <c r="CS92" s="102"/>
      <c r="CT92" s="102"/>
      <c r="CU92" s="102"/>
      <c r="CV92" s="102"/>
      <c r="CW92" s="102"/>
      <c r="CX92" s="102"/>
      <c r="CY92" s="102"/>
      <c r="CZ92" s="102">
        <f t="shared" si="26"/>
        <v>1</v>
      </c>
      <c r="DA92" s="102" t="str">
        <f t="shared" si="27"/>
        <v>Y</v>
      </c>
      <c r="DB92" s="58"/>
      <c r="DC92" s="101">
        <v>1</v>
      </c>
      <c r="DD92" s="101"/>
      <c r="DE92" s="101"/>
      <c r="DF92" s="101"/>
      <c r="DG92" s="101"/>
      <c r="DH92" s="101"/>
      <c r="DI92" s="101"/>
      <c r="DJ92" s="101"/>
      <c r="DK92" s="101"/>
      <c r="DL92" s="101"/>
      <c r="DM92" s="101"/>
      <c r="DN92" s="101"/>
      <c r="DO92" s="101"/>
      <c r="DP92" s="101"/>
      <c r="DQ92" s="101"/>
      <c r="DR92" s="101"/>
      <c r="DS92" s="101"/>
      <c r="DT92" s="101"/>
      <c r="DU92" s="101"/>
      <c r="DV92" s="101">
        <f t="shared" si="28"/>
        <v>1</v>
      </c>
      <c r="DW92" s="101" t="str">
        <f t="shared" si="32"/>
        <v>Y</v>
      </c>
      <c r="DX92" s="103"/>
      <c r="DY92" s="104">
        <v>1</v>
      </c>
      <c r="DZ92" s="104"/>
      <c r="EA92" s="104"/>
      <c r="EB92" s="104"/>
      <c r="EC92" s="104"/>
      <c r="ED92" s="104"/>
      <c r="EE92" s="104"/>
      <c r="EF92" s="104"/>
      <c r="EG92" s="104"/>
      <c r="EH92" s="104"/>
      <c r="EI92" s="104"/>
      <c r="EJ92" s="104"/>
      <c r="EK92" s="104">
        <f t="shared" si="29"/>
        <v>1</v>
      </c>
      <c r="EL92" s="104" t="str">
        <f t="shared" si="30"/>
        <v>Y</v>
      </c>
      <c r="EM92" s="62"/>
      <c r="EN92" s="6"/>
      <c r="EO92" s="6"/>
      <c r="EP92" s="6"/>
      <c r="EQ92" s="6"/>
      <c r="ER92" s="6"/>
      <c r="ES92" s="6"/>
      <c r="ET92" s="6"/>
      <c r="EU92" s="6"/>
      <c r="EV92" s="6"/>
      <c r="EW92" s="6"/>
      <c r="EX92" s="6"/>
      <c r="EY92" s="6"/>
      <c r="EZ92" s="6"/>
      <c r="FA92" s="6"/>
      <c r="FB92" s="6"/>
      <c r="FC92" s="6"/>
      <c r="FD92" s="6"/>
      <c r="FE92" s="6"/>
      <c r="FF92" s="6"/>
    </row>
    <row r="93" spans="1:257" ht="13.5" thickBot="1" x14ac:dyDescent="0.25">
      <c r="A93" s="143"/>
      <c r="B93" s="1139"/>
      <c r="C93" s="1141"/>
      <c r="D93" s="1134"/>
      <c r="E93" s="1143"/>
      <c r="F93" s="1080"/>
      <c r="G93" s="1078"/>
      <c r="H93" s="1078"/>
      <c r="I93" s="1078"/>
      <c r="J93" s="1080"/>
      <c r="K93" s="1078"/>
      <c r="L93" s="180"/>
      <c r="M93" s="186"/>
      <c r="N93" s="177"/>
      <c r="O93" s="172"/>
      <c r="P93" s="173"/>
      <c r="Q93" s="173"/>
      <c r="R93" s="173"/>
      <c r="S93" s="173"/>
      <c r="T93" s="173"/>
      <c r="U93" s="173"/>
      <c r="V93" s="174"/>
      <c r="W93" s="175"/>
      <c r="X93" s="1100"/>
      <c r="Y93" s="1081"/>
      <c r="Z93" s="1081"/>
      <c r="AA93" s="1081"/>
      <c r="AB93" s="1081"/>
      <c r="AC93" s="1081"/>
      <c r="AD93" s="1081"/>
      <c r="AE93" s="1081"/>
      <c r="AF93" s="1081"/>
      <c r="AG93" s="1081"/>
      <c r="AH93" s="1081"/>
      <c r="AI93" s="1081"/>
      <c r="AJ93" s="1081"/>
      <c r="AK93" s="1082"/>
      <c r="AL93" s="1082"/>
      <c r="AM93" s="1082"/>
      <c r="AN93" s="1082"/>
      <c r="AO93" s="1081"/>
      <c r="AP93" s="1081"/>
      <c r="AQ93" s="95">
        <v>1</v>
      </c>
      <c r="AR93" s="95"/>
      <c r="AS93" s="95"/>
      <c r="AT93" s="95"/>
      <c r="AU93" s="95"/>
      <c r="AV93" s="95"/>
      <c r="AW93" s="95"/>
      <c r="AX93" s="95"/>
      <c r="AY93" s="95"/>
      <c r="AZ93" s="95"/>
      <c r="BA93" s="95"/>
      <c r="BB93" s="95"/>
      <c r="BC93" s="95"/>
      <c r="BD93" s="95"/>
      <c r="BE93" s="95">
        <f t="shared" si="18"/>
        <v>1</v>
      </c>
      <c r="BF93" s="96" t="str">
        <f t="shared" si="19"/>
        <v>Y</v>
      </c>
      <c r="BG93" s="97"/>
      <c r="BH93" s="98">
        <v>1</v>
      </c>
      <c r="BI93" s="98"/>
      <c r="BJ93" s="98"/>
      <c r="BK93" s="98"/>
      <c r="BL93" s="111"/>
      <c r="BM93" s="98">
        <f t="shared" si="20"/>
        <v>1</v>
      </c>
      <c r="BN93" s="98" t="str">
        <f t="shared" si="21"/>
        <v>Y</v>
      </c>
      <c r="BO93" s="108"/>
      <c r="BP93" s="100">
        <v>1</v>
      </c>
      <c r="BQ93" s="100"/>
      <c r="BR93" s="100"/>
      <c r="BS93" s="100">
        <f t="shared" si="22"/>
        <v>1</v>
      </c>
      <c r="BT93" s="100" t="str">
        <f t="shared" si="23"/>
        <v>Y</v>
      </c>
      <c r="BU93" s="50"/>
      <c r="BV93" s="101">
        <v>1</v>
      </c>
      <c r="BW93" s="101"/>
      <c r="BX93" s="101"/>
      <c r="BY93" s="101"/>
      <c r="BZ93" s="101"/>
      <c r="CA93" s="101"/>
      <c r="CB93" s="101"/>
      <c r="CC93" s="101"/>
      <c r="CD93" s="101">
        <f t="shared" si="24"/>
        <v>1</v>
      </c>
      <c r="CE93" s="101" t="str">
        <f t="shared" si="25"/>
        <v>Y</v>
      </c>
      <c r="CF93" s="54"/>
      <c r="CG93" s="102">
        <v>1</v>
      </c>
      <c r="CH93" s="102"/>
      <c r="CI93" s="102"/>
      <c r="CJ93" s="102"/>
      <c r="CK93" s="102"/>
      <c r="CL93" s="102"/>
      <c r="CM93" s="102"/>
      <c r="CN93" s="102"/>
      <c r="CO93" s="102"/>
      <c r="CP93" s="102"/>
      <c r="CQ93" s="102"/>
      <c r="CR93" s="102"/>
      <c r="CS93" s="102"/>
      <c r="CT93" s="102"/>
      <c r="CU93" s="102"/>
      <c r="CV93" s="102"/>
      <c r="CW93" s="102"/>
      <c r="CX93" s="102"/>
      <c r="CY93" s="102"/>
      <c r="CZ93" s="102">
        <f t="shared" si="26"/>
        <v>1</v>
      </c>
      <c r="DA93" s="102" t="str">
        <f t="shared" si="27"/>
        <v>Y</v>
      </c>
      <c r="DB93" s="58"/>
      <c r="DC93" s="101">
        <v>1</v>
      </c>
      <c r="DD93" s="101"/>
      <c r="DE93" s="101"/>
      <c r="DF93" s="101"/>
      <c r="DG93" s="101"/>
      <c r="DH93" s="101"/>
      <c r="DI93" s="101"/>
      <c r="DJ93" s="101"/>
      <c r="DK93" s="101"/>
      <c r="DL93" s="101"/>
      <c r="DM93" s="101"/>
      <c r="DN93" s="101"/>
      <c r="DO93" s="101"/>
      <c r="DP93" s="101"/>
      <c r="DQ93" s="101"/>
      <c r="DR93" s="101"/>
      <c r="DS93" s="101"/>
      <c r="DT93" s="101"/>
      <c r="DU93" s="101"/>
      <c r="DV93" s="101">
        <f t="shared" si="28"/>
        <v>1</v>
      </c>
      <c r="DW93" s="101" t="str">
        <f t="shared" si="32"/>
        <v>Y</v>
      </c>
      <c r="DX93" s="103"/>
      <c r="DY93" s="104">
        <v>1</v>
      </c>
      <c r="DZ93" s="104"/>
      <c r="EA93" s="104"/>
      <c r="EB93" s="104"/>
      <c r="EC93" s="104"/>
      <c r="ED93" s="104"/>
      <c r="EE93" s="104"/>
      <c r="EF93" s="104"/>
      <c r="EG93" s="104"/>
      <c r="EH93" s="104"/>
      <c r="EI93" s="104"/>
      <c r="EJ93" s="104"/>
      <c r="EK93" s="104">
        <f t="shared" si="29"/>
        <v>1</v>
      </c>
      <c r="EL93" s="104" t="str">
        <f t="shared" si="30"/>
        <v>Y</v>
      </c>
      <c r="EM93" s="62"/>
      <c r="EN93" s="6"/>
      <c r="EO93" s="6"/>
      <c r="EP93" s="6"/>
      <c r="EQ93" s="6"/>
      <c r="ER93" s="6"/>
    </row>
    <row r="94" spans="1:257" x14ac:dyDescent="0.2">
      <c r="A94" s="143"/>
      <c r="B94" s="1161" t="s">
        <v>229</v>
      </c>
      <c r="C94" s="1166" t="s">
        <v>228</v>
      </c>
      <c r="D94" s="1158"/>
      <c r="E94" s="1085"/>
      <c r="F94" s="1144"/>
      <c r="G94" s="1076" t="s">
        <v>349</v>
      </c>
      <c r="H94" s="1076" t="s">
        <v>341</v>
      </c>
      <c r="I94" s="1076"/>
      <c r="J94" s="1079">
        <f>Y94+AA94+AC94+AE94+AG94+AI94+AK94+AM94+AO94</f>
        <v>1</v>
      </c>
      <c r="K94" s="1076"/>
      <c r="L94" s="180"/>
      <c r="M94" s="186"/>
      <c r="N94" s="177"/>
      <c r="O94" s="172"/>
      <c r="P94" s="173"/>
      <c r="Q94" s="173"/>
      <c r="R94" s="173"/>
      <c r="S94" s="173"/>
      <c r="T94" s="173"/>
      <c r="U94" s="173"/>
      <c r="V94" s="174"/>
      <c r="W94" s="175"/>
      <c r="X94" s="1098" t="s">
        <v>341</v>
      </c>
      <c r="Y94" s="1081">
        <f>IF(HC="Y",IF(BF94="Y",Z94,0),0)</f>
        <v>0</v>
      </c>
      <c r="Z94" s="1081">
        <v>1</v>
      </c>
      <c r="AA94" s="1081">
        <f>IF(OFF="Y",IF(BN94="Y",AB94,0),0)</f>
        <v>1</v>
      </c>
      <c r="AB94" s="1081">
        <v>1</v>
      </c>
      <c r="AC94" s="1081">
        <f>IF(COURTS="Y",IF(BT94="Y",AD94,0),0)</f>
        <v>0</v>
      </c>
      <c r="AD94" s="1081">
        <v>1</v>
      </c>
      <c r="AE94" s="1081">
        <f>IF(PRISONS="Y",IF(CE94="Y",AF94,0),0)</f>
        <v>0</v>
      </c>
      <c r="AF94" s="1081">
        <v>1</v>
      </c>
      <c r="AG94" s="1081">
        <f>IF(RET="Y",IF(DA94="Y",AH94,0),0)</f>
        <v>0</v>
      </c>
      <c r="AH94" s="1081">
        <v>1</v>
      </c>
      <c r="AI94" s="1081">
        <f>IF(SCHOOLS="y",IF(DW94="y",AJ94,0),0)</f>
        <v>0</v>
      </c>
      <c r="AJ94" s="1081">
        <v>1</v>
      </c>
      <c r="AK94" s="1082">
        <f>IF(FE="y",IF(DW94="y",AL94,0),0)</f>
        <v>0</v>
      </c>
      <c r="AL94" s="1082">
        <v>1</v>
      </c>
      <c r="AM94" s="1082">
        <f>IF(HE="Y",IF(DW94="Y",AN94,0),0)</f>
        <v>0</v>
      </c>
      <c r="AN94" s="1082">
        <v>1</v>
      </c>
      <c r="AO94" s="1081">
        <f>IF(INDUSTRIAL="Y",IF(EL94="Y",AP94,0),0)</f>
        <v>0</v>
      </c>
      <c r="AP94" s="1081">
        <v>1</v>
      </c>
      <c r="AQ94" s="95">
        <v>1</v>
      </c>
      <c r="AR94" s="95"/>
      <c r="AS94" s="95"/>
      <c r="AT94" s="95"/>
      <c r="AU94" s="95"/>
      <c r="AV94" s="95"/>
      <c r="AW94" s="95"/>
      <c r="AX94" s="95"/>
      <c r="AY94" s="95"/>
      <c r="AZ94" s="95"/>
      <c r="BA94" s="95"/>
      <c r="BB94" s="95"/>
      <c r="BC94" s="95"/>
      <c r="BD94" s="95"/>
      <c r="BE94" s="95">
        <f t="shared" si="18"/>
        <v>1</v>
      </c>
      <c r="BF94" s="96" t="str">
        <f t="shared" si="19"/>
        <v>Y</v>
      </c>
      <c r="BG94" s="97"/>
      <c r="BH94" s="98">
        <v>1</v>
      </c>
      <c r="BI94" s="98"/>
      <c r="BJ94" s="98"/>
      <c r="BK94" s="98"/>
      <c r="BL94" s="111"/>
      <c r="BM94" s="98">
        <f t="shared" si="20"/>
        <v>1</v>
      </c>
      <c r="BN94" s="98" t="str">
        <f t="shared" si="21"/>
        <v>Y</v>
      </c>
      <c r="BO94" s="115"/>
      <c r="BP94" s="100">
        <v>1</v>
      </c>
      <c r="BQ94" s="100"/>
      <c r="BR94" s="100"/>
      <c r="BS94" s="100">
        <f t="shared" si="22"/>
        <v>1</v>
      </c>
      <c r="BT94" s="100" t="str">
        <f t="shared" si="23"/>
        <v>Y</v>
      </c>
      <c r="BU94" s="50"/>
      <c r="BV94" s="101">
        <v>1</v>
      </c>
      <c r="BW94" s="101"/>
      <c r="BX94" s="101"/>
      <c r="BY94" s="101"/>
      <c r="BZ94" s="101"/>
      <c r="CA94" s="101"/>
      <c r="CB94" s="101"/>
      <c r="CC94" s="101"/>
      <c r="CD94" s="101">
        <f t="shared" si="24"/>
        <v>1</v>
      </c>
      <c r="CE94" s="101" t="str">
        <f t="shared" si="25"/>
        <v>Y</v>
      </c>
      <c r="CF94" s="54"/>
      <c r="CG94" s="102">
        <v>1</v>
      </c>
      <c r="CH94" s="102"/>
      <c r="CI94" s="102"/>
      <c r="CJ94" s="102"/>
      <c r="CK94" s="102"/>
      <c r="CL94" s="102"/>
      <c r="CM94" s="102"/>
      <c r="CN94" s="102"/>
      <c r="CO94" s="102"/>
      <c r="CP94" s="102"/>
      <c r="CQ94" s="102"/>
      <c r="CR94" s="102"/>
      <c r="CS94" s="102"/>
      <c r="CT94" s="102"/>
      <c r="CU94" s="102"/>
      <c r="CV94" s="102"/>
      <c r="CW94" s="102"/>
      <c r="CX94" s="102"/>
      <c r="CY94" s="102"/>
      <c r="CZ94" s="102">
        <f t="shared" si="26"/>
        <v>1</v>
      </c>
      <c r="DA94" s="102" t="str">
        <f t="shared" si="27"/>
        <v>Y</v>
      </c>
      <c r="DB94" s="58"/>
      <c r="DC94" s="101">
        <v>1</v>
      </c>
      <c r="DD94" s="101"/>
      <c r="DE94" s="101"/>
      <c r="DF94" s="101"/>
      <c r="DG94" s="101"/>
      <c r="DH94" s="101"/>
      <c r="DI94" s="101"/>
      <c r="DJ94" s="101"/>
      <c r="DK94" s="101"/>
      <c r="DL94" s="101"/>
      <c r="DM94" s="101"/>
      <c r="DN94" s="101"/>
      <c r="DO94" s="101"/>
      <c r="DP94" s="101"/>
      <c r="DQ94" s="101"/>
      <c r="DR94" s="101"/>
      <c r="DS94" s="101"/>
      <c r="DT94" s="101"/>
      <c r="DU94" s="101"/>
      <c r="DV94" s="101">
        <f t="shared" si="28"/>
        <v>1</v>
      </c>
      <c r="DW94" s="101" t="str">
        <f t="shared" si="32"/>
        <v>Y</v>
      </c>
      <c r="DX94" s="103"/>
      <c r="DY94" s="104">
        <v>1</v>
      </c>
      <c r="DZ94" s="104"/>
      <c r="EA94" s="104"/>
      <c r="EB94" s="104"/>
      <c r="EC94" s="104"/>
      <c r="ED94" s="104"/>
      <c r="EE94" s="104"/>
      <c r="EF94" s="104"/>
      <c r="EG94" s="104"/>
      <c r="EH94" s="104"/>
      <c r="EI94" s="104"/>
      <c r="EJ94" s="104"/>
      <c r="EK94" s="104">
        <f t="shared" si="29"/>
        <v>1</v>
      </c>
      <c r="EL94" s="104" t="str">
        <f t="shared" si="30"/>
        <v>Y</v>
      </c>
      <c r="EM94" s="62"/>
      <c r="EN94" s="6"/>
      <c r="EO94" s="6"/>
      <c r="EP94" s="6"/>
      <c r="EQ94" s="6"/>
      <c r="ER94" s="6"/>
    </row>
    <row r="95" spans="1:257" x14ac:dyDescent="0.2">
      <c r="A95" s="143"/>
      <c r="B95" s="1139"/>
      <c r="C95" s="1141"/>
      <c r="D95" s="1134"/>
      <c r="E95" s="1086"/>
      <c r="F95" s="1079"/>
      <c r="G95" s="1077"/>
      <c r="H95" s="1077"/>
      <c r="I95" s="1077"/>
      <c r="J95" s="1079"/>
      <c r="K95" s="1077"/>
      <c r="L95" s="181"/>
      <c r="M95" s="186"/>
      <c r="N95" s="177"/>
      <c r="O95" s="172"/>
      <c r="P95" s="173"/>
      <c r="Q95" s="173"/>
      <c r="R95" s="173"/>
      <c r="S95" s="173"/>
      <c r="T95" s="173"/>
      <c r="U95" s="173"/>
      <c r="V95" s="174"/>
      <c r="W95" s="175"/>
      <c r="X95" s="1099"/>
      <c r="Y95" s="1081"/>
      <c r="Z95" s="1081"/>
      <c r="AA95" s="1081"/>
      <c r="AB95" s="1081"/>
      <c r="AC95" s="1081"/>
      <c r="AD95" s="1081"/>
      <c r="AE95" s="1081"/>
      <c r="AF95" s="1081"/>
      <c r="AG95" s="1081"/>
      <c r="AH95" s="1081"/>
      <c r="AI95" s="1081"/>
      <c r="AJ95" s="1081"/>
      <c r="AK95" s="1082"/>
      <c r="AL95" s="1082"/>
      <c r="AM95" s="1082"/>
      <c r="AN95" s="1082"/>
      <c r="AO95" s="1081"/>
      <c r="AP95" s="1081"/>
      <c r="AQ95" s="95">
        <v>1</v>
      </c>
      <c r="AR95" s="95"/>
      <c r="AS95" s="95"/>
      <c r="AT95" s="95"/>
      <c r="AU95" s="95"/>
      <c r="AV95" s="95"/>
      <c r="AW95" s="95"/>
      <c r="AX95" s="95"/>
      <c r="AY95" s="95"/>
      <c r="AZ95" s="95"/>
      <c r="BA95" s="95"/>
      <c r="BB95" s="95"/>
      <c r="BC95" s="95"/>
      <c r="BD95" s="95"/>
      <c r="BE95" s="95">
        <f t="shared" si="18"/>
        <v>1</v>
      </c>
      <c r="BF95" s="96" t="str">
        <f t="shared" si="19"/>
        <v>Y</v>
      </c>
      <c r="BG95" s="97"/>
      <c r="BH95" s="98">
        <v>1</v>
      </c>
      <c r="BI95" s="98"/>
      <c r="BJ95" s="98"/>
      <c r="BK95" s="98"/>
      <c r="BL95" s="111"/>
      <c r="BM95" s="98">
        <f t="shared" si="20"/>
        <v>1</v>
      </c>
      <c r="BN95" s="98" t="str">
        <f t="shared" si="21"/>
        <v>Y</v>
      </c>
      <c r="BO95" s="115"/>
      <c r="BP95" s="100">
        <v>1</v>
      </c>
      <c r="BQ95" s="100"/>
      <c r="BR95" s="100"/>
      <c r="BS95" s="100">
        <f t="shared" si="22"/>
        <v>1</v>
      </c>
      <c r="BT95" s="100" t="str">
        <f t="shared" si="23"/>
        <v>Y</v>
      </c>
      <c r="BU95" s="50"/>
      <c r="BV95" s="101">
        <v>1</v>
      </c>
      <c r="BW95" s="101"/>
      <c r="BX95" s="101"/>
      <c r="BY95" s="101"/>
      <c r="BZ95" s="101"/>
      <c r="CA95" s="101"/>
      <c r="CB95" s="101"/>
      <c r="CC95" s="101"/>
      <c r="CD95" s="101">
        <f t="shared" si="24"/>
        <v>1</v>
      </c>
      <c r="CE95" s="101" t="str">
        <f t="shared" si="25"/>
        <v>Y</v>
      </c>
      <c r="CF95" s="54"/>
      <c r="CG95" s="102">
        <v>1</v>
      </c>
      <c r="CH95" s="102"/>
      <c r="CI95" s="102"/>
      <c r="CJ95" s="102"/>
      <c r="CK95" s="102"/>
      <c r="CL95" s="102"/>
      <c r="CM95" s="102"/>
      <c r="CN95" s="102"/>
      <c r="CO95" s="102"/>
      <c r="CP95" s="102"/>
      <c r="CQ95" s="102"/>
      <c r="CR95" s="102"/>
      <c r="CS95" s="102"/>
      <c r="CT95" s="102"/>
      <c r="CU95" s="102"/>
      <c r="CV95" s="102"/>
      <c r="CW95" s="102"/>
      <c r="CX95" s="102"/>
      <c r="CY95" s="102"/>
      <c r="CZ95" s="102">
        <f t="shared" si="26"/>
        <v>1</v>
      </c>
      <c r="DA95" s="102" t="str">
        <f t="shared" si="27"/>
        <v>Y</v>
      </c>
      <c r="DB95" s="58"/>
      <c r="DC95" s="101">
        <v>1</v>
      </c>
      <c r="DD95" s="101"/>
      <c r="DE95" s="101"/>
      <c r="DF95" s="101"/>
      <c r="DG95" s="101"/>
      <c r="DH95" s="101"/>
      <c r="DI95" s="101"/>
      <c r="DJ95" s="101"/>
      <c r="DK95" s="101"/>
      <c r="DL95" s="101"/>
      <c r="DM95" s="101"/>
      <c r="DN95" s="101"/>
      <c r="DO95" s="101"/>
      <c r="DP95" s="101"/>
      <c r="DQ95" s="101"/>
      <c r="DR95" s="101"/>
      <c r="DS95" s="101"/>
      <c r="DT95" s="101"/>
      <c r="DU95" s="101"/>
      <c r="DV95" s="101">
        <f t="shared" si="28"/>
        <v>1</v>
      </c>
      <c r="DW95" s="101" t="str">
        <f t="shared" si="32"/>
        <v>Y</v>
      </c>
      <c r="DX95" s="103"/>
      <c r="DY95" s="104">
        <v>1</v>
      </c>
      <c r="DZ95" s="104"/>
      <c r="EA95" s="104"/>
      <c r="EB95" s="104"/>
      <c r="EC95" s="104"/>
      <c r="ED95" s="104"/>
      <c r="EE95" s="104"/>
      <c r="EF95" s="104"/>
      <c r="EG95" s="104"/>
      <c r="EH95" s="104"/>
      <c r="EI95" s="104"/>
      <c r="EJ95" s="104"/>
      <c r="EK95" s="104">
        <f t="shared" si="29"/>
        <v>1</v>
      </c>
      <c r="EL95" s="104" t="str">
        <f t="shared" si="30"/>
        <v>Y</v>
      </c>
      <c r="EM95" s="62"/>
      <c r="EN95" s="6"/>
      <c r="EO95" s="6"/>
      <c r="EP95" s="6"/>
      <c r="EQ95" s="6"/>
      <c r="ER95" s="6"/>
    </row>
    <row r="96" spans="1:257" ht="13.5" thickBot="1" x14ac:dyDescent="0.25">
      <c r="A96" s="143"/>
      <c r="B96" s="1159"/>
      <c r="C96" s="1162"/>
      <c r="D96" s="1135"/>
      <c r="E96" s="1143"/>
      <c r="F96" s="1080"/>
      <c r="G96" s="1078"/>
      <c r="H96" s="1078"/>
      <c r="I96" s="1078"/>
      <c r="J96" s="1080"/>
      <c r="K96" s="1078"/>
      <c r="L96" s="180"/>
      <c r="M96" s="186"/>
      <c r="N96" s="177"/>
      <c r="O96" s="172"/>
      <c r="P96" s="173"/>
      <c r="Q96" s="173"/>
      <c r="R96" s="173"/>
      <c r="S96" s="173"/>
      <c r="T96" s="173"/>
      <c r="U96" s="173"/>
      <c r="V96" s="174"/>
      <c r="W96" s="175"/>
      <c r="X96" s="1100"/>
      <c r="Y96" s="1081"/>
      <c r="Z96" s="1081"/>
      <c r="AA96" s="1081"/>
      <c r="AB96" s="1081"/>
      <c r="AC96" s="1081"/>
      <c r="AD96" s="1081"/>
      <c r="AE96" s="1081"/>
      <c r="AF96" s="1081"/>
      <c r="AG96" s="1081"/>
      <c r="AH96" s="1081"/>
      <c r="AI96" s="1081"/>
      <c r="AJ96" s="1081"/>
      <c r="AK96" s="1082"/>
      <c r="AL96" s="1082"/>
      <c r="AM96" s="1082"/>
      <c r="AN96" s="1082"/>
      <c r="AO96" s="1081"/>
      <c r="AP96" s="1081"/>
      <c r="AQ96" s="95">
        <v>1</v>
      </c>
      <c r="AR96" s="95"/>
      <c r="AS96" s="95"/>
      <c r="AT96" s="95"/>
      <c r="AU96" s="95"/>
      <c r="AV96" s="95"/>
      <c r="AW96" s="95"/>
      <c r="AX96" s="95"/>
      <c r="AY96" s="95"/>
      <c r="AZ96" s="95"/>
      <c r="BA96" s="95"/>
      <c r="BB96" s="95"/>
      <c r="BC96" s="95"/>
      <c r="BD96" s="95"/>
      <c r="BE96" s="95">
        <f t="shared" si="18"/>
        <v>1</v>
      </c>
      <c r="BF96" s="96" t="str">
        <f t="shared" si="19"/>
        <v>Y</v>
      </c>
      <c r="BG96" s="97"/>
      <c r="BH96" s="98">
        <v>1</v>
      </c>
      <c r="BI96" s="98"/>
      <c r="BJ96" s="98"/>
      <c r="BK96" s="98"/>
      <c r="BL96" s="111"/>
      <c r="BM96" s="98">
        <f t="shared" si="20"/>
        <v>1</v>
      </c>
      <c r="BN96" s="98" t="str">
        <f t="shared" si="21"/>
        <v>Y</v>
      </c>
      <c r="BO96" s="115"/>
      <c r="BP96" s="100">
        <v>1</v>
      </c>
      <c r="BQ96" s="100"/>
      <c r="BR96" s="100"/>
      <c r="BS96" s="100">
        <f t="shared" si="22"/>
        <v>1</v>
      </c>
      <c r="BT96" s="100" t="str">
        <f t="shared" si="23"/>
        <v>Y</v>
      </c>
      <c r="BU96" s="50"/>
      <c r="BV96" s="101">
        <v>1</v>
      </c>
      <c r="BW96" s="101"/>
      <c r="BX96" s="101"/>
      <c r="BY96" s="101"/>
      <c r="BZ96" s="101"/>
      <c r="CA96" s="101"/>
      <c r="CB96" s="101"/>
      <c r="CC96" s="101"/>
      <c r="CD96" s="101">
        <f t="shared" si="24"/>
        <v>1</v>
      </c>
      <c r="CE96" s="101" t="str">
        <f t="shared" si="25"/>
        <v>Y</v>
      </c>
      <c r="CF96" s="54"/>
      <c r="CG96" s="102">
        <v>1</v>
      </c>
      <c r="CH96" s="102"/>
      <c r="CI96" s="102"/>
      <c r="CJ96" s="102"/>
      <c r="CK96" s="102"/>
      <c r="CL96" s="102"/>
      <c r="CM96" s="102"/>
      <c r="CN96" s="102"/>
      <c r="CO96" s="102"/>
      <c r="CP96" s="102"/>
      <c r="CQ96" s="102"/>
      <c r="CR96" s="102"/>
      <c r="CS96" s="102"/>
      <c r="CT96" s="102"/>
      <c r="CU96" s="102"/>
      <c r="CV96" s="102"/>
      <c r="CW96" s="102"/>
      <c r="CX96" s="102"/>
      <c r="CY96" s="102"/>
      <c r="CZ96" s="102">
        <f t="shared" si="26"/>
        <v>1</v>
      </c>
      <c r="DA96" s="102" t="str">
        <f t="shared" si="27"/>
        <v>Y</v>
      </c>
      <c r="DB96" s="58"/>
      <c r="DC96" s="101">
        <v>1</v>
      </c>
      <c r="DD96" s="101"/>
      <c r="DE96" s="101"/>
      <c r="DF96" s="101"/>
      <c r="DG96" s="101"/>
      <c r="DH96" s="101"/>
      <c r="DI96" s="101"/>
      <c r="DJ96" s="101"/>
      <c r="DK96" s="101"/>
      <c r="DL96" s="101"/>
      <c r="DM96" s="101"/>
      <c r="DN96" s="101"/>
      <c r="DO96" s="101"/>
      <c r="DP96" s="101"/>
      <c r="DQ96" s="101"/>
      <c r="DR96" s="101"/>
      <c r="DS96" s="101"/>
      <c r="DT96" s="101"/>
      <c r="DU96" s="101"/>
      <c r="DV96" s="101">
        <f t="shared" si="28"/>
        <v>1</v>
      </c>
      <c r="DW96" s="101" t="str">
        <f t="shared" si="32"/>
        <v>Y</v>
      </c>
      <c r="DX96" s="103"/>
      <c r="DY96" s="104">
        <v>1</v>
      </c>
      <c r="DZ96" s="104"/>
      <c r="EA96" s="104"/>
      <c r="EB96" s="104"/>
      <c r="EC96" s="104"/>
      <c r="ED96" s="104"/>
      <c r="EE96" s="104"/>
      <c r="EF96" s="104"/>
      <c r="EG96" s="104"/>
      <c r="EH96" s="104"/>
      <c r="EI96" s="104"/>
      <c r="EJ96" s="104"/>
      <c r="EK96" s="104">
        <f t="shared" si="29"/>
        <v>1</v>
      </c>
      <c r="EL96" s="104" t="str">
        <f t="shared" si="30"/>
        <v>Y</v>
      </c>
      <c r="EM96" s="62"/>
      <c r="EN96" s="6"/>
      <c r="EO96" s="6"/>
      <c r="EP96" s="6"/>
      <c r="EQ96" s="6"/>
      <c r="ER96" s="6"/>
    </row>
    <row r="97" spans="1:162" x14ac:dyDescent="0.2">
      <c r="A97" s="1146" t="s">
        <v>227</v>
      </c>
      <c r="B97" s="1149" t="s">
        <v>226</v>
      </c>
      <c r="C97" s="1152" t="s">
        <v>225</v>
      </c>
      <c r="D97" s="1155"/>
      <c r="E97" s="1085"/>
      <c r="F97" s="1144"/>
      <c r="G97" s="1076" t="s">
        <v>349</v>
      </c>
      <c r="H97" s="1076" t="s">
        <v>274</v>
      </c>
      <c r="I97" s="1076"/>
      <c r="J97" s="1079">
        <f>Y97+AA97+AC97+AE97+AG97+AI97+AK97+AM97+AO97</f>
        <v>1</v>
      </c>
      <c r="K97" s="1076"/>
      <c r="L97" s="180"/>
      <c r="M97" s="186"/>
      <c r="N97" s="177"/>
      <c r="O97" s="172"/>
      <c r="P97" s="173"/>
      <c r="Q97" s="173"/>
      <c r="R97" s="173"/>
      <c r="S97" s="173"/>
      <c r="T97" s="173"/>
      <c r="U97" s="173"/>
      <c r="V97" s="174"/>
      <c r="W97" s="175"/>
      <c r="X97" s="1098" t="s">
        <v>274</v>
      </c>
      <c r="Y97" s="1081">
        <f>IF(HC="Y",IF(BF97="Y",Z97,0),0)</f>
        <v>0</v>
      </c>
      <c r="Z97" s="1081">
        <v>2</v>
      </c>
      <c r="AA97" s="1081">
        <f>IF(OFF="Y",IF(BN97="Y",AB97,0),0)</f>
        <v>1</v>
      </c>
      <c r="AB97" s="1081">
        <v>1</v>
      </c>
      <c r="AC97" s="1081">
        <f>IF(COURTS="Y",IF(BT97="Y",AD97,0),0)</f>
        <v>0</v>
      </c>
      <c r="AD97" s="1081">
        <v>1</v>
      </c>
      <c r="AE97" s="1081">
        <f>IF(PRISONS="Y",IF(CE97="Y",AF97,0),0)</f>
        <v>0</v>
      </c>
      <c r="AF97" s="1081">
        <v>1</v>
      </c>
      <c r="AG97" s="1081">
        <f>IF(RET="Y",IF(DA97="Y",AH97,0),0)</f>
        <v>0</v>
      </c>
      <c r="AH97" s="1081">
        <v>1</v>
      </c>
      <c r="AI97" s="1081">
        <f>IF(SCHOOLS="y",IF(DW97="y",AJ97,0),0)</f>
        <v>0</v>
      </c>
      <c r="AJ97" s="1081">
        <v>2</v>
      </c>
      <c r="AK97" s="1082">
        <f>IF(FE="y",IF(DW97="y",AL97,0),0)</f>
        <v>0</v>
      </c>
      <c r="AL97" s="1082">
        <v>1</v>
      </c>
      <c r="AM97" s="1082">
        <f>IF(HE="Y",IF(DW97="Y",AN97,0),0)</f>
        <v>0</v>
      </c>
      <c r="AN97" s="1082">
        <v>1</v>
      </c>
      <c r="AO97" s="1081">
        <f>IF(INDUSTRIAL="Y",IF(EL97="Y",AP97,0),0)</f>
        <v>0</v>
      </c>
      <c r="AP97" s="1081">
        <v>1</v>
      </c>
      <c r="AQ97" s="95">
        <v>1</v>
      </c>
      <c r="AR97" s="95"/>
      <c r="AS97" s="95"/>
      <c r="AT97" s="95"/>
      <c r="AU97" s="95"/>
      <c r="AV97" s="95"/>
      <c r="AW97" s="95"/>
      <c r="AX97" s="95"/>
      <c r="AY97" s="95"/>
      <c r="AZ97" s="95"/>
      <c r="BA97" s="95"/>
      <c r="BB97" s="95"/>
      <c r="BC97" s="95"/>
      <c r="BD97" s="95"/>
      <c r="BE97" s="95">
        <f t="shared" ref="BE97:BE150" si="33">SUM(AQ97:BD97)</f>
        <v>1</v>
      </c>
      <c r="BF97" s="96" t="str">
        <f t="shared" ref="BF97:BF150" si="34">IF(BE97&gt;=0.1,"Y","N")</f>
        <v>Y</v>
      </c>
      <c r="BG97" s="97"/>
      <c r="BH97" s="98">
        <v>1</v>
      </c>
      <c r="BI97" s="98"/>
      <c r="BJ97" s="98"/>
      <c r="BK97" s="98"/>
      <c r="BL97" s="111"/>
      <c r="BM97" s="98">
        <f t="shared" ref="BM97:BM150" si="35">SUM(BH97:BL97)</f>
        <v>1</v>
      </c>
      <c r="BN97" s="98" t="str">
        <f t="shared" ref="BN97:BN150" si="36">IF(BM97&gt;=0.1,"Y","N")</f>
        <v>Y</v>
      </c>
      <c r="BO97" s="115"/>
      <c r="BP97" s="100">
        <v>1</v>
      </c>
      <c r="BQ97" s="100"/>
      <c r="BR97" s="100"/>
      <c r="BS97" s="100">
        <f t="shared" ref="BS97:BS150" si="37">SUM(BP97:BR97)</f>
        <v>1</v>
      </c>
      <c r="BT97" s="100" t="str">
        <f t="shared" ref="BT97:BT150" si="38">IF(BS97&gt;=0.1,"Y","N")</f>
        <v>Y</v>
      </c>
      <c r="BU97" s="50"/>
      <c r="BV97" s="101">
        <v>1</v>
      </c>
      <c r="BW97" s="101"/>
      <c r="BX97" s="101"/>
      <c r="BY97" s="101"/>
      <c r="BZ97" s="101"/>
      <c r="CA97" s="101"/>
      <c r="CB97" s="101"/>
      <c r="CC97" s="101"/>
      <c r="CD97" s="101">
        <f t="shared" ref="CD97:CD150" si="39">SUM(BV97:CC97)</f>
        <v>1</v>
      </c>
      <c r="CE97" s="101" t="str">
        <f t="shared" ref="CE97:CE150" si="40">IF(CD97&gt;=0.1,"Y","N")</f>
        <v>Y</v>
      </c>
      <c r="CF97" s="54"/>
      <c r="CG97" s="102">
        <v>1</v>
      </c>
      <c r="CH97" s="102"/>
      <c r="CI97" s="102"/>
      <c r="CJ97" s="102"/>
      <c r="CK97" s="102"/>
      <c r="CL97" s="102"/>
      <c r="CM97" s="102"/>
      <c r="CN97" s="102"/>
      <c r="CO97" s="102"/>
      <c r="CP97" s="102"/>
      <c r="CQ97" s="102"/>
      <c r="CR97" s="102"/>
      <c r="CS97" s="102"/>
      <c r="CT97" s="102"/>
      <c r="CU97" s="102"/>
      <c r="CV97" s="102"/>
      <c r="CW97" s="102"/>
      <c r="CX97" s="102"/>
      <c r="CY97" s="102"/>
      <c r="CZ97" s="102">
        <f t="shared" ref="CZ97:CZ150" si="41">SUM(CG97:CY97)</f>
        <v>1</v>
      </c>
      <c r="DA97" s="102" t="str">
        <f t="shared" ref="DA97:DA150" si="42">IF(CZ97&gt;=0.1,"Y","N")</f>
        <v>Y</v>
      </c>
      <c r="DB97" s="58"/>
      <c r="DC97" s="101">
        <v>1</v>
      </c>
      <c r="DD97" s="101"/>
      <c r="DE97" s="101"/>
      <c r="DF97" s="101"/>
      <c r="DG97" s="101"/>
      <c r="DH97" s="101"/>
      <c r="DI97" s="101"/>
      <c r="DJ97" s="101"/>
      <c r="DK97" s="101"/>
      <c r="DL97" s="101"/>
      <c r="DM97" s="101"/>
      <c r="DN97" s="101"/>
      <c r="DO97" s="101"/>
      <c r="DP97" s="101"/>
      <c r="DQ97" s="101"/>
      <c r="DR97" s="101"/>
      <c r="DS97" s="101"/>
      <c r="DT97" s="101"/>
      <c r="DU97" s="101"/>
      <c r="DV97" s="101">
        <f t="shared" ref="DV97:DV150" si="43">SUM(DC97:DU97)</f>
        <v>1</v>
      </c>
      <c r="DW97" s="101" t="str">
        <f t="shared" ref="DW97:DW114" si="44">IF(DV97&gt;=0.1,"Y","N")</f>
        <v>Y</v>
      </c>
      <c r="DX97" s="103"/>
      <c r="DY97" s="104">
        <v>1</v>
      </c>
      <c r="DZ97" s="104"/>
      <c r="EA97" s="104"/>
      <c r="EB97" s="104"/>
      <c r="EC97" s="104"/>
      <c r="ED97" s="104"/>
      <c r="EE97" s="104"/>
      <c r="EF97" s="104"/>
      <c r="EG97" s="104"/>
      <c r="EH97" s="104"/>
      <c r="EI97" s="104"/>
      <c r="EJ97" s="104"/>
      <c r="EK97" s="104">
        <f t="shared" ref="EK97:EK150" si="45">SUM(DY97:EJ97)</f>
        <v>1</v>
      </c>
      <c r="EL97" s="104" t="str">
        <f t="shared" ref="EL97:EL150" si="46">IF(EK97&gt;=0.1,"Y","N")</f>
        <v>Y</v>
      </c>
      <c r="EM97" s="62"/>
      <c r="EN97" s="6"/>
      <c r="EO97" s="6"/>
      <c r="EP97" s="6"/>
      <c r="EQ97" s="6"/>
      <c r="ER97" s="6"/>
    </row>
    <row r="98" spans="1:162" x14ac:dyDescent="0.2">
      <c r="A98" s="1147"/>
      <c r="B98" s="1150"/>
      <c r="C98" s="1153"/>
      <c r="D98" s="1156"/>
      <c r="E98" s="1086"/>
      <c r="F98" s="1079"/>
      <c r="G98" s="1077"/>
      <c r="H98" s="1077"/>
      <c r="I98" s="1077"/>
      <c r="J98" s="1079"/>
      <c r="K98" s="1077"/>
      <c r="L98" s="181"/>
      <c r="M98" s="186"/>
      <c r="N98" s="177"/>
      <c r="O98" s="172"/>
      <c r="P98" s="173"/>
      <c r="Q98" s="173"/>
      <c r="R98" s="173"/>
      <c r="S98" s="173"/>
      <c r="T98" s="173"/>
      <c r="U98" s="173"/>
      <c r="V98" s="174"/>
      <c r="W98" s="175"/>
      <c r="X98" s="1099"/>
      <c r="Y98" s="1081"/>
      <c r="Z98" s="1081"/>
      <c r="AA98" s="1081"/>
      <c r="AB98" s="1081"/>
      <c r="AC98" s="1081"/>
      <c r="AD98" s="1081"/>
      <c r="AE98" s="1081"/>
      <c r="AF98" s="1081"/>
      <c r="AG98" s="1081"/>
      <c r="AH98" s="1081"/>
      <c r="AI98" s="1081"/>
      <c r="AJ98" s="1081"/>
      <c r="AK98" s="1082"/>
      <c r="AL98" s="1082"/>
      <c r="AM98" s="1082"/>
      <c r="AN98" s="1082"/>
      <c r="AO98" s="1081"/>
      <c r="AP98" s="1081"/>
      <c r="AQ98" s="95">
        <v>1</v>
      </c>
      <c r="AR98" s="95"/>
      <c r="AS98" s="95"/>
      <c r="AT98" s="95"/>
      <c r="AU98" s="95"/>
      <c r="AV98" s="95"/>
      <c r="AW98" s="95"/>
      <c r="AX98" s="95"/>
      <c r="AY98" s="95"/>
      <c r="AZ98" s="95"/>
      <c r="BA98" s="95"/>
      <c r="BB98" s="95"/>
      <c r="BC98" s="95"/>
      <c r="BD98" s="95"/>
      <c r="BE98" s="95">
        <f t="shared" si="33"/>
        <v>1</v>
      </c>
      <c r="BF98" s="96" t="str">
        <f t="shared" si="34"/>
        <v>Y</v>
      </c>
      <c r="BG98" s="97"/>
      <c r="BH98" s="98">
        <v>1</v>
      </c>
      <c r="BI98" s="98"/>
      <c r="BJ98" s="98"/>
      <c r="BK98" s="98"/>
      <c r="BL98" s="111"/>
      <c r="BM98" s="98">
        <f t="shared" si="35"/>
        <v>1</v>
      </c>
      <c r="BN98" s="98" t="str">
        <f t="shared" si="36"/>
        <v>Y</v>
      </c>
      <c r="BO98" s="115"/>
      <c r="BP98" s="100">
        <v>1</v>
      </c>
      <c r="BQ98" s="100"/>
      <c r="BR98" s="100"/>
      <c r="BS98" s="100">
        <f t="shared" si="37"/>
        <v>1</v>
      </c>
      <c r="BT98" s="100" t="str">
        <f t="shared" si="38"/>
        <v>Y</v>
      </c>
      <c r="BU98" s="50"/>
      <c r="BV98" s="101">
        <v>1</v>
      </c>
      <c r="BW98" s="101"/>
      <c r="BX98" s="101"/>
      <c r="BY98" s="101"/>
      <c r="BZ98" s="101"/>
      <c r="CA98" s="101"/>
      <c r="CB98" s="101"/>
      <c r="CC98" s="101"/>
      <c r="CD98" s="101">
        <f t="shared" si="39"/>
        <v>1</v>
      </c>
      <c r="CE98" s="101" t="str">
        <f t="shared" si="40"/>
        <v>Y</v>
      </c>
      <c r="CF98" s="54"/>
      <c r="CG98" s="102">
        <v>1</v>
      </c>
      <c r="CH98" s="102"/>
      <c r="CI98" s="102"/>
      <c r="CJ98" s="102"/>
      <c r="CK98" s="102"/>
      <c r="CL98" s="102"/>
      <c r="CM98" s="102"/>
      <c r="CN98" s="102"/>
      <c r="CO98" s="102"/>
      <c r="CP98" s="102"/>
      <c r="CQ98" s="102"/>
      <c r="CR98" s="102"/>
      <c r="CS98" s="102"/>
      <c r="CT98" s="102"/>
      <c r="CU98" s="102"/>
      <c r="CV98" s="102"/>
      <c r="CW98" s="102"/>
      <c r="CX98" s="102"/>
      <c r="CY98" s="102"/>
      <c r="CZ98" s="102">
        <f t="shared" si="41"/>
        <v>1</v>
      </c>
      <c r="DA98" s="102" t="str">
        <f t="shared" si="42"/>
        <v>Y</v>
      </c>
      <c r="DB98" s="58"/>
      <c r="DC98" s="101">
        <v>1</v>
      </c>
      <c r="DD98" s="101"/>
      <c r="DE98" s="101"/>
      <c r="DF98" s="101"/>
      <c r="DG98" s="101"/>
      <c r="DH98" s="101"/>
      <c r="DI98" s="101"/>
      <c r="DJ98" s="101"/>
      <c r="DK98" s="101"/>
      <c r="DL98" s="101"/>
      <c r="DM98" s="101"/>
      <c r="DN98" s="101"/>
      <c r="DO98" s="101"/>
      <c r="DP98" s="101"/>
      <c r="DQ98" s="101"/>
      <c r="DR98" s="101"/>
      <c r="DS98" s="101"/>
      <c r="DT98" s="101"/>
      <c r="DU98" s="101"/>
      <c r="DV98" s="101">
        <f t="shared" si="43"/>
        <v>1</v>
      </c>
      <c r="DW98" s="101" t="str">
        <f t="shared" si="44"/>
        <v>Y</v>
      </c>
      <c r="DX98" s="103"/>
      <c r="DY98" s="104">
        <v>1</v>
      </c>
      <c r="DZ98" s="104"/>
      <c r="EA98" s="104"/>
      <c r="EB98" s="104"/>
      <c r="EC98" s="104"/>
      <c r="ED98" s="104"/>
      <c r="EE98" s="104"/>
      <c r="EF98" s="104"/>
      <c r="EG98" s="104"/>
      <c r="EH98" s="104"/>
      <c r="EI98" s="104"/>
      <c r="EJ98" s="104"/>
      <c r="EK98" s="104">
        <f t="shared" si="45"/>
        <v>1</v>
      </c>
      <c r="EL98" s="104" t="str">
        <f t="shared" si="46"/>
        <v>Y</v>
      </c>
      <c r="EM98" s="62"/>
      <c r="EN98" s="6"/>
      <c r="EO98" s="6"/>
      <c r="EP98" s="6"/>
      <c r="EQ98" s="6"/>
      <c r="ER98" s="6"/>
    </row>
    <row r="99" spans="1:162" ht="13.5" thickBot="1" x14ac:dyDescent="0.25">
      <c r="A99" s="1147"/>
      <c r="B99" s="1151"/>
      <c r="C99" s="1154"/>
      <c r="D99" s="1157"/>
      <c r="E99" s="1143"/>
      <c r="F99" s="1080"/>
      <c r="G99" s="1078"/>
      <c r="H99" s="1078"/>
      <c r="I99" s="1078"/>
      <c r="J99" s="1080"/>
      <c r="K99" s="1078"/>
      <c r="L99" s="186"/>
      <c r="M99" s="186"/>
      <c r="N99" s="177"/>
      <c r="O99" s="172"/>
      <c r="P99" s="173"/>
      <c r="Q99" s="173"/>
      <c r="R99" s="173"/>
      <c r="S99" s="173"/>
      <c r="T99" s="173"/>
      <c r="U99" s="173"/>
      <c r="V99" s="174"/>
      <c r="W99" s="175"/>
      <c r="X99" s="1100"/>
      <c r="Y99" s="1081"/>
      <c r="Z99" s="1081"/>
      <c r="AA99" s="1081"/>
      <c r="AB99" s="1081"/>
      <c r="AC99" s="1081"/>
      <c r="AD99" s="1081"/>
      <c r="AE99" s="1081"/>
      <c r="AF99" s="1081"/>
      <c r="AG99" s="1081"/>
      <c r="AH99" s="1081"/>
      <c r="AI99" s="1081"/>
      <c r="AJ99" s="1081"/>
      <c r="AK99" s="1082"/>
      <c r="AL99" s="1082"/>
      <c r="AM99" s="1082"/>
      <c r="AN99" s="1082"/>
      <c r="AO99" s="1081"/>
      <c r="AP99" s="1081"/>
      <c r="AQ99" s="95">
        <v>1</v>
      </c>
      <c r="AR99" s="95"/>
      <c r="AS99" s="95"/>
      <c r="AT99" s="95"/>
      <c r="AU99" s="95"/>
      <c r="AV99" s="95"/>
      <c r="AW99" s="95"/>
      <c r="AX99" s="95"/>
      <c r="AY99" s="95"/>
      <c r="AZ99" s="95"/>
      <c r="BA99" s="95"/>
      <c r="BB99" s="95"/>
      <c r="BC99" s="95"/>
      <c r="BD99" s="95"/>
      <c r="BE99" s="95">
        <f t="shared" si="33"/>
        <v>1</v>
      </c>
      <c r="BF99" s="96" t="str">
        <f t="shared" si="34"/>
        <v>Y</v>
      </c>
      <c r="BG99" s="97"/>
      <c r="BH99" s="98">
        <v>1</v>
      </c>
      <c r="BI99" s="98"/>
      <c r="BJ99" s="98"/>
      <c r="BK99" s="98"/>
      <c r="BL99" s="111"/>
      <c r="BM99" s="98">
        <f t="shared" si="35"/>
        <v>1</v>
      </c>
      <c r="BN99" s="98" t="str">
        <f t="shared" si="36"/>
        <v>Y</v>
      </c>
      <c r="BO99" s="115"/>
      <c r="BP99" s="100">
        <v>1</v>
      </c>
      <c r="BQ99" s="100"/>
      <c r="BR99" s="100"/>
      <c r="BS99" s="100">
        <f t="shared" si="37"/>
        <v>1</v>
      </c>
      <c r="BT99" s="100" t="str">
        <f t="shared" si="38"/>
        <v>Y</v>
      </c>
      <c r="BU99" s="50"/>
      <c r="BV99" s="101">
        <v>1</v>
      </c>
      <c r="BW99" s="101"/>
      <c r="BX99" s="101"/>
      <c r="BY99" s="101"/>
      <c r="BZ99" s="101"/>
      <c r="CA99" s="101"/>
      <c r="CB99" s="101"/>
      <c r="CC99" s="101"/>
      <c r="CD99" s="101">
        <f t="shared" si="39"/>
        <v>1</v>
      </c>
      <c r="CE99" s="101" t="str">
        <f t="shared" si="40"/>
        <v>Y</v>
      </c>
      <c r="CF99" s="54"/>
      <c r="CG99" s="102">
        <v>1</v>
      </c>
      <c r="CH99" s="102"/>
      <c r="CI99" s="102"/>
      <c r="CJ99" s="102"/>
      <c r="CK99" s="102"/>
      <c r="CL99" s="102"/>
      <c r="CM99" s="102"/>
      <c r="CN99" s="102"/>
      <c r="CO99" s="102"/>
      <c r="CP99" s="102"/>
      <c r="CQ99" s="102"/>
      <c r="CR99" s="102"/>
      <c r="CS99" s="102"/>
      <c r="CT99" s="102"/>
      <c r="CU99" s="102"/>
      <c r="CV99" s="102"/>
      <c r="CW99" s="102"/>
      <c r="CX99" s="102"/>
      <c r="CY99" s="102"/>
      <c r="CZ99" s="102">
        <f t="shared" si="41"/>
        <v>1</v>
      </c>
      <c r="DA99" s="102" t="str">
        <f t="shared" si="42"/>
        <v>Y</v>
      </c>
      <c r="DB99" s="58"/>
      <c r="DC99" s="101">
        <v>1</v>
      </c>
      <c r="DD99" s="101"/>
      <c r="DE99" s="101"/>
      <c r="DF99" s="101"/>
      <c r="DG99" s="101"/>
      <c r="DH99" s="101"/>
      <c r="DI99" s="101"/>
      <c r="DJ99" s="101"/>
      <c r="DK99" s="101"/>
      <c r="DL99" s="101"/>
      <c r="DM99" s="101"/>
      <c r="DN99" s="101"/>
      <c r="DO99" s="101"/>
      <c r="DP99" s="101"/>
      <c r="DQ99" s="101"/>
      <c r="DR99" s="101"/>
      <c r="DS99" s="101"/>
      <c r="DT99" s="101"/>
      <c r="DU99" s="101"/>
      <c r="DV99" s="101">
        <f t="shared" si="43"/>
        <v>1</v>
      </c>
      <c r="DW99" s="101" t="str">
        <f t="shared" si="44"/>
        <v>Y</v>
      </c>
      <c r="DX99" s="103"/>
      <c r="DY99" s="104">
        <v>1</v>
      </c>
      <c r="DZ99" s="104"/>
      <c r="EA99" s="104"/>
      <c r="EB99" s="104"/>
      <c r="EC99" s="104"/>
      <c r="ED99" s="104"/>
      <c r="EE99" s="104"/>
      <c r="EF99" s="104"/>
      <c r="EG99" s="104"/>
      <c r="EH99" s="104"/>
      <c r="EI99" s="104"/>
      <c r="EJ99" s="104"/>
      <c r="EK99" s="104">
        <f t="shared" si="45"/>
        <v>1</v>
      </c>
      <c r="EL99" s="104" t="str">
        <f t="shared" si="46"/>
        <v>Y</v>
      </c>
      <c r="EM99" s="62"/>
      <c r="EN99" s="6"/>
      <c r="EO99" s="6"/>
      <c r="EP99" s="6"/>
      <c r="EQ99" s="6"/>
      <c r="ER99" s="6"/>
    </row>
    <row r="100" spans="1:162" x14ac:dyDescent="0.2">
      <c r="A100" s="1147"/>
      <c r="B100" s="1139" t="s">
        <v>224</v>
      </c>
      <c r="C100" s="1141" t="s">
        <v>223</v>
      </c>
      <c r="D100" s="1158"/>
      <c r="E100" s="1085"/>
      <c r="F100" s="1144"/>
      <c r="G100" s="1076" t="s">
        <v>349</v>
      </c>
      <c r="H100" s="1076" t="s">
        <v>274</v>
      </c>
      <c r="I100" s="1076"/>
      <c r="J100" s="1079">
        <f>Y100+AA100+AC100+AE100+AG100+AI100+AK100+AM100+AO100</f>
        <v>1</v>
      </c>
      <c r="K100" s="1076"/>
      <c r="L100" s="186"/>
      <c r="M100" s="186"/>
      <c r="N100" s="177"/>
      <c r="O100" s="172"/>
      <c r="P100" s="173"/>
      <c r="Q100" s="173"/>
      <c r="R100" s="173"/>
      <c r="S100" s="173"/>
      <c r="T100" s="173"/>
      <c r="U100" s="173"/>
      <c r="V100" s="174"/>
      <c r="W100" s="175"/>
      <c r="X100" s="1098" t="s">
        <v>274</v>
      </c>
      <c r="Y100" s="1081">
        <f>IF(HC="Y",IF(BF100="Y",Z100,0),0)</f>
        <v>0</v>
      </c>
      <c r="Z100" s="1081">
        <v>1</v>
      </c>
      <c r="AA100" s="1081">
        <f>IF(OFF="Y",IF(BN100="Y",AB100,0),0)</f>
        <v>1</v>
      </c>
      <c r="AB100" s="1081">
        <v>1</v>
      </c>
      <c r="AC100" s="1081">
        <f>IF(COURTS="Y",IF(BT100="Y",AD100,0),0)</f>
        <v>0</v>
      </c>
      <c r="AD100" s="1081">
        <v>0</v>
      </c>
      <c r="AE100" s="1081">
        <f>IF(PRISONS="Y",IF(CE100="Y",AF100,0),0)</f>
        <v>0</v>
      </c>
      <c r="AF100" s="1081">
        <v>0</v>
      </c>
      <c r="AG100" s="1081">
        <f>IF(RET="Y",IF(DA100="Y",AH100,0),0)</f>
        <v>0</v>
      </c>
      <c r="AH100" s="1081">
        <v>1</v>
      </c>
      <c r="AI100" s="1081">
        <f>IF(SCHOOLS="y",IF(DW100="y",AJ100,0),0)</f>
        <v>0</v>
      </c>
      <c r="AJ100" s="1081">
        <v>1</v>
      </c>
      <c r="AK100" s="1082">
        <f>IF(FE="y",IF(DW100="y",AL100,0),0)</f>
        <v>0</v>
      </c>
      <c r="AL100" s="1082">
        <v>1</v>
      </c>
      <c r="AM100" s="1082">
        <f>IF(HE="Y",IF(DW100="Y",AN100,0),0)</f>
        <v>0</v>
      </c>
      <c r="AN100" s="1082">
        <v>1</v>
      </c>
      <c r="AO100" s="1081">
        <f>IF(INDUSTRIAL="Y",IF(EL100="Y",AP100,0),0)</f>
        <v>0</v>
      </c>
      <c r="AP100" s="1081">
        <v>1</v>
      </c>
      <c r="AQ100" s="95">
        <v>1</v>
      </c>
      <c r="AR100" s="95"/>
      <c r="AS100" s="95"/>
      <c r="AT100" s="95"/>
      <c r="AU100" s="95"/>
      <c r="AV100" s="95"/>
      <c r="AW100" s="95"/>
      <c r="AX100" s="95"/>
      <c r="AY100" s="95"/>
      <c r="AZ100" s="95"/>
      <c r="BA100" s="95"/>
      <c r="BB100" s="95"/>
      <c r="BC100" s="95"/>
      <c r="BD100" s="95"/>
      <c r="BE100" s="95">
        <f t="shared" si="33"/>
        <v>1</v>
      </c>
      <c r="BF100" s="96" t="str">
        <f t="shared" si="34"/>
        <v>Y</v>
      </c>
      <c r="BG100" s="97"/>
      <c r="BH100" s="98">
        <v>1</v>
      </c>
      <c r="BI100" s="98"/>
      <c r="BJ100" s="98"/>
      <c r="BK100" s="98"/>
      <c r="BL100" s="111"/>
      <c r="BM100" s="98">
        <f t="shared" si="35"/>
        <v>1</v>
      </c>
      <c r="BN100" s="98" t="str">
        <f t="shared" si="36"/>
        <v>Y</v>
      </c>
      <c r="BO100" s="115"/>
      <c r="BP100" s="100"/>
      <c r="BQ100" s="100"/>
      <c r="BR100" s="100"/>
      <c r="BS100" s="100">
        <f t="shared" si="37"/>
        <v>0</v>
      </c>
      <c r="BT100" s="100" t="str">
        <f t="shared" si="38"/>
        <v>N</v>
      </c>
      <c r="BU100" s="50"/>
      <c r="BV100" s="101"/>
      <c r="BW100" s="101"/>
      <c r="BX100" s="101"/>
      <c r="BY100" s="101"/>
      <c r="BZ100" s="101"/>
      <c r="CA100" s="101"/>
      <c r="CB100" s="101"/>
      <c r="CC100" s="101"/>
      <c r="CD100" s="101">
        <f t="shared" si="39"/>
        <v>0</v>
      </c>
      <c r="CE100" s="101" t="str">
        <f t="shared" si="40"/>
        <v>N</v>
      </c>
      <c r="CF100" s="54"/>
      <c r="CG100" s="102">
        <v>1</v>
      </c>
      <c r="CH100" s="102"/>
      <c r="CI100" s="102"/>
      <c r="CJ100" s="102"/>
      <c r="CK100" s="102"/>
      <c r="CL100" s="102"/>
      <c r="CM100" s="102"/>
      <c r="CN100" s="102"/>
      <c r="CO100" s="102"/>
      <c r="CP100" s="102"/>
      <c r="CQ100" s="102"/>
      <c r="CR100" s="102"/>
      <c r="CS100" s="102"/>
      <c r="CT100" s="102"/>
      <c r="CU100" s="102"/>
      <c r="CV100" s="102"/>
      <c r="CW100" s="102"/>
      <c r="CX100" s="102"/>
      <c r="CY100" s="102"/>
      <c r="CZ100" s="102">
        <f t="shared" si="41"/>
        <v>1</v>
      </c>
      <c r="DA100" s="102" t="str">
        <f t="shared" si="42"/>
        <v>Y</v>
      </c>
      <c r="DB100" s="58"/>
      <c r="DC100" s="101">
        <v>1</v>
      </c>
      <c r="DD100" s="101"/>
      <c r="DE100" s="101"/>
      <c r="DF100" s="101"/>
      <c r="DG100" s="101"/>
      <c r="DH100" s="101"/>
      <c r="DI100" s="101"/>
      <c r="DJ100" s="101"/>
      <c r="DK100" s="101"/>
      <c r="DL100" s="101"/>
      <c r="DM100" s="101"/>
      <c r="DN100" s="101"/>
      <c r="DO100" s="101"/>
      <c r="DP100" s="101"/>
      <c r="DQ100" s="101"/>
      <c r="DR100" s="101"/>
      <c r="DS100" s="101"/>
      <c r="DT100" s="101"/>
      <c r="DU100" s="101"/>
      <c r="DV100" s="101">
        <f t="shared" si="43"/>
        <v>1</v>
      </c>
      <c r="DW100" s="101" t="str">
        <f t="shared" si="44"/>
        <v>Y</v>
      </c>
      <c r="DX100" s="103"/>
      <c r="DY100" s="104">
        <v>1</v>
      </c>
      <c r="DZ100" s="104"/>
      <c r="EA100" s="104"/>
      <c r="EB100" s="104"/>
      <c r="EC100" s="104"/>
      <c r="ED100" s="104"/>
      <c r="EE100" s="104"/>
      <c r="EF100" s="104"/>
      <c r="EG100" s="104"/>
      <c r="EH100" s="104"/>
      <c r="EI100" s="104"/>
      <c r="EJ100" s="104"/>
      <c r="EK100" s="104">
        <f t="shared" si="45"/>
        <v>1</v>
      </c>
      <c r="EL100" s="104" t="str">
        <f t="shared" si="46"/>
        <v>Y</v>
      </c>
      <c r="EM100" s="62"/>
      <c r="EN100" s="6"/>
      <c r="EO100" s="6"/>
      <c r="EP100" s="6"/>
      <c r="EQ100" s="6"/>
      <c r="ER100" s="6"/>
    </row>
    <row r="101" spans="1:162" x14ac:dyDescent="0.2">
      <c r="A101" s="1147"/>
      <c r="B101" s="1139"/>
      <c r="C101" s="1141"/>
      <c r="D101" s="1134"/>
      <c r="E101" s="1086"/>
      <c r="F101" s="1079"/>
      <c r="G101" s="1077"/>
      <c r="H101" s="1077"/>
      <c r="I101" s="1077"/>
      <c r="J101" s="1079"/>
      <c r="K101" s="1077"/>
      <c r="L101" s="181"/>
      <c r="M101" s="186"/>
      <c r="N101" s="177"/>
      <c r="O101" s="172"/>
      <c r="P101" s="173"/>
      <c r="Q101" s="173"/>
      <c r="R101" s="173"/>
      <c r="S101" s="173"/>
      <c r="T101" s="173"/>
      <c r="U101" s="173"/>
      <c r="V101" s="174"/>
      <c r="W101" s="175"/>
      <c r="X101" s="1099"/>
      <c r="Y101" s="1081"/>
      <c r="Z101" s="1081"/>
      <c r="AA101" s="1081"/>
      <c r="AB101" s="1081"/>
      <c r="AC101" s="1081"/>
      <c r="AD101" s="1081"/>
      <c r="AE101" s="1081"/>
      <c r="AF101" s="1081"/>
      <c r="AG101" s="1081"/>
      <c r="AH101" s="1081"/>
      <c r="AI101" s="1081"/>
      <c r="AJ101" s="1081"/>
      <c r="AK101" s="1082"/>
      <c r="AL101" s="1082"/>
      <c r="AM101" s="1082"/>
      <c r="AN101" s="1082"/>
      <c r="AO101" s="1081"/>
      <c r="AP101" s="1081"/>
      <c r="AQ101" s="95">
        <v>1</v>
      </c>
      <c r="AR101" s="95"/>
      <c r="AS101" s="95"/>
      <c r="AT101" s="95"/>
      <c r="AU101" s="95"/>
      <c r="AV101" s="95"/>
      <c r="AW101" s="95"/>
      <c r="AX101" s="95"/>
      <c r="AY101" s="95"/>
      <c r="AZ101" s="95"/>
      <c r="BA101" s="95"/>
      <c r="BB101" s="95"/>
      <c r="BC101" s="95"/>
      <c r="BD101" s="95"/>
      <c r="BE101" s="95">
        <f t="shared" si="33"/>
        <v>1</v>
      </c>
      <c r="BF101" s="96" t="str">
        <f t="shared" si="34"/>
        <v>Y</v>
      </c>
      <c r="BG101" s="97"/>
      <c r="BH101" s="98">
        <v>1</v>
      </c>
      <c r="BI101" s="98"/>
      <c r="BJ101" s="98"/>
      <c r="BK101" s="98"/>
      <c r="BL101" s="111"/>
      <c r="BM101" s="98">
        <f t="shared" si="35"/>
        <v>1</v>
      </c>
      <c r="BN101" s="98" t="str">
        <f t="shared" si="36"/>
        <v>Y</v>
      </c>
      <c r="BO101" s="115"/>
      <c r="BP101" s="100"/>
      <c r="BQ101" s="100"/>
      <c r="BR101" s="100"/>
      <c r="BS101" s="100">
        <f t="shared" si="37"/>
        <v>0</v>
      </c>
      <c r="BT101" s="100" t="str">
        <f t="shared" si="38"/>
        <v>N</v>
      </c>
      <c r="BU101" s="50"/>
      <c r="BV101" s="101"/>
      <c r="BW101" s="101"/>
      <c r="BX101" s="101"/>
      <c r="BY101" s="101"/>
      <c r="BZ101" s="101"/>
      <c r="CA101" s="101"/>
      <c r="CB101" s="101"/>
      <c r="CC101" s="101"/>
      <c r="CD101" s="101">
        <f t="shared" si="39"/>
        <v>0</v>
      </c>
      <c r="CE101" s="101" t="str">
        <f t="shared" si="40"/>
        <v>N</v>
      </c>
      <c r="CF101" s="54"/>
      <c r="CG101" s="102">
        <v>1</v>
      </c>
      <c r="CH101" s="102"/>
      <c r="CI101" s="102"/>
      <c r="CJ101" s="102"/>
      <c r="CK101" s="102"/>
      <c r="CL101" s="102"/>
      <c r="CM101" s="102"/>
      <c r="CN101" s="102"/>
      <c r="CO101" s="102"/>
      <c r="CP101" s="102"/>
      <c r="CQ101" s="102"/>
      <c r="CR101" s="102"/>
      <c r="CS101" s="102"/>
      <c r="CT101" s="102"/>
      <c r="CU101" s="102"/>
      <c r="CV101" s="102"/>
      <c r="CW101" s="102"/>
      <c r="CX101" s="102"/>
      <c r="CY101" s="102"/>
      <c r="CZ101" s="102">
        <f t="shared" si="41"/>
        <v>1</v>
      </c>
      <c r="DA101" s="102" t="str">
        <f t="shared" si="42"/>
        <v>Y</v>
      </c>
      <c r="DB101" s="58"/>
      <c r="DC101" s="101">
        <v>1</v>
      </c>
      <c r="DD101" s="101"/>
      <c r="DE101" s="101"/>
      <c r="DF101" s="101"/>
      <c r="DG101" s="101"/>
      <c r="DH101" s="101"/>
      <c r="DI101" s="101"/>
      <c r="DJ101" s="101"/>
      <c r="DK101" s="101"/>
      <c r="DL101" s="101"/>
      <c r="DM101" s="101"/>
      <c r="DN101" s="101"/>
      <c r="DO101" s="101"/>
      <c r="DP101" s="101"/>
      <c r="DQ101" s="101"/>
      <c r="DR101" s="101"/>
      <c r="DS101" s="101"/>
      <c r="DT101" s="101"/>
      <c r="DU101" s="101"/>
      <c r="DV101" s="101">
        <f t="shared" si="43"/>
        <v>1</v>
      </c>
      <c r="DW101" s="101" t="str">
        <f t="shared" si="44"/>
        <v>Y</v>
      </c>
      <c r="DX101" s="103"/>
      <c r="DY101" s="104">
        <v>1</v>
      </c>
      <c r="DZ101" s="104"/>
      <c r="EA101" s="104"/>
      <c r="EB101" s="104"/>
      <c r="EC101" s="104"/>
      <c r="ED101" s="104"/>
      <c r="EE101" s="104"/>
      <c r="EF101" s="104"/>
      <c r="EG101" s="104"/>
      <c r="EH101" s="104"/>
      <c r="EI101" s="104"/>
      <c r="EJ101" s="104"/>
      <c r="EK101" s="104">
        <f t="shared" si="45"/>
        <v>1</v>
      </c>
      <c r="EL101" s="104" t="str">
        <f t="shared" si="46"/>
        <v>Y</v>
      </c>
      <c r="EM101" s="62"/>
      <c r="EN101" s="6"/>
      <c r="EO101" s="6"/>
      <c r="EP101" s="6"/>
      <c r="EQ101" s="6"/>
      <c r="ER101" s="6"/>
    </row>
    <row r="102" spans="1:162" ht="13.5" thickBot="1" x14ac:dyDescent="0.25">
      <c r="A102" s="1147"/>
      <c r="B102" s="1145"/>
      <c r="C102" s="1142"/>
      <c r="D102" s="1136"/>
      <c r="E102" s="1143"/>
      <c r="F102" s="1080"/>
      <c r="G102" s="1078"/>
      <c r="H102" s="1078"/>
      <c r="I102" s="1078"/>
      <c r="J102" s="1080"/>
      <c r="K102" s="1078"/>
      <c r="L102" s="180"/>
      <c r="M102" s="186"/>
      <c r="N102" s="177"/>
      <c r="O102" s="172"/>
      <c r="P102" s="173"/>
      <c r="Q102" s="173"/>
      <c r="R102" s="173"/>
      <c r="S102" s="173"/>
      <c r="T102" s="173"/>
      <c r="U102" s="173"/>
      <c r="V102" s="174"/>
      <c r="W102" s="175"/>
      <c r="X102" s="1100"/>
      <c r="Y102" s="1081"/>
      <c r="Z102" s="1081"/>
      <c r="AA102" s="1081"/>
      <c r="AB102" s="1081"/>
      <c r="AC102" s="1081"/>
      <c r="AD102" s="1081"/>
      <c r="AE102" s="1081"/>
      <c r="AF102" s="1081"/>
      <c r="AG102" s="1081"/>
      <c r="AH102" s="1081"/>
      <c r="AI102" s="1081"/>
      <c r="AJ102" s="1081"/>
      <c r="AK102" s="1082"/>
      <c r="AL102" s="1082"/>
      <c r="AM102" s="1082"/>
      <c r="AN102" s="1082"/>
      <c r="AO102" s="1081"/>
      <c r="AP102" s="1081"/>
      <c r="AQ102" s="95">
        <v>1</v>
      </c>
      <c r="AR102" s="95"/>
      <c r="AS102" s="95"/>
      <c r="AT102" s="95"/>
      <c r="AU102" s="95"/>
      <c r="AV102" s="95"/>
      <c r="AW102" s="95"/>
      <c r="AX102" s="95"/>
      <c r="AY102" s="95"/>
      <c r="AZ102" s="95"/>
      <c r="BA102" s="95"/>
      <c r="BB102" s="95"/>
      <c r="BC102" s="95"/>
      <c r="BD102" s="95"/>
      <c r="BE102" s="95">
        <f t="shared" si="33"/>
        <v>1</v>
      </c>
      <c r="BF102" s="96" t="str">
        <f t="shared" si="34"/>
        <v>Y</v>
      </c>
      <c r="BG102" s="97"/>
      <c r="BH102" s="98">
        <v>1</v>
      </c>
      <c r="BI102" s="98"/>
      <c r="BJ102" s="98"/>
      <c r="BK102" s="98"/>
      <c r="BL102" s="111"/>
      <c r="BM102" s="98">
        <f t="shared" si="35"/>
        <v>1</v>
      </c>
      <c r="BN102" s="98" t="str">
        <f t="shared" si="36"/>
        <v>Y</v>
      </c>
      <c r="BO102" s="115"/>
      <c r="BP102" s="100"/>
      <c r="BQ102" s="100"/>
      <c r="BR102" s="100"/>
      <c r="BS102" s="100">
        <f t="shared" si="37"/>
        <v>0</v>
      </c>
      <c r="BT102" s="100" t="str">
        <f t="shared" si="38"/>
        <v>N</v>
      </c>
      <c r="BU102" s="50"/>
      <c r="BV102" s="101"/>
      <c r="BW102" s="101"/>
      <c r="BX102" s="101"/>
      <c r="BY102" s="101"/>
      <c r="BZ102" s="101"/>
      <c r="CA102" s="101"/>
      <c r="CB102" s="101"/>
      <c r="CC102" s="101"/>
      <c r="CD102" s="101">
        <f t="shared" si="39"/>
        <v>0</v>
      </c>
      <c r="CE102" s="101" t="str">
        <f t="shared" si="40"/>
        <v>N</v>
      </c>
      <c r="CF102" s="54"/>
      <c r="CG102" s="102">
        <v>1</v>
      </c>
      <c r="CH102" s="102"/>
      <c r="CI102" s="102"/>
      <c r="CJ102" s="102"/>
      <c r="CK102" s="102"/>
      <c r="CL102" s="102"/>
      <c r="CM102" s="102"/>
      <c r="CN102" s="102"/>
      <c r="CO102" s="102"/>
      <c r="CP102" s="102"/>
      <c r="CQ102" s="102"/>
      <c r="CR102" s="102"/>
      <c r="CS102" s="102"/>
      <c r="CT102" s="102"/>
      <c r="CU102" s="102"/>
      <c r="CV102" s="102"/>
      <c r="CW102" s="102"/>
      <c r="CX102" s="102"/>
      <c r="CY102" s="102"/>
      <c r="CZ102" s="102">
        <f t="shared" si="41"/>
        <v>1</v>
      </c>
      <c r="DA102" s="102" t="str">
        <f t="shared" si="42"/>
        <v>Y</v>
      </c>
      <c r="DB102" s="58"/>
      <c r="DC102" s="101">
        <v>1</v>
      </c>
      <c r="DD102" s="101"/>
      <c r="DE102" s="101"/>
      <c r="DF102" s="101"/>
      <c r="DG102" s="101"/>
      <c r="DH102" s="101"/>
      <c r="DI102" s="101"/>
      <c r="DJ102" s="101"/>
      <c r="DK102" s="101"/>
      <c r="DL102" s="101"/>
      <c r="DM102" s="101"/>
      <c r="DN102" s="101"/>
      <c r="DO102" s="101"/>
      <c r="DP102" s="101"/>
      <c r="DQ102" s="101"/>
      <c r="DR102" s="101"/>
      <c r="DS102" s="101"/>
      <c r="DT102" s="101"/>
      <c r="DU102" s="101"/>
      <c r="DV102" s="101">
        <f t="shared" si="43"/>
        <v>1</v>
      </c>
      <c r="DW102" s="101" t="str">
        <f t="shared" si="44"/>
        <v>Y</v>
      </c>
      <c r="DX102" s="103"/>
      <c r="DY102" s="104">
        <v>1</v>
      </c>
      <c r="DZ102" s="104"/>
      <c r="EA102" s="104"/>
      <c r="EB102" s="104"/>
      <c r="EC102" s="104"/>
      <c r="ED102" s="104"/>
      <c r="EE102" s="104"/>
      <c r="EF102" s="104"/>
      <c r="EG102" s="104"/>
      <c r="EH102" s="104"/>
      <c r="EI102" s="104"/>
      <c r="EJ102" s="104"/>
      <c r="EK102" s="104">
        <f t="shared" si="45"/>
        <v>1</v>
      </c>
      <c r="EL102" s="104" t="str">
        <f t="shared" si="46"/>
        <v>Y</v>
      </c>
      <c r="EM102" s="62"/>
      <c r="EN102" s="6"/>
      <c r="EO102" s="6"/>
      <c r="EP102" s="6"/>
      <c r="EQ102" s="6"/>
      <c r="ER102" s="6"/>
    </row>
    <row r="103" spans="1:162" s="14" customFormat="1" x14ac:dyDescent="0.2">
      <c r="A103" s="1147"/>
      <c r="B103" s="1149" t="s">
        <v>222</v>
      </c>
      <c r="C103" s="1152" t="s">
        <v>221</v>
      </c>
      <c r="D103" s="1155" t="s">
        <v>179</v>
      </c>
      <c r="E103" s="1085"/>
      <c r="F103" s="1144"/>
      <c r="G103" s="1076" t="s">
        <v>349</v>
      </c>
      <c r="H103" s="1076" t="s">
        <v>341</v>
      </c>
      <c r="I103" s="1076"/>
      <c r="J103" s="1079">
        <f>Y103+AA103+AC103+AE103+AG103+AI103+AK103+AM103+AO103</f>
        <v>1</v>
      </c>
      <c r="K103" s="1076"/>
      <c r="L103" s="180"/>
      <c r="M103" s="186"/>
      <c r="N103" s="177"/>
      <c r="O103" s="172"/>
      <c r="P103" s="173"/>
      <c r="Q103" s="173"/>
      <c r="R103" s="173"/>
      <c r="S103" s="173"/>
      <c r="T103" s="173"/>
      <c r="U103" s="173"/>
      <c r="V103" s="174"/>
      <c r="W103" s="175"/>
      <c r="X103" s="1098" t="s">
        <v>341</v>
      </c>
      <c r="Y103" s="1081">
        <f>IF(HC="Y",IF(BF103="Y",Z103,0),0)</f>
        <v>0</v>
      </c>
      <c r="Z103" s="1081">
        <v>1</v>
      </c>
      <c r="AA103" s="1081">
        <f>IF(OFF="Y",IF(BN103="Y",AB103,0),0)</f>
        <v>1</v>
      </c>
      <c r="AB103" s="1081">
        <v>1</v>
      </c>
      <c r="AC103" s="1081">
        <f>IF(COURTS="Y",IF(BT103="Y",AD103,0),0)</f>
        <v>0</v>
      </c>
      <c r="AD103" s="1081">
        <v>1</v>
      </c>
      <c r="AE103" s="1081">
        <f>IF(PRISONS="Y",IF(CE103="Y",AF103,0),0)</f>
        <v>0</v>
      </c>
      <c r="AF103" s="1081">
        <v>1</v>
      </c>
      <c r="AG103" s="1081">
        <f>IF(RET="Y",IF(DA103="Y",AH103,0),0)</f>
        <v>0</v>
      </c>
      <c r="AH103" s="1081">
        <v>1</v>
      </c>
      <c r="AI103" s="1081">
        <f>IF(SCHOOLS="y",IF(DW103="y",AJ103,0),0)</f>
        <v>0</v>
      </c>
      <c r="AJ103" s="1081">
        <v>1</v>
      </c>
      <c r="AK103" s="1082">
        <f>IF(FE="y",IF(DW103="y",AL103,0),0)</f>
        <v>0</v>
      </c>
      <c r="AL103" s="1082">
        <v>1</v>
      </c>
      <c r="AM103" s="1082">
        <f>IF(HE="Y",IF(DW103="Y",AN103,0),0)</f>
        <v>0</v>
      </c>
      <c r="AN103" s="1082">
        <v>1</v>
      </c>
      <c r="AO103" s="1081">
        <f>IF(INDUSTRIAL="Y",IF(EL103="Y",AP103,0),0)</f>
        <v>0</v>
      </c>
      <c r="AP103" s="1081">
        <v>1</v>
      </c>
      <c r="AQ103" s="95">
        <v>1</v>
      </c>
      <c r="AR103" s="95"/>
      <c r="AS103" s="95"/>
      <c r="AT103" s="95"/>
      <c r="AU103" s="95"/>
      <c r="AV103" s="95"/>
      <c r="AW103" s="95"/>
      <c r="AX103" s="95"/>
      <c r="AY103" s="95"/>
      <c r="AZ103" s="95"/>
      <c r="BA103" s="95"/>
      <c r="BB103" s="95"/>
      <c r="BC103" s="95"/>
      <c r="BD103" s="95"/>
      <c r="BE103" s="95">
        <f t="shared" si="33"/>
        <v>1</v>
      </c>
      <c r="BF103" s="96" t="str">
        <f t="shared" si="34"/>
        <v>Y</v>
      </c>
      <c r="BG103" s="97"/>
      <c r="BH103" s="98">
        <v>1</v>
      </c>
      <c r="BI103" s="98"/>
      <c r="BJ103" s="98"/>
      <c r="BK103" s="98"/>
      <c r="BL103" s="111"/>
      <c r="BM103" s="98">
        <f t="shared" si="35"/>
        <v>1</v>
      </c>
      <c r="BN103" s="98" t="str">
        <f t="shared" si="36"/>
        <v>Y</v>
      </c>
      <c r="BO103" s="115"/>
      <c r="BP103" s="100">
        <v>1</v>
      </c>
      <c r="BQ103" s="100"/>
      <c r="BR103" s="100"/>
      <c r="BS103" s="100">
        <f t="shared" si="37"/>
        <v>1</v>
      </c>
      <c r="BT103" s="100" t="str">
        <f t="shared" si="38"/>
        <v>Y</v>
      </c>
      <c r="BU103" s="50"/>
      <c r="BV103" s="101">
        <v>1</v>
      </c>
      <c r="BW103" s="101"/>
      <c r="BX103" s="101"/>
      <c r="BY103" s="101"/>
      <c r="BZ103" s="101"/>
      <c r="CA103" s="101"/>
      <c r="CB103" s="101"/>
      <c r="CC103" s="101"/>
      <c r="CD103" s="101">
        <f t="shared" si="39"/>
        <v>1</v>
      </c>
      <c r="CE103" s="101" t="str">
        <f t="shared" si="40"/>
        <v>Y</v>
      </c>
      <c r="CF103" s="54"/>
      <c r="CG103" s="102">
        <v>1</v>
      </c>
      <c r="CH103" s="102"/>
      <c r="CI103" s="102"/>
      <c r="CJ103" s="102"/>
      <c r="CK103" s="102"/>
      <c r="CL103" s="102"/>
      <c r="CM103" s="102"/>
      <c r="CN103" s="102"/>
      <c r="CO103" s="102"/>
      <c r="CP103" s="102"/>
      <c r="CQ103" s="102"/>
      <c r="CR103" s="102"/>
      <c r="CS103" s="102"/>
      <c r="CT103" s="102"/>
      <c r="CU103" s="102"/>
      <c r="CV103" s="102"/>
      <c r="CW103" s="102"/>
      <c r="CX103" s="102"/>
      <c r="CY103" s="102"/>
      <c r="CZ103" s="102">
        <f t="shared" si="41"/>
        <v>1</v>
      </c>
      <c r="DA103" s="102" t="str">
        <f t="shared" si="42"/>
        <v>Y</v>
      </c>
      <c r="DB103" s="58"/>
      <c r="DC103" s="101">
        <v>1</v>
      </c>
      <c r="DD103" s="101"/>
      <c r="DE103" s="101"/>
      <c r="DF103" s="101"/>
      <c r="DG103" s="101"/>
      <c r="DH103" s="101"/>
      <c r="DI103" s="101"/>
      <c r="DJ103" s="101"/>
      <c r="DK103" s="101"/>
      <c r="DL103" s="101"/>
      <c r="DM103" s="101"/>
      <c r="DN103" s="101"/>
      <c r="DO103" s="101"/>
      <c r="DP103" s="101"/>
      <c r="DQ103" s="101"/>
      <c r="DR103" s="101"/>
      <c r="DS103" s="101"/>
      <c r="DT103" s="101"/>
      <c r="DU103" s="101"/>
      <c r="DV103" s="101">
        <f t="shared" si="43"/>
        <v>1</v>
      </c>
      <c r="DW103" s="101" t="str">
        <f t="shared" si="44"/>
        <v>Y</v>
      </c>
      <c r="DX103" s="103"/>
      <c r="DY103" s="104">
        <v>1</v>
      </c>
      <c r="DZ103" s="104"/>
      <c r="EA103" s="104"/>
      <c r="EB103" s="104"/>
      <c r="EC103" s="104"/>
      <c r="ED103" s="104"/>
      <c r="EE103" s="104"/>
      <c r="EF103" s="104"/>
      <c r="EG103" s="104"/>
      <c r="EH103" s="104"/>
      <c r="EI103" s="104"/>
      <c r="EJ103" s="104"/>
      <c r="EK103" s="104">
        <f t="shared" si="45"/>
        <v>1</v>
      </c>
      <c r="EL103" s="104" t="str">
        <f t="shared" si="46"/>
        <v>Y</v>
      </c>
      <c r="EM103" s="62"/>
      <c r="EN103" s="6"/>
      <c r="EO103" s="6"/>
      <c r="EP103" s="6"/>
      <c r="EQ103" s="6"/>
      <c r="ER103" s="6"/>
      <c r="ES103" s="6"/>
      <c r="ET103" s="6"/>
      <c r="EU103" s="6"/>
      <c r="EV103" s="6"/>
      <c r="EW103" s="6"/>
      <c r="EX103" s="6"/>
      <c r="EY103" s="6"/>
      <c r="EZ103" s="6"/>
      <c r="FA103" s="6"/>
      <c r="FB103" s="6"/>
      <c r="FC103" s="6"/>
      <c r="FD103" s="6"/>
      <c r="FE103" s="6"/>
      <c r="FF103" s="6"/>
    </row>
    <row r="104" spans="1:162" s="14" customFormat="1" x14ac:dyDescent="0.2">
      <c r="A104" s="1147"/>
      <c r="B104" s="1150"/>
      <c r="C104" s="1153"/>
      <c r="D104" s="1156"/>
      <c r="E104" s="1086"/>
      <c r="F104" s="1079"/>
      <c r="G104" s="1077"/>
      <c r="H104" s="1077"/>
      <c r="I104" s="1077"/>
      <c r="J104" s="1079"/>
      <c r="K104" s="1077"/>
      <c r="L104" s="181"/>
      <c r="M104" s="186"/>
      <c r="N104" s="177"/>
      <c r="O104" s="172"/>
      <c r="P104" s="173"/>
      <c r="Q104" s="173"/>
      <c r="R104" s="173"/>
      <c r="S104" s="173"/>
      <c r="T104" s="173"/>
      <c r="U104" s="173"/>
      <c r="V104" s="174"/>
      <c r="W104" s="175"/>
      <c r="X104" s="1099"/>
      <c r="Y104" s="1081"/>
      <c r="Z104" s="1081"/>
      <c r="AA104" s="1081"/>
      <c r="AB104" s="1081"/>
      <c r="AC104" s="1081"/>
      <c r="AD104" s="1081"/>
      <c r="AE104" s="1081"/>
      <c r="AF104" s="1081"/>
      <c r="AG104" s="1081"/>
      <c r="AH104" s="1081"/>
      <c r="AI104" s="1081"/>
      <c r="AJ104" s="1081"/>
      <c r="AK104" s="1082"/>
      <c r="AL104" s="1082"/>
      <c r="AM104" s="1082"/>
      <c r="AN104" s="1082"/>
      <c r="AO104" s="1081"/>
      <c r="AP104" s="1081"/>
      <c r="AQ104" s="95">
        <v>1</v>
      </c>
      <c r="AR104" s="95"/>
      <c r="AS104" s="95"/>
      <c r="AT104" s="95"/>
      <c r="AU104" s="95"/>
      <c r="AV104" s="95"/>
      <c r="AW104" s="95"/>
      <c r="AX104" s="95"/>
      <c r="AY104" s="95"/>
      <c r="AZ104" s="95"/>
      <c r="BA104" s="95"/>
      <c r="BB104" s="95"/>
      <c r="BC104" s="95"/>
      <c r="BD104" s="95"/>
      <c r="BE104" s="95">
        <f t="shared" si="33"/>
        <v>1</v>
      </c>
      <c r="BF104" s="96" t="str">
        <f t="shared" si="34"/>
        <v>Y</v>
      </c>
      <c r="BG104" s="97"/>
      <c r="BH104" s="98">
        <v>1</v>
      </c>
      <c r="BI104" s="98"/>
      <c r="BJ104" s="98"/>
      <c r="BK104" s="98"/>
      <c r="BL104" s="111"/>
      <c r="BM104" s="98">
        <f t="shared" si="35"/>
        <v>1</v>
      </c>
      <c r="BN104" s="98" t="str">
        <f t="shared" si="36"/>
        <v>Y</v>
      </c>
      <c r="BO104" s="115"/>
      <c r="BP104" s="100">
        <v>1</v>
      </c>
      <c r="BQ104" s="100"/>
      <c r="BR104" s="100"/>
      <c r="BS104" s="100">
        <f t="shared" si="37"/>
        <v>1</v>
      </c>
      <c r="BT104" s="100" t="str">
        <f t="shared" si="38"/>
        <v>Y</v>
      </c>
      <c r="BU104" s="50"/>
      <c r="BV104" s="101">
        <v>1</v>
      </c>
      <c r="BW104" s="101"/>
      <c r="BX104" s="101"/>
      <c r="BY104" s="101"/>
      <c r="BZ104" s="101"/>
      <c r="CA104" s="101"/>
      <c r="CB104" s="101"/>
      <c r="CC104" s="101"/>
      <c r="CD104" s="101">
        <f t="shared" si="39"/>
        <v>1</v>
      </c>
      <c r="CE104" s="101" t="str">
        <f t="shared" si="40"/>
        <v>Y</v>
      </c>
      <c r="CF104" s="54"/>
      <c r="CG104" s="102">
        <v>1</v>
      </c>
      <c r="CH104" s="102"/>
      <c r="CI104" s="102"/>
      <c r="CJ104" s="102"/>
      <c r="CK104" s="102"/>
      <c r="CL104" s="102"/>
      <c r="CM104" s="102"/>
      <c r="CN104" s="102"/>
      <c r="CO104" s="102"/>
      <c r="CP104" s="102"/>
      <c r="CQ104" s="102"/>
      <c r="CR104" s="102"/>
      <c r="CS104" s="102"/>
      <c r="CT104" s="102"/>
      <c r="CU104" s="102"/>
      <c r="CV104" s="102"/>
      <c r="CW104" s="102"/>
      <c r="CX104" s="102"/>
      <c r="CY104" s="102"/>
      <c r="CZ104" s="102">
        <f t="shared" si="41"/>
        <v>1</v>
      </c>
      <c r="DA104" s="102" t="str">
        <f t="shared" si="42"/>
        <v>Y</v>
      </c>
      <c r="DB104" s="58"/>
      <c r="DC104" s="101">
        <v>1</v>
      </c>
      <c r="DD104" s="101"/>
      <c r="DE104" s="101"/>
      <c r="DF104" s="101"/>
      <c r="DG104" s="101"/>
      <c r="DH104" s="101"/>
      <c r="DI104" s="101"/>
      <c r="DJ104" s="101"/>
      <c r="DK104" s="101"/>
      <c r="DL104" s="101"/>
      <c r="DM104" s="101"/>
      <c r="DN104" s="101"/>
      <c r="DO104" s="101"/>
      <c r="DP104" s="101"/>
      <c r="DQ104" s="101"/>
      <c r="DR104" s="101"/>
      <c r="DS104" s="101"/>
      <c r="DT104" s="101"/>
      <c r="DU104" s="101"/>
      <c r="DV104" s="101">
        <f t="shared" si="43"/>
        <v>1</v>
      </c>
      <c r="DW104" s="101" t="str">
        <f t="shared" si="44"/>
        <v>Y</v>
      </c>
      <c r="DX104" s="103"/>
      <c r="DY104" s="104">
        <v>1</v>
      </c>
      <c r="DZ104" s="104"/>
      <c r="EA104" s="104"/>
      <c r="EB104" s="104"/>
      <c r="EC104" s="104"/>
      <c r="ED104" s="104"/>
      <c r="EE104" s="104"/>
      <c r="EF104" s="104"/>
      <c r="EG104" s="104"/>
      <c r="EH104" s="104"/>
      <c r="EI104" s="104"/>
      <c r="EJ104" s="104"/>
      <c r="EK104" s="104">
        <f t="shared" si="45"/>
        <v>1</v>
      </c>
      <c r="EL104" s="104" t="str">
        <f t="shared" si="46"/>
        <v>Y</v>
      </c>
      <c r="EM104" s="62"/>
      <c r="EN104" s="6"/>
      <c r="EO104" s="6"/>
      <c r="EP104" s="6"/>
      <c r="EQ104" s="6"/>
      <c r="ER104" s="6"/>
      <c r="ES104" s="6"/>
      <c r="ET104" s="6"/>
      <c r="EU104" s="6"/>
      <c r="EV104" s="6"/>
      <c r="EW104" s="6"/>
      <c r="EX104" s="6"/>
      <c r="EY104" s="6"/>
      <c r="EZ104" s="6"/>
      <c r="FA104" s="6"/>
      <c r="FB104" s="6"/>
      <c r="FC104" s="6"/>
      <c r="FD104" s="6"/>
      <c r="FE104" s="6"/>
      <c r="FF104" s="6"/>
    </row>
    <row r="105" spans="1:162" ht="13.5" thickBot="1" x14ac:dyDescent="0.25">
      <c r="A105" s="1148"/>
      <c r="B105" s="1151"/>
      <c r="C105" s="1154"/>
      <c r="D105" s="1157"/>
      <c r="E105" s="1143"/>
      <c r="F105" s="1080"/>
      <c r="G105" s="1078"/>
      <c r="H105" s="1078"/>
      <c r="I105" s="1078"/>
      <c r="J105" s="1080"/>
      <c r="K105" s="1078"/>
      <c r="L105" s="180"/>
      <c r="M105" s="186"/>
      <c r="N105" s="177"/>
      <c r="O105" s="172"/>
      <c r="P105" s="173"/>
      <c r="Q105" s="173"/>
      <c r="R105" s="173"/>
      <c r="S105" s="173"/>
      <c r="T105" s="173"/>
      <c r="U105" s="173"/>
      <c r="V105" s="174"/>
      <c r="W105" s="175"/>
      <c r="X105" s="1100"/>
      <c r="Y105" s="1081"/>
      <c r="Z105" s="1081"/>
      <c r="AA105" s="1081"/>
      <c r="AB105" s="1081"/>
      <c r="AC105" s="1081"/>
      <c r="AD105" s="1081"/>
      <c r="AE105" s="1081"/>
      <c r="AF105" s="1081"/>
      <c r="AG105" s="1081"/>
      <c r="AH105" s="1081"/>
      <c r="AI105" s="1081"/>
      <c r="AJ105" s="1081"/>
      <c r="AK105" s="1082"/>
      <c r="AL105" s="1082"/>
      <c r="AM105" s="1082"/>
      <c r="AN105" s="1082"/>
      <c r="AO105" s="1081"/>
      <c r="AP105" s="1081"/>
      <c r="AQ105" s="95">
        <v>1</v>
      </c>
      <c r="AR105" s="95"/>
      <c r="AS105" s="95"/>
      <c r="AT105" s="95"/>
      <c r="AU105" s="95"/>
      <c r="AV105" s="95"/>
      <c r="AW105" s="95"/>
      <c r="AX105" s="95"/>
      <c r="AY105" s="95"/>
      <c r="AZ105" s="95"/>
      <c r="BA105" s="95"/>
      <c r="BB105" s="95"/>
      <c r="BC105" s="95"/>
      <c r="BD105" s="95"/>
      <c r="BE105" s="95">
        <f t="shared" si="33"/>
        <v>1</v>
      </c>
      <c r="BF105" s="96" t="str">
        <f t="shared" si="34"/>
        <v>Y</v>
      </c>
      <c r="BG105" s="97"/>
      <c r="BH105" s="98">
        <v>1</v>
      </c>
      <c r="BI105" s="98"/>
      <c r="BJ105" s="98"/>
      <c r="BK105" s="98"/>
      <c r="BL105" s="111"/>
      <c r="BM105" s="98">
        <f t="shared" si="35"/>
        <v>1</v>
      </c>
      <c r="BN105" s="98" t="str">
        <f t="shared" si="36"/>
        <v>Y</v>
      </c>
      <c r="BO105" s="115"/>
      <c r="BP105" s="100">
        <v>1</v>
      </c>
      <c r="BQ105" s="100"/>
      <c r="BR105" s="100"/>
      <c r="BS105" s="100">
        <f t="shared" si="37"/>
        <v>1</v>
      </c>
      <c r="BT105" s="100" t="str">
        <f t="shared" si="38"/>
        <v>Y</v>
      </c>
      <c r="BU105" s="50"/>
      <c r="BV105" s="101">
        <v>1</v>
      </c>
      <c r="BW105" s="101"/>
      <c r="BX105" s="101"/>
      <c r="BY105" s="101"/>
      <c r="BZ105" s="101"/>
      <c r="CA105" s="101"/>
      <c r="CB105" s="101"/>
      <c r="CC105" s="101"/>
      <c r="CD105" s="101">
        <f t="shared" si="39"/>
        <v>1</v>
      </c>
      <c r="CE105" s="101" t="str">
        <f t="shared" si="40"/>
        <v>Y</v>
      </c>
      <c r="CF105" s="54"/>
      <c r="CG105" s="102">
        <v>1</v>
      </c>
      <c r="CH105" s="102"/>
      <c r="CI105" s="102"/>
      <c r="CJ105" s="102"/>
      <c r="CK105" s="102"/>
      <c r="CL105" s="102"/>
      <c r="CM105" s="102"/>
      <c r="CN105" s="102"/>
      <c r="CO105" s="102"/>
      <c r="CP105" s="102"/>
      <c r="CQ105" s="102"/>
      <c r="CR105" s="102"/>
      <c r="CS105" s="102"/>
      <c r="CT105" s="102"/>
      <c r="CU105" s="102"/>
      <c r="CV105" s="102"/>
      <c r="CW105" s="102"/>
      <c r="CX105" s="102"/>
      <c r="CY105" s="102"/>
      <c r="CZ105" s="102">
        <f t="shared" si="41"/>
        <v>1</v>
      </c>
      <c r="DA105" s="102" t="str">
        <f t="shared" si="42"/>
        <v>Y</v>
      </c>
      <c r="DB105" s="58"/>
      <c r="DC105" s="101">
        <v>1</v>
      </c>
      <c r="DD105" s="101"/>
      <c r="DE105" s="101"/>
      <c r="DF105" s="101"/>
      <c r="DG105" s="101"/>
      <c r="DH105" s="101"/>
      <c r="DI105" s="101"/>
      <c r="DJ105" s="101"/>
      <c r="DK105" s="101"/>
      <c r="DL105" s="101"/>
      <c r="DM105" s="101"/>
      <c r="DN105" s="101"/>
      <c r="DO105" s="101"/>
      <c r="DP105" s="101"/>
      <c r="DQ105" s="101"/>
      <c r="DR105" s="101"/>
      <c r="DS105" s="101"/>
      <c r="DT105" s="101"/>
      <c r="DU105" s="101"/>
      <c r="DV105" s="101">
        <f t="shared" si="43"/>
        <v>1</v>
      </c>
      <c r="DW105" s="101" t="str">
        <f t="shared" si="44"/>
        <v>Y</v>
      </c>
      <c r="DX105" s="103"/>
      <c r="DY105" s="104">
        <v>1</v>
      </c>
      <c r="DZ105" s="104"/>
      <c r="EA105" s="104"/>
      <c r="EB105" s="104"/>
      <c r="EC105" s="104"/>
      <c r="ED105" s="104"/>
      <c r="EE105" s="104"/>
      <c r="EF105" s="104"/>
      <c r="EG105" s="104"/>
      <c r="EH105" s="104"/>
      <c r="EI105" s="104"/>
      <c r="EJ105" s="104"/>
      <c r="EK105" s="104">
        <f t="shared" si="45"/>
        <v>1</v>
      </c>
      <c r="EL105" s="104" t="str">
        <f t="shared" si="46"/>
        <v>Y</v>
      </c>
      <c r="EM105" s="62"/>
      <c r="EN105" s="6"/>
      <c r="EO105" s="6"/>
      <c r="EP105" s="6"/>
      <c r="EQ105" s="6"/>
      <c r="ER105" s="6"/>
    </row>
    <row r="106" spans="1:162" x14ac:dyDescent="0.2">
      <c r="A106" s="1146" t="s">
        <v>220</v>
      </c>
      <c r="B106" s="1139" t="s">
        <v>219</v>
      </c>
      <c r="C106" s="1141" t="s">
        <v>218</v>
      </c>
      <c r="D106" s="1158" t="s">
        <v>179</v>
      </c>
      <c r="E106" s="1085"/>
      <c r="F106" s="1144"/>
      <c r="G106" s="1076" t="s">
        <v>269</v>
      </c>
      <c r="H106" s="1076" t="s">
        <v>386</v>
      </c>
      <c r="I106" s="1076"/>
      <c r="J106" s="1079">
        <v>3</v>
      </c>
      <c r="K106" s="1076"/>
      <c r="L106" s="176"/>
      <c r="M106" s="186"/>
      <c r="N106" s="177"/>
      <c r="O106" s="172"/>
      <c r="P106" s="173"/>
      <c r="Q106" s="173"/>
      <c r="R106" s="173"/>
      <c r="S106" s="173"/>
      <c r="T106" s="173"/>
      <c r="U106" s="173"/>
      <c r="V106" s="174"/>
      <c r="W106" s="175"/>
      <c r="X106" s="1098" t="s">
        <v>376</v>
      </c>
      <c r="Y106" s="1081">
        <f>IF(HC="Y",IF(BF106="Y",Z106,0),0)</f>
        <v>0</v>
      </c>
      <c r="Z106" s="1081">
        <v>4</v>
      </c>
      <c r="AA106" s="1081">
        <f>IF(OFF="Y",IF(BN106="Y",AB106,0),0)</f>
        <v>4</v>
      </c>
      <c r="AB106" s="1081">
        <v>4</v>
      </c>
      <c r="AC106" s="1081">
        <f>IF(COURTS="Y",IF(BT106="Y",AD106,0),0)</f>
        <v>0</v>
      </c>
      <c r="AD106" s="1081">
        <v>4</v>
      </c>
      <c r="AE106" s="1081">
        <f>IF(PRISONS="Y",IF(CE106="Y",AF106,0),0)</f>
        <v>0</v>
      </c>
      <c r="AF106" s="1081">
        <v>4</v>
      </c>
      <c r="AG106" s="1081">
        <f>IF(RET="Y",IF(DA106="Y",AH106,0),0)</f>
        <v>0</v>
      </c>
      <c r="AH106" s="1081">
        <v>4</v>
      </c>
      <c r="AI106" s="1081">
        <f>IF(SCHOOLS="y",IF(DW106="y",AJ106,0),0)</f>
        <v>0</v>
      </c>
      <c r="AJ106" s="1081">
        <v>4</v>
      </c>
      <c r="AK106" s="1082">
        <f>IF(FE="y",IF(DW106="y",AL106,0),0)</f>
        <v>0</v>
      </c>
      <c r="AL106" s="1082">
        <v>4</v>
      </c>
      <c r="AM106" s="1082">
        <f>IF(HE="Y",IF(DW106="Y",AN106,0),0)</f>
        <v>0</v>
      </c>
      <c r="AN106" s="1082">
        <v>4</v>
      </c>
      <c r="AO106" s="1081">
        <f>IF(INDUSTRIAL="Y",IF(EL106="Y",AP106,0),0)</f>
        <v>0</v>
      </c>
      <c r="AP106" s="1081">
        <v>4</v>
      </c>
      <c r="AQ106" s="95">
        <v>1</v>
      </c>
      <c r="AR106" s="95"/>
      <c r="AS106" s="95"/>
      <c r="AT106" s="95"/>
      <c r="AU106" s="95"/>
      <c r="AV106" s="95"/>
      <c r="AW106" s="95"/>
      <c r="AX106" s="95"/>
      <c r="AY106" s="95"/>
      <c r="AZ106" s="95"/>
      <c r="BA106" s="95"/>
      <c r="BB106" s="95"/>
      <c r="BC106" s="95"/>
      <c r="BD106" s="95"/>
      <c r="BE106" s="95">
        <f t="shared" si="33"/>
        <v>1</v>
      </c>
      <c r="BF106" s="96" t="str">
        <f t="shared" si="34"/>
        <v>Y</v>
      </c>
      <c r="BG106" s="97"/>
      <c r="BH106" s="98">
        <v>1</v>
      </c>
      <c r="BI106" s="98"/>
      <c r="BJ106" s="98"/>
      <c r="BK106" s="98"/>
      <c r="BL106" s="111"/>
      <c r="BM106" s="98">
        <f t="shared" si="35"/>
        <v>1</v>
      </c>
      <c r="BN106" s="98" t="str">
        <f t="shared" si="36"/>
        <v>Y</v>
      </c>
      <c r="BO106" s="115"/>
      <c r="BP106" s="100">
        <v>1</v>
      </c>
      <c r="BQ106" s="100"/>
      <c r="BR106" s="100"/>
      <c r="BS106" s="100">
        <f t="shared" si="37"/>
        <v>1</v>
      </c>
      <c r="BT106" s="100" t="str">
        <f t="shared" si="38"/>
        <v>Y</v>
      </c>
      <c r="BU106" s="50"/>
      <c r="BV106" s="101">
        <v>1</v>
      </c>
      <c r="BW106" s="101"/>
      <c r="BX106" s="101"/>
      <c r="BY106" s="101"/>
      <c r="BZ106" s="101"/>
      <c r="CA106" s="101"/>
      <c r="CB106" s="101"/>
      <c r="CC106" s="101"/>
      <c r="CD106" s="101">
        <f t="shared" si="39"/>
        <v>1</v>
      </c>
      <c r="CE106" s="101" t="str">
        <f t="shared" si="40"/>
        <v>Y</v>
      </c>
      <c r="CF106" s="54"/>
      <c r="CG106" s="102">
        <v>1</v>
      </c>
      <c r="CH106" s="102"/>
      <c r="CI106" s="102"/>
      <c r="CJ106" s="102"/>
      <c r="CK106" s="102"/>
      <c r="CL106" s="102"/>
      <c r="CM106" s="102"/>
      <c r="CN106" s="102"/>
      <c r="CO106" s="102"/>
      <c r="CP106" s="102"/>
      <c r="CQ106" s="102"/>
      <c r="CR106" s="102"/>
      <c r="CS106" s="102"/>
      <c r="CT106" s="102"/>
      <c r="CU106" s="102"/>
      <c r="CV106" s="102"/>
      <c r="CW106" s="102"/>
      <c r="CX106" s="102"/>
      <c r="CY106" s="102"/>
      <c r="CZ106" s="102">
        <f t="shared" si="41"/>
        <v>1</v>
      </c>
      <c r="DA106" s="102" t="str">
        <f t="shared" si="42"/>
        <v>Y</v>
      </c>
      <c r="DB106" s="58"/>
      <c r="DC106" s="101">
        <v>1</v>
      </c>
      <c r="DD106" s="101"/>
      <c r="DE106" s="101"/>
      <c r="DF106" s="101"/>
      <c r="DG106" s="101"/>
      <c r="DH106" s="101"/>
      <c r="DI106" s="101"/>
      <c r="DJ106" s="101"/>
      <c r="DK106" s="101"/>
      <c r="DL106" s="101"/>
      <c r="DM106" s="101"/>
      <c r="DN106" s="101"/>
      <c r="DO106" s="101"/>
      <c r="DP106" s="101"/>
      <c r="DQ106" s="101"/>
      <c r="DR106" s="101"/>
      <c r="DS106" s="101"/>
      <c r="DT106" s="101"/>
      <c r="DU106" s="101"/>
      <c r="DV106" s="101">
        <f t="shared" si="43"/>
        <v>1</v>
      </c>
      <c r="DW106" s="101" t="str">
        <f t="shared" si="44"/>
        <v>Y</v>
      </c>
      <c r="DX106" s="103"/>
      <c r="DY106" s="104">
        <v>1</v>
      </c>
      <c r="DZ106" s="104"/>
      <c r="EA106" s="104"/>
      <c r="EB106" s="104"/>
      <c r="EC106" s="104"/>
      <c r="ED106" s="104"/>
      <c r="EE106" s="104"/>
      <c r="EF106" s="104"/>
      <c r="EG106" s="104"/>
      <c r="EH106" s="104"/>
      <c r="EI106" s="104"/>
      <c r="EJ106" s="104"/>
      <c r="EK106" s="104">
        <f t="shared" si="45"/>
        <v>1</v>
      </c>
      <c r="EL106" s="104" t="str">
        <f t="shared" si="46"/>
        <v>Y</v>
      </c>
      <c r="EM106" s="62"/>
      <c r="EN106" s="6"/>
      <c r="EO106" s="6"/>
      <c r="EP106" s="6"/>
      <c r="EQ106" s="6"/>
      <c r="ER106" s="6"/>
    </row>
    <row r="107" spans="1:162" x14ac:dyDescent="0.2">
      <c r="A107" s="1147"/>
      <c r="B107" s="1139"/>
      <c r="C107" s="1141"/>
      <c r="D107" s="1134"/>
      <c r="E107" s="1086"/>
      <c r="F107" s="1079"/>
      <c r="G107" s="1077"/>
      <c r="H107" s="1077"/>
      <c r="I107" s="1077"/>
      <c r="J107" s="1079"/>
      <c r="K107" s="1077"/>
      <c r="L107" s="181"/>
      <c r="M107" s="186"/>
      <c r="N107" s="177"/>
      <c r="O107" s="172"/>
      <c r="P107" s="173"/>
      <c r="Q107" s="173"/>
      <c r="R107" s="173"/>
      <c r="S107" s="173"/>
      <c r="T107" s="173"/>
      <c r="U107" s="173"/>
      <c r="V107" s="174"/>
      <c r="W107" s="175"/>
      <c r="X107" s="1099"/>
      <c r="Y107" s="1081"/>
      <c r="Z107" s="1081"/>
      <c r="AA107" s="1081"/>
      <c r="AB107" s="1081"/>
      <c r="AC107" s="1081"/>
      <c r="AD107" s="1081"/>
      <c r="AE107" s="1081"/>
      <c r="AF107" s="1081"/>
      <c r="AG107" s="1081"/>
      <c r="AH107" s="1081"/>
      <c r="AI107" s="1081"/>
      <c r="AJ107" s="1081"/>
      <c r="AK107" s="1082"/>
      <c r="AL107" s="1082"/>
      <c r="AM107" s="1082"/>
      <c r="AN107" s="1082"/>
      <c r="AO107" s="1081"/>
      <c r="AP107" s="1081"/>
      <c r="AQ107" s="95">
        <v>1</v>
      </c>
      <c r="AR107" s="95"/>
      <c r="AS107" s="95"/>
      <c r="AT107" s="95"/>
      <c r="AU107" s="95"/>
      <c r="AV107" s="95"/>
      <c r="AW107" s="95"/>
      <c r="AX107" s="95"/>
      <c r="AY107" s="95"/>
      <c r="AZ107" s="95"/>
      <c r="BA107" s="95"/>
      <c r="BB107" s="95"/>
      <c r="BC107" s="95"/>
      <c r="BD107" s="95"/>
      <c r="BE107" s="95">
        <f t="shared" si="33"/>
        <v>1</v>
      </c>
      <c r="BF107" s="96" t="str">
        <f t="shared" si="34"/>
        <v>Y</v>
      </c>
      <c r="BG107" s="97"/>
      <c r="BH107" s="98">
        <v>1</v>
      </c>
      <c r="BI107" s="98"/>
      <c r="BJ107" s="98"/>
      <c r="BK107" s="98"/>
      <c r="BL107" s="111"/>
      <c r="BM107" s="98">
        <f t="shared" si="35"/>
        <v>1</v>
      </c>
      <c r="BN107" s="98" t="str">
        <f t="shared" si="36"/>
        <v>Y</v>
      </c>
      <c r="BO107" s="115"/>
      <c r="BP107" s="100">
        <v>1</v>
      </c>
      <c r="BQ107" s="100"/>
      <c r="BR107" s="100"/>
      <c r="BS107" s="100">
        <f t="shared" si="37"/>
        <v>1</v>
      </c>
      <c r="BT107" s="100" t="str">
        <f t="shared" si="38"/>
        <v>Y</v>
      </c>
      <c r="BU107" s="50"/>
      <c r="BV107" s="101">
        <v>1</v>
      </c>
      <c r="BW107" s="101"/>
      <c r="BX107" s="101"/>
      <c r="BY107" s="101"/>
      <c r="BZ107" s="101"/>
      <c r="CA107" s="101"/>
      <c r="CB107" s="101"/>
      <c r="CC107" s="101"/>
      <c r="CD107" s="101">
        <f t="shared" si="39"/>
        <v>1</v>
      </c>
      <c r="CE107" s="101" t="str">
        <f t="shared" si="40"/>
        <v>Y</v>
      </c>
      <c r="CF107" s="54"/>
      <c r="CG107" s="102">
        <v>1</v>
      </c>
      <c r="CH107" s="102"/>
      <c r="CI107" s="102"/>
      <c r="CJ107" s="102"/>
      <c r="CK107" s="102"/>
      <c r="CL107" s="102"/>
      <c r="CM107" s="102"/>
      <c r="CN107" s="102"/>
      <c r="CO107" s="102"/>
      <c r="CP107" s="102"/>
      <c r="CQ107" s="102"/>
      <c r="CR107" s="102"/>
      <c r="CS107" s="102"/>
      <c r="CT107" s="102"/>
      <c r="CU107" s="102"/>
      <c r="CV107" s="102"/>
      <c r="CW107" s="102"/>
      <c r="CX107" s="102"/>
      <c r="CY107" s="102"/>
      <c r="CZ107" s="102">
        <f t="shared" si="41"/>
        <v>1</v>
      </c>
      <c r="DA107" s="102" t="str">
        <f t="shared" si="42"/>
        <v>Y</v>
      </c>
      <c r="DB107" s="58"/>
      <c r="DC107" s="101">
        <v>1</v>
      </c>
      <c r="DD107" s="101"/>
      <c r="DE107" s="101"/>
      <c r="DF107" s="101"/>
      <c r="DG107" s="101"/>
      <c r="DH107" s="101"/>
      <c r="DI107" s="101"/>
      <c r="DJ107" s="101"/>
      <c r="DK107" s="101"/>
      <c r="DL107" s="101"/>
      <c r="DM107" s="101"/>
      <c r="DN107" s="101"/>
      <c r="DO107" s="101"/>
      <c r="DP107" s="101"/>
      <c r="DQ107" s="101"/>
      <c r="DR107" s="101"/>
      <c r="DS107" s="101"/>
      <c r="DT107" s="101"/>
      <c r="DU107" s="101"/>
      <c r="DV107" s="101">
        <f t="shared" si="43"/>
        <v>1</v>
      </c>
      <c r="DW107" s="101" t="str">
        <f t="shared" si="44"/>
        <v>Y</v>
      </c>
      <c r="DX107" s="103"/>
      <c r="DY107" s="104">
        <v>1</v>
      </c>
      <c r="DZ107" s="104"/>
      <c r="EA107" s="104"/>
      <c r="EB107" s="104"/>
      <c r="EC107" s="104"/>
      <c r="ED107" s="104"/>
      <c r="EE107" s="104"/>
      <c r="EF107" s="104"/>
      <c r="EG107" s="104"/>
      <c r="EH107" s="104"/>
      <c r="EI107" s="104"/>
      <c r="EJ107" s="104"/>
      <c r="EK107" s="104">
        <f t="shared" si="45"/>
        <v>1</v>
      </c>
      <c r="EL107" s="104" t="str">
        <f t="shared" si="46"/>
        <v>Y</v>
      </c>
      <c r="EM107" s="62"/>
      <c r="EN107" s="6"/>
      <c r="EO107" s="6"/>
      <c r="EP107" s="6"/>
      <c r="EQ107" s="6"/>
      <c r="ER107" s="6"/>
    </row>
    <row r="108" spans="1:162" ht="13.5" thickBot="1" x14ac:dyDescent="0.25">
      <c r="A108" s="1147"/>
      <c r="B108" s="1145"/>
      <c r="C108" s="1142"/>
      <c r="D108" s="1136"/>
      <c r="E108" s="1143"/>
      <c r="F108" s="1080"/>
      <c r="G108" s="1078"/>
      <c r="H108" s="1078"/>
      <c r="I108" s="1078"/>
      <c r="J108" s="1080"/>
      <c r="K108" s="1078"/>
      <c r="L108" s="176"/>
      <c r="M108" s="186"/>
      <c r="N108" s="177"/>
      <c r="O108" s="172"/>
      <c r="P108" s="173"/>
      <c r="Q108" s="173"/>
      <c r="R108" s="173"/>
      <c r="S108" s="173"/>
      <c r="T108" s="173"/>
      <c r="U108" s="173"/>
      <c r="V108" s="174"/>
      <c r="W108" s="175"/>
      <c r="X108" s="1100"/>
      <c r="Y108" s="1081"/>
      <c r="Z108" s="1081"/>
      <c r="AA108" s="1081"/>
      <c r="AB108" s="1081"/>
      <c r="AC108" s="1081"/>
      <c r="AD108" s="1081"/>
      <c r="AE108" s="1081"/>
      <c r="AF108" s="1081"/>
      <c r="AG108" s="1081"/>
      <c r="AH108" s="1081"/>
      <c r="AI108" s="1081"/>
      <c r="AJ108" s="1081"/>
      <c r="AK108" s="1082"/>
      <c r="AL108" s="1082"/>
      <c r="AM108" s="1082"/>
      <c r="AN108" s="1082"/>
      <c r="AO108" s="1081"/>
      <c r="AP108" s="1081"/>
      <c r="AQ108" s="95">
        <v>1</v>
      </c>
      <c r="AR108" s="95"/>
      <c r="AS108" s="95"/>
      <c r="AT108" s="95"/>
      <c r="AU108" s="95"/>
      <c r="AV108" s="95"/>
      <c r="AW108" s="95"/>
      <c r="AX108" s="95"/>
      <c r="AY108" s="95"/>
      <c r="AZ108" s="95"/>
      <c r="BA108" s="95"/>
      <c r="BB108" s="95"/>
      <c r="BC108" s="95"/>
      <c r="BD108" s="95"/>
      <c r="BE108" s="95">
        <f t="shared" si="33"/>
        <v>1</v>
      </c>
      <c r="BF108" s="96" t="str">
        <f t="shared" si="34"/>
        <v>Y</v>
      </c>
      <c r="BG108" s="97"/>
      <c r="BH108" s="98">
        <v>1</v>
      </c>
      <c r="BI108" s="98"/>
      <c r="BJ108" s="98"/>
      <c r="BK108" s="98"/>
      <c r="BL108" s="111"/>
      <c r="BM108" s="98">
        <f t="shared" si="35"/>
        <v>1</v>
      </c>
      <c r="BN108" s="98" t="str">
        <f t="shared" si="36"/>
        <v>Y</v>
      </c>
      <c r="BO108" s="115"/>
      <c r="BP108" s="100">
        <v>1</v>
      </c>
      <c r="BQ108" s="100"/>
      <c r="BR108" s="100"/>
      <c r="BS108" s="100">
        <f t="shared" si="37"/>
        <v>1</v>
      </c>
      <c r="BT108" s="100" t="str">
        <f t="shared" si="38"/>
        <v>Y</v>
      </c>
      <c r="BU108" s="50"/>
      <c r="BV108" s="101">
        <v>1</v>
      </c>
      <c r="BW108" s="101"/>
      <c r="BX108" s="101"/>
      <c r="BY108" s="101"/>
      <c r="BZ108" s="101"/>
      <c r="CA108" s="101"/>
      <c r="CB108" s="101"/>
      <c r="CC108" s="101"/>
      <c r="CD108" s="101">
        <f t="shared" si="39"/>
        <v>1</v>
      </c>
      <c r="CE108" s="101" t="str">
        <f t="shared" si="40"/>
        <v>Y</v>
      </c>
      <c r="CF108" s="54"/>
      <c r="CG108" s="102">
        <v>1</v>
      </c>
      <c r="CH108" s="102"/>
      <c r="CI108" s="102"/>
      <c r="CJ108" s="102"/>
      <c r="CK108" s="102"/>
      <c r="CL108" s="102"/>
      <c r="CM108" s="102"/>
      <c r="CN108" s="102"/>
      <c r="CO108" s="102"/>
      <c r="CP108" s="102"/>
      <c r="CQ108" s="102"/>
      <c r="CR108" s="102"/>
      <c r="CS108" s="102"/>
      <c r="CT108" s="102"/>
      <c r="CU108" s="102"/>
      <c r="CV108" s="102"/>
      <c r="CW108" s="102"/>
      <c r="CX108" s="102"/>
      <c r="CY108" s="102"/>
      <c r="CZ108" s="102">
        <f t="shared" si="41"/>
        <v>1</v>
      </c>
      <c r="DA108" s="102" t="str">
        <f t="shared" si="42"/>
        <v>Y</v>
      </c>
      <c r="DB108" s="58"/>
      <c r="DC108" s="101">
        <v>1</v>
      </c>
      <c r="DD108" s="101"/>
      <c r="DE108" s="101"/>
      <c r="DF108" s="101"/>
      <c r="DG108" s="101"/>
      <c r="DH108" s="101"/>
      <c r="DI108" s="101"/>
      <c r="DJ108" s="101"/>
      <c r="DK108" s="101"/>
      <c r="DL108" s="101"/>
      <c r="DM108" s="101"/>
      <c r="DN108" s="101"/>
      <c r="DO108" s="101"/>
      <c r="DP108" s="101"/>
      <c r="DQ108" s="101"/>
      <c r="DR108" s="101"/>
      <c r="DS108" s="101"/>
      <c r="DT108" s="101"/>
      <c r="DU108" s="101"/>
      <c r="DV108" s="101">
        <f t="shared" si="43"/>
        <v>1</v>
      </c>
      <c r="DW108" s="101" t="str">
        <f t="shared" si="44"/>
        <v>Y</v>
      </c>
      <c r="DX108" s="103"/>
      <c r="DY108" s="104">
        <v>1</v>
      </c>
      <c r="DZ108" s="104"/>
      <c r="EA108" s="104"/>
      <c r="EB108" s="104"/>
      <c r="EC108" s="104"/>
      <c r="ED108" s="104"/>
      <c r="EE108" s="104"/>
      <c r="EF108" s="104"/>
      <c r="EG108" s="104"/>
      <c r="EH108" s="104"/>
      <c r="EI108" s="104"/>
      <c r="EJ108" s="104"/>
      <c r="EK108" s="104">
        <f t="shared" si="45"/>
        <v>1</v>
      </c>
      <c r="EL108" s="104" t="str">
        <f t="shared" si="46"/>
        <v>Y</v>
      </c>
      <c r="EM108" s="62"/>
      <c r="EN108" s="6"/>
      <c r="EO108" s="6"/>
      <c r="EP108" s="6"/>
      <c r="EQ108" s="6"/>
      <c r="ER108" s="6"/>
    </row>
    <row r="109" spans="1:162" x14ac:dyDescent="0.2">
      <c r="A109" s="1147"/>
      <c r="B109" s="1138" t="s">
        <v>217</v>
      </c>
      <c r="C109" s="1140" t="s">
        <v>216</v>
      </c>
      <c r="D109" s="1133"/>
      <c r="E109" s="1085"/>
      <c r="F109" s="1144"/>
      <c r="G109" s="1076" t="s">
        <v>292</v>
      </c>
      <c r="H109" s="1076" t="s">
        <v>387</v>
      </c>
      <c r="I109" s="1076"/>
      <c r="J109" s="1079">
        <f>Y109+AA109+AC109+AE109+AG109+AI109+AK109+AM109+AO109</f>
        <v>1</v>
      </c>
      <c r="K109" s="1076"/>
      <c r="L109" s="176"/>
      <c r="M109" s="186"/>
      <c r="N109" s="177"/>
      <c r="O109" s="172"/>
      <c r="P109" s="173"/>
      <c r="Q109" s="173"/>
      <c r="R109" s="173"/>
      <c r="S109" s="173"/>
      <c r="T109" s="173"/>
      <c r="U109" s="173"/>
      <c r="V109" s="174"/>
      <c r="W109" s="175"/>
      <c r="X109" s="1098" t="s">
        <v>377</v>
      </c>
      <c r="Y109" s="1081">
        <f>IF(HC="Y",IF(BF109="Y",Z109,0),0)</f>
        <v>0</v>
      </c>
      <c r="Z109" s="1081">
        <v>1</v>
      </c>
      <c r="AA109" s="1081">
        <f>IF(OFF="Y",IF(BN109="Y",AB109,0),0)</f>
        <v>1</v>
      </c>
      <c r="AB109" s="1081">
        <v>1</v>
      </c>
      <c r="AC109" s="1081">
        <f>IF(COURTS="Y",IF(BT109="Y",AD109,0),0)</f>
        <v>0</v>
      </c>
      <c r="AD109" s="1081">
        <v>1</v>
      </c>
      <c r="AE109" s="1081">
        <f>IF(PRISONS="Y",IF(CE109="Y",AF109,0),0)</f>
        <v>0</v>
      </c>
      <c r="AF109" s="1081">
        <v>1</v>
      </c>
      <c r="AG109" s="1081">
        <f>IF(RET="Y",IF(DA109="Y",AH109,0),0)</f>
        <v>0</v>
      </c>
      <c r="AH109" s="1081">
        <v>1</v>
      </c>
      <c r="AI109" s="1081">
        <f>IF(SCHOOLS="y",IF(DW109="y",AJ109,0),0)</f>
        <v>0</v>
      </c>
      <c r="AJ109" s="1081">
        <v>1</v>
      </c>
      <c r="AK109" s="1082">
        <f>IF(FE="y",IF(DW109="y",AL109,0),0)</f>
        <v>0</v>
      </c>
      <c r="AL109" s="1082">
        <v>1</v>
      </c>
      <c r="AM109" s="1082">
        <f>IF(HE="Y",IF(DW109="Y",AN109,0),0)</f>
        <v>0</v>
      </c>
      <c r="AN109" s="1082">
        <v>1</v>
      </c>
      <c r="AO109" s="1081">
        <f>IF(INDUSTRIAL="Y",IF(EL109="Y",AP109,0),0)</f>
        <v>0</v>
      </c>
      <c r="AP109" s="1081">
        <v>1</v>
      </c>
      <c r="AQ109" s="95">
        <v>1</v>
      </c>
      <c r="AR109" s="95"/>
      <c r="AS109" s="95"/>
      <c r="AT109" s="95"/>
      <c r="AU109" s="95"/>
      <c r="AV109" s="95"/>
      <c r="AW109" s="95"/>
      <c r="AX109" s="95"/>
      <c r="AY109" s="95"/>
      <c r="AZ109" s="95"/>
      <c r="BA109" s="95"/>
      <c r="BB109" s="95"/>
      <c r="BC109" s="95"/>
      <c r="BD109" s="95"/>
      <c r="BE109" s="95">
        <f t="shared" si="33"/>
        <v>1</v>
      </c>
      <c r="BF109" s="96" t="str">
        <f t="shared" si="34"/>
        <v>Y</v>
      </c>
      <c r="BG109" s="97"/>
      <c r="BH109" s="98"/>
      <c r="BI109" s="98">
        <f>IF(OFFnewrefurb="y",1,0)</f>
        <v>1</v>
      </c>
      <c r="BJ109" s="98"/>
      <c r="BK109" s="98"/>
      <c r="BL109" s="111"/>
      <c r="BM109" s="98">
        <f t="shared" si="35"/>
        <v>1</v>
      </c>
      <c r="BN109" s="98" t="str">
        <f t="shared" si="36"/>
        <v>Y</v>
      </c>
      <c r="BO109" s="115"/>
      <c r="BP109" s="100">
        <v>1</v>
      </c>
      <c r="BQ109" s="100"/>
      <c r="BR109" s="100"/>
      <c r="BS109" s="100">
        <f t="shared" si="37"/>
        <v>1</v>
      </c>
      <c r="BT109" s="100" t="str">
        <f t="shared" si="38"/>
        <v>Y</v>
      </c>
      <c r="BU109" s="50"/>
      <c r="BV109" s="101">
        <v>1</v>
      </c>
      <c r="BW109" s="101"/>
      <c r="BX109" s="101"/>
      <c r="BY109" s="101"/>
      <c r="BZ109" s="101"/>
      <c r="CA109" s="101"/>
      <c r="CB109" s="101"/>
      <c r="CC109" s="101"/>
      <c r="CD109" s="101">
        <f t="shared" si="39"/>
        <v>1</v>
      </c>
      <c r="CE109" s="101" t="str">
        <f t="shared" si="40"/>
        <v>Y</v>
      </c>
      <c r="CF109" s="54"/>
      <c r="CG109" s="102"/>
      <c r="CH109" s="102">
        <f>IF(RETnewrefurb="y",1,0)</f>
        <v>0</v>
      </c>
      <c r="CI109" s="102"/>
      <c r="CJ109" s="102"/>
      <c r="CK109" s="102"/>
      <c r="CL109" s="102"/>
      <c r="CM109" s="102"/>
      <c r="CN109" s="102"/>
      <c r="CO109" s="102"/>
      <c r="CP109" s="102"/>
      <c r="CQ109" s="102"/>
      <c r="CR109" s="102"/>
      <c r="CS109" s="102"/>
      <c r="CT109" s="102"/>
      <c r="CU109" s="102"/>
      <c r="CV109" s="102"/>
      <c r="CW109" s="102"/>
      <c r="CX109" s="102"/>
      <c r="CY109" s="102"/>
      <c r="CZ109" s="102">
        <f t="shared" si="41"/>
        <v>0</v>
      </c>
      <c r="DA109" s="102" t="str">
        <f t="shared" si="42"/>
        <v>N</v>
      </c>
      <c r="DB109" s="58"/>
      <c r="DC109" s="101">
        <v>1</v>
      </c>
      <c r="DD109" s="101"/>
      <c r="DE109" s="101"/>
      <c r="DF109" s="101"/>
      <c r="DG109" s="101"/>
      <c r="DH109" s="101"/>
      <c r="DI109" s="101"/>
      <c r="DJ109" s="101"/>
      <c r="DK109" s="101"/>
      <c r="DL109" s="101"/>
      <c r="DM109" s="101"/>
      <c r="DN109" s="101"/>
      <c r="DO109" s="101"/>
      <c r="DP109" s="101"/>
      <c r="DQ109" s="101"/>
      <c r="DR109" s="101"/>
      <c r="DS109" s="101"/>
      <c r="DT109" s="101"/>
      <c r="DU109" s="101"/>
      <c r="DV109" s="101">
        <f t="shared" si="43"/>
        <v>1</v>
      </c>
      <c r="DW109" s="101" t="str">
        <f t="shared" si="44"/>
        <v>Y</v>
      </c>
      <c r="DX109" s="103"/>
      <c r="DY109" s="104"/>
      <c r="DZ109" s="104">
        <f>IF(INDnewrefurb="y",1,0)</f>
        <v>0</v>
      </c>
      <c r="EA109" s="104"/>
      <c r="EB109" s="104"/>
      <c r="EC109" s="104"/>
      <c r="ED109" s="104"/>
      <c r="EE109" s="104"/>
      <c r="EF109" s="104"/>
      <c r="EG109" s="104"/>
      <c r="EH109" s="104"/>
      <c r="EI109" s="104"/>
      <c r="EJ109" s="104"/>
      <c r="EK109" s="104">
        <f t="shared" si="45"/>
        <v>0</v>
      </c>
      <c r="EL109" s="104" t="str">
        <f t="shared" si="46"/>
        <v>N</v>
      </c>
      <c r="EM109" s="62"/>
      <c r="EN109" s="6"/>
      <c r="EO109" s="6"/>
      <c r="EP109" s="6"/>
      <c r="EQ109" s="6"/>
      <c r="ER109" s="6"/>
    </row>
    <row r="110" spans="1:162" x14ac:dyDescent="0.2">
      <c r="A110" s="1147"/>
      <c r="B110" s="1139"/>
      <c r="C110" s="1141"/>
      <c r="D110" s="1134"/>
      <c r="E110" s="1086"/>
      <c r="F110" s="1079"/>
      <c r="G110" s="1077"/>
      <c r="H110" s="1077"/>
      <c r="I110" s="1077"/>
      <c r="J110" s="1079"/>
      <c r="K110" s="1077"/>
      <c r="L110" s="181"/>
      <c r="M110" s="186"/>
      <c r="N110" s="177"/>
      <c r="O110" s="172"/>
      <c r="P110" s="173"/>
      <c r="Q110" s="173"/>
      <c r="R110" s="173"/>
      <c r="S110" s="173"/>
      <c r="T110" s="173"/>
      <c r="U110" s="173"/>
      <c r="V110" s="174"/>
      <c r="W110" s="175"/>
      <c r="X110" s="1099"/>
      <c r="Y110" s="1081"/>
      <c r="Z110" s="1081"/>
      <c r="AA110" s="1081"/>
      <c r="AB110" s="1081"/>
      <c r="AC110" s="1081"/>
      <c r="AD110" s="1081"/>
      <c r="AE110" s="1081"/>
      <c r="AF110" s="1081"/>
      <c r="AG110" s="1081"/>
      <c r="AH110" s="1081"/>
      <c r="AI110" s="1081"/>
      <c r="AJ110" s="1081"/>
      <c r="AK110" s="1082"/>
      <c r="AL110" s="1082"/>
      <c r="AM110" s="1082"/>
      <c r="AN110" s="1082"/>
      <c r="AO110" s="1081"/>
      <c r="AP110" s="1081"/>
      <c r="AQ110" s="95">
        <v>1</v>
      </c>
      <c r="AR110" s="95"/>
      <c r="AS110" s="95"/>
      <c r="AT110" s="95"/>
      <c r="AU110" s="95"/>
      <c r="AV110" s="95"/>
      <c r="AW110" s="95"/>
      <c r="AX110" s="95"/>
      <c r="AY110" s="95"/>
      <c r="AZ110" s="95"/>
      <c r="BA110" s="95"/>
      <c r="BB110" s="95"/>
      <c r="BC110" s="95"/>
      <c r="BD110" s="95"/>
      <c r="BE110" s="95">
        <f t="shared" si="33"/>
        <v>1</v>
      </c>
      <c r="BF110" s="96" t="str">
        <f t="shared" si="34"/>
        <v>Y</v>
      </c>
      <c r="BG110" s="97"/>
      <c r="BH110" s="98"/>
      <c r="BI110" s="98">
        <f>IF(OFFnewrefurb="y",1,0)</f>
        <v>1</v>
      </c>
      <c r="BJ110" s="98"/>
      <c r="BK110" s="98"/>
      <c r="BL110" s="111"/>
      <c r="BM110" s="98">
        <f t="shared" si="35"/>
        <v>1</v>
      </c>
      <c r="BN110" s="98" t="str">
        <f t="shared" si="36"/>
        <v>Y</v>
      </c>
      <c r="BO110" s="115"/>
      <c r="BP110" s="100">
        <v>1</v>
      </c>
      <c r="BQ110" s="100"/>
      <c r="BR110" s="100"/>
      <c r="BS110" s="100">
        <f t="shared" si="37"/>
        <v>1</v>
      </c>
      <c r="BT110" s="100" t="str">
        <f t="shared" si="38"/>
        <v>Y</v>
      </c>
      <c r="BU110" s="50"/>
      <c r="BV110" s="101">
        <v>1</v>
      </c>
      <c r="BW110" s="101"/>
      <c r="BX110" s="101"/>
      <c r="BY110" s="101"/>
      <c r="BZ110" s="101"/>
      <c r="CA110" s="101"/>
      <c r="CB110" s="101"/>
      <c r="CC110" s="101"/>
      <c r="CD110" s="101">
        <f t="shared" si="39"/>
        <v>1</v>
      </c>
      <c r="CE110" s="101" t="str">
        <f t="shared" si="40"/>
        <v>Y</v>
      </c>
      <c r="CF110" s="54"/>
      <c r="CG110" s="102"/>
      <c r="CH110" s="102">
        <f>IF(RETnewrefurb="y",1,0)</f>
        <v>0</v>
      </c>
      <c r="CI110" s="102"/>
      <c r="CJ110" s="102"/>
      <c r="CK110" s="102"/>
      <c r="CL110" s="102"/>
      <c r="CM110" s="102"/>
      <c r="CN110" s="102"/>
      <c r="CO110" s="102"/>
      <c r="CP110" s="102"/>
      <c r="CQ110" s="102"/>
      <c r="CR110" s="102"/>
      <c r="CS110" s="102"/>
      <c r="CT110" s="102"/>
      <c r="CU110" s="102"/>
      <c r="CV110" s="102"/>
      <c r="CW110" s="102"/>
      <c r="CX110" s="102"/>
      <c r="CY110" s="102"/>
      <c r="CZ110" s="102">
        <f t="shared" si="41"/>
        <v>0</v>
      </c>
      <c r="DA110" s="102" t="str">
        <f t="shared" si="42"/>
        <v>N</v>
      </c>
      <c r="DB110" s="58"/>
      <c r="DC110" s="101">
        <v>1</v>
      </c>
      <c r="DD110" s="101"/>
      <c r="DE110" s="101"/>
      <c r="DF110" s="101"/>
      <c r="DG110" s="101"/>
      <c r="DH110" s="101"/>
      <c r="DI110" s="101"/>
      <c r="DJ110" s="101"/>
      <c r="DK110" s="101"/>
      <c r="DL110" s="101"/>
      <c r="DM110" s="101"/>
      <c r="DN110" s="101"/>
      <c r="DO110" s="101"/>
      <c r="DP110" s="101"/>
      <c r="DQ110" s="101"/>
      <c r="DR110" s="101"/>
      <c r="DS110" s="101"/>
      <c r="DT110" s="101"/>
      <c r="DU110" s="101"/>
      <c r="DV110" s="101">
        <f t="shared" si="43"/>
        <v>1</v>
      </c>
      <c r="DW110" s="101" t="str">
        <f t="shared" si="44"/>
        <v>Y</v>
      </c>
      <c r="DX110" s="103"/>
      <c r="DY110" s="104"/>
      <c r="DZ110" s="104">
        <f>IF(INDnewrefurb="y",1,0)</f>
        <v>0</v>
      </c>
      <c r="EA110" s="104"/>
      <c r="EB110" s="104"/>
      <c r="EC110" s="104"/>
      <c r="ED110" s="104"/>
      <c r="EE110" s="104"/>
      <c r="EF110" s="104"/>
      <c r="EG110" s="104"/>
      <c r="EH110" s="104"/>
      <c r="EI110" s="104"/>
      <c r="EJ110" s="104"/>
      <c r="EK110" s="104">
        <f t="shared" si="45"/>
        <v>0</v>
      </c>
      <c r="EL110" s="104" t="str">
        <f t="shared" si="46"/>
        <v>N</v>
      </c>
      <c r="EM110" s="62"/>
      <c r="EN110" s="6"/>
      <c r="EO110" s="6"/>
      <c r="EP110" s="6"/>
      <c r="EQ110" s="6"/>
      <c r="ER110" s="6"/>
    </row>
    <row r="111" spans="1:162" ht="13.5" thickBot="1" x14ac:dyDescent="0.25">
      <c r="A111" s="1148"/>
      <c r="B111" s="1139"/>
      <c r="C111" s="1141"/>
      <c r="D111" s="1134"/>
      <c r="E111" s="1143"/>
      <c r="F111" s="1080"/>
      <c r="G111" s="1078"/>
      <c r="H111" s="1078"/>
      <c r="I111" s="1078"/>
      <c r="J111" s="1080"/>
      <c r="K111" s="1078"/>
      <c r="L111" s="180"/>
      <c r="M111" s="186"/>
      <c r="N111" s="177"/>
      <c r="O111" s="172"/>
      <c r="P111" s="173"/>
      <c r="Q111" s="173"/>
      <c r="R111" s="173"/>
      <c r="S111" s="173"/>
      <c r="T111" s="173"/>
      <c r="U111" s="173"/>
      <c r="V111" s="174"/>
      <c r="W111" s="175"/>
      <c r="X111" s="1100"/>
      <c r="Y111" s="1081"/>
      <c r="Z111" s="1081"/>
      <c r="AA111" s="1081"/>
      <c r="AB111" s="1081"/>
      <c r="AC111" s="1081"/>
      <c r="AD111" s="1081"/>
      <c r="AE111" s="1081"/>
      <c r="AF111" s="1081"/>
      <c r="AG111" s="1081"/>
      <c r="AH111" s="1081"/>
      <c r="AI111" s="1081"/>
      <c r="AJ111" s="1081"/>
      <c r="AK111" s="1082"/>
      <c r="AL111" s="1082"/>
      <c r="AM111" s="1082"/>
      <c r="AN111" s="1082"/>
      <c r="AO111" s="1081"/>
      <c r="AP111" s="1081"/>
      <c r="AQ111" s="95">
        <v>1</v>
      </c>
      <c r="AR111" s="95"/>
      <c r="AS111" s="95"/>
      <c r="AT111" s="95"/>
      <c r="AU111" s="95"/>
      <c r="AV111" s="95"/>
      <c r="AW111" s="95"/>
      <c r="AX111" s="95"/>
      <c r="AY111" s="95"/>
      <c r="AZ111" s="95"/>
      <c r="BA111" s="95"/>
      <c r="BB111" s="95"/>
      <c r="BC111" s="95"/>
      <c r="BD111" s="95"/>
      <c r="BE111" s="95">
        <f t="shared" si="33"/>
        <v>1</v>
      </c>
      <c r="BF111" s="96" t="str">
        <f t="shared" si="34"/>
        <v>Y</v>
      </c>
      <c r="BG111" s="97"/>
      <c r="BH111" s="98"/>
      <c r="BI111" s="98">
        <f>IF(OFFnewrefurb="y",1,0)</f>
        <v>1</v>
      </c>
      <c r="BJ111" s="98"/>
      <c r="BK111" s="98"/>
      <c r="BL111" s="111"/>
      <c r="BM111" s="98">
        <f t="shared" si="35"/>
        <v>1</v>
      </c>
      <c r="BN111" s="98" t="str">
        <f t="shared" si="36"/>
        <v>Y</v>
      </c>
      <c r="BO111" s="115"/>
      <c r="BP111" s="100">
        <v>1</v>
      </c>
      <c r="BQ111" s="100"/>
      <c r="BR111" s="100"/>
      <c r="BS111" s="100">
        <f t="shared" si="37"/>
        <v>1</v>
      </c>
      <c r="BT111" s="100" t="str">
        <f t="shared" si="38"/>
        <v>Y</v>
      </c>
      <c r="BU111" s="50"/>
      <c r="BV111" s="101">
        <v>1</v>
      </c>
      <c r="BW111" s="101"/>
      <c r="BX111" s="101"/>
      <c r="BY111" s="101"/>
      <c r="BZ111" s="101"/>
      <c r="CA111" s="101"/>
      <c r="CB111" s="101"/>
      <c r="CC111" s="101"/>
      <c r="CD111" s="101">
        <f t="shared" si="39"/>
        <v>1</v>
      </c>
      <c r="CE111" s="101" t="str">
        <f t="shared" si="40"/>
        <v>Y</v>
      </c>
      <c r="CF111" s="54"/>
      <c r="CG111" s="102"/>
      <c r="CH111" s="102">
        <f>IF(RETnewrefurb="y",1,0)</f>
        <v>0</v>
      </c>
      <c r="CI111" s="102"/>
      <c r="CJ111" s="102"/>
      <c r="CK111" s="102"/>
      <c r="CL111" s="102"/>
      <c r="CM111" s="102"/>
      <c r="CN111" s="102"/>
      <c r="CO111" s="102"/>
      <c r="CP111" s="102"/>
      <c r="CQ111" s="102"/>
      <c r="CR111" s="102"/>
      <c r="CS111" s="102"/>
      <c r="CT111" s="102"/>
      <c r="CU111" s="102"/>
      <c r="CV111" s="102"/>
      <c r="CW111" s="102"/>
      <c r="CX111" s="102"/>
      <c r="CY111" s="102"/>
      <c r="CZ111" s="102">
        <f t="shared" si="41"/>
        <v>0</v>
      </c>
      <c r="DA111" s="102" t="str">
        <f t="shared" si="42"/>
        <v>N</v>
      </c>
      <c r="DB111" s="58"/>
      <c r="DC111" s="101">
        <v>1</v>
      </c>
      <c r="DD111" s="101"/>
      <c r="DE111" s="101"/>
      <c r="DF111" s="101"/>
      <c r="DG111" s="101"/>
      <c r="DH111" s="101"/>
      <c r="DI111" s="101"/>
      <c r="DJ111" s="101"/>
      <c r="DK111" s="101"/>
      <c r="DL111" s="101"/>
      <c r="DM111" s="101"/>
      <c r="DN111" s="101"/>
      <c r="DO111" s="101"/>
      <c r="DP111" s="101"/>
      <c r="DQ111" s="101"/>
      <c r="DR111" s="101"/>
      <c r="DS111" s="101"/>
      <c r="DT111" s="101"/>
      <c r="DU111" s="101"/>
      <c r="DV111" s="101">
        <f t="shared" si="43"/>
        <v>1</v>
      </c>
      <c r="DW111" s="101" t="str">
        <f t="shared" si="44"/>
        <v>Y</v>
      </c>
      <c r="DX111" s="103"/>
      <c r="DY111" s="104"/>
      <c r="DZ111" s="104">
        <f>IF(INDnewrefurb="y",1,0)</f>
        <v>0</v>
      </c>
      <c r="EA111" s="104"/>
      <c r="EB111" s="104"/>
      <c r="EC111" s="104"/>
      <c r="ED111" s="104"/>
      <c r="EE111" s="104"/>
      <c r="EF111" s="104"/>
      <c r="EG111" s="104"/>
      <c r="EH111" s="104"/>
      <c r="EI111" s="104"/>
      <c r="EJ111" s="104"/>
      <c r="EK111" s="104">
        <f t="shared" si="45"/>
        <v>0</v>
      </c>
      <c r="EL111" s="104" t="str">
        <f t="shared" si="46"/>
        <v>N</v>
      </c>
      <c r="EM111" s="62"/>
      <c r="EN111" s="6"/>
      <c r="EO111" s="6"/>
      <c r="EP111" s="6"/>
      <c r="EQ111" s="6"/>
      <c r="ER111" s="6"/>
    </row>
    <row r="112" spans="1:162" x14ac:dyDescent="0.2">
      <c r="A112" s="1147" t="s">
        <v>215</v>
      </c>
      <c r="B112" s="1149" t="s">
        <v>109</v>
      </c>
      <c r="C112" s="1152" t="s">
        <v>108</v>
      </c>
      <c r="D112" s="1155"/>
      <c r="E112" s="1085"/>
      <c r="F112" s="1144"/>
      <c r="G112" s="1076" t="s">
        <v>347</v>
      </c>
      <c r="H112" s="1076" t="s">
        <v>318</v>
      </c>
      <c r="I112" s="1076"/>
      <c r="J112" s="1079">
        <f>Y112+AA112+AC112+AE112+AG112+AI112+AK112+AM112+AO112</f>
        <v>1</v>
      </c>
      <c r="K112" s="1076"/>
      <c r="L112" s="180"/>
      <c r="M112" s="186"/>
      <c r="N112" s="177"/>
      <c r="O112" s="172"/>
      <c r="P112" s="173"/>
      <c r="Q112" s="173"/>
      <c r="R112" s="173"/>
      <c r="S112" s="173"/>
      <c r="T112" s="173"/>
      <c r="U112" s="173"/>
      <c r="V112" s="174"/>
      <c r="W112" s="175"/>
      <c r="X112" s="1098" t="s">
        <v>318</v>
      </c>
      <c r="Y112" s="1081">
        <f>IF(HC="Y",IF(BF112="Y",Z112,0),0)</f>
        <v>0</v>
      </c>
      <c r="Z112" s="1081">
        <v>1</v>
      </c>
      <c r="AA112" s="1081">
        <f>IF(OFF="Y",IF(BN112="Y",AB112,0),0)</f>
        <v>1</v>
      </c>
      <c r="AB112" s="1081">
        <v>1</v>
      </c>
      <c r="AC112" s="1081">
        <f>IF(COURTS="Y",IF(BT112="Y",AD112,0),0)</f>
        <v>0</v>
      </c>
      <c r="AD112" s="1081">
        <v>1</v>
      </c>
      <c r="AE112" s="1081">
        <f>IF(PRISONS="Y",IF(CE112="Y",AF112,0),0)</f>
        <v>0</v>
      </c>
      <c r="AF112" s="1081">
        <v>2</v>
      </c>
      <c r="AG112" s="1081">
        <f>IF(RET="Y",IF(DA112="Y",AH112,0),0)</f>
        <v>0</v>
      </c>
      <c r="AH112" s="1081">
        <v>1</v>
      </c>
      <c r="AI112" s="1081">
        <f>IF(SCHOOLS="y",IF(DW112="y",AJ112,0),0)</f>
        <v>0</v>
      </c>
      <c r="AJ112" s="1081">
        <v>2</v>
      </c>
      <c r="AK112" s="1082">
        <f>IF(FE="y",IF(DW112="y",AL112,0),0)</f>
        <v>0</v>
      </c>
      <c r="AL112" s="1082">
        <v>1</v>
      </c>
      <c r="AM112" s="1082">
        <f>IF(HE="Y",IF(DW112="Y",AN112,0),0)</f>
        <v>0</v>
      </c>
      <c r="AN112" s="1082">
        <v>1</v>
      </c>
      <c r="AO112" s="1081">
        <f>IF(INDUSTRIAL="Y",IF(EL112="Y",AP112,0),0)</f>
        <v>0</v>
      </c>
      <c r="AP112" s="1081">
        <v>1</v>
      </c>
      <c r="AQ112" s="95">
        <v>1</v>
      </c>
      <c r="AR112" s="95"/>
      <c r="AS112" s="95"/>
      <c r="AT112" s="95"/>
      <c r="AU112" s="95"/>
      <c r="AV112" s="95"/>
      <c r="AW112" s="95"/>
      <c r="AX112" s="95"/>
      <c r="AY112" s="95"/>
      <c r="AZ112" s="95"/>
      <c r="BA112" s="95"/>
      <c r="BB112" s="95"/>
      <c r="BC112" s="95"/>
      <c r="BD112" s="95"/>
      <c r="BE112" s="95">
        <f t="shared" si="33"/>
        <v>1</v>
      </c>
      <c r="BF112" s="96" t="str">
        <f t="shared" si="34"/>
        <v>Y</v>
      </c>
      <c r="BG112" s="97"/>
      <c r="BH112" s="98">
        <v>1</v>
      </c>
      <c r="BI112" s="98"/>
      <c r="BJ112" s="98"/>
      <c r="BK112" s="98"/>
      <c r="BL112" s="111"/>
      <c r="BM112" s="98">
        <f t="shared" si="35"/>
        <v>1</v>
      </c>
      <c r="BN112" s="98" t="str">
        <f t="shared" si="36"/>
        <v>Y</v>
      </c>
      <c r="BO112" s="115"/>
      <c r="BP112" s="100">
        <v>1</v>
      </c>
      <c r="BQ112" s="100"/>
      <c r="BR112" s="100"/>
      <c r="BS112" s="100">
        <f t="shared" si="37"/>
        <v>1</v>
      </c>
      <c r="BT112" s="100" t="str">
        <f t="shared" si="38"/>
        <v>Y</v>
      </c>
      <c r="BU112" s="50"/>
      <c r="BV112" s="101">
        <v>1</v>
      </c>
      <c r="BW112" s="101"/>
      <c r="BX112" s="101"/>
      <c r="BY112" s="101"/>
      <c r="BZ112" s="101"/>
      <c r="CA112" s="101"/>
      <c r="CB112" s="101"/>
      <c r="CC112" s="101"/>
      <c r="CD112" s="101">
        <f t="shared" si="39"/>
        <v>1</v>
      </c>
      <c r="CE112" s="101" t="str">
        <f t="shared" si="40"/>
        <v>Y</v>
      </c>
      <c r="CF112" s="54"/>
      <c r="CG112" s="102">
        <v>1</v>
      </c>
      <c r="CH112" s="102"/>
      <c r="CI112" s="102"/>
      <c r="CJ112" s="102"/>
      <c r="CK112" s="102"/>
      <c r="CL112" s="102"/>
      <c r="CM112" s="102"/>
      <c r="CN112" s="102"/>
      <c r="CO112" s="102"/>
      <c r="CP112" s="102"/>
      <c r="CQ112" s="102"/>
      <c r="CR112" s="102"/>
      <c r="CS112" s="102"/>
      <c r="CT112" s="102"/>
      <c r="CU112" s="102"/>
      <c r="CV112" s="102"/>
      <c r="CW112" s="102"/>
      <c r="CX112" s="102"/>
      <c r="CY112" s="102"/>
      <c r="CZ112" s="102">
        <f t="shared" si="41"/>
        <v>1</v>
      </c>
      <c r="DA112" s="102" t="str">
        <f t="shared" si="42"/>
        <v>Y</v>
      </c>
      <c r="DB112" s="58"/>
      <c r="DC112" s="101">
        <v>1</v>
      </c>
      <c r="DD112" s="101"/>
      <c r="DE112" s="101"/>
      <c r="DF112" s="101"/>
      <c r="DG112" s="101"/>
      <c r="DH112" s="101"/>
      <c r="DI112" s="101"/>
      <c r="DJ112" s="101"/>
      <c r="DK112" s="101"/>
      <c r="DL112" s="101"/>
      <c r="DM112" s="101"/>
      <c r="DN112" s="101"/>
      <c r="DO112" s="101"/>
      <c r="DP112" s="101"/>
      <c r="DQ112" s="101"/>
      <c r="DR112" s="101"/>
      <c r="DS112" s="101"/>
      <c r="DT112" s="101"/>
      <c r="DU112" s="101"/>
      <c r="DV112" s="101">
        <f t="shared" si="43"/>
        <v>1</v>
      </c>
      <c r="DW112" s="101" t="str">
        <f t="shared" si="44"/>
        <v>Y</v>
      </c>
      <c r="DX112" s="103"/>
      <c r="DY112" s="104">
        <v>1</v>
      </c>
      <c r="DZ112" s="104"/>
      <c r="EA112" s="104"/>
      <c r="EB112" s="104"/>
      <c r="EC112" s="104"/>
      <c r="ED112" s="104"/>
      <c r="EE112" s="104"/>
      <c r="EF112" s="104"/>
      <c r="EG112" s="104"/>
      <c r="EH112" s="104"/>
      <c r="EI112" s="104"/>
      <c r="EJ112" s="104"/>
      <c r="EK112" s="104">
        <f t="shared" si="45"/>
        <v>1</v>
      </c>
      <c r="EL112" s="104" t="str">
        <f t="shared" si="46"/>
        <v>Y</v>
      </c>
      <c r="EM112" s="62"/>
      <c r="EN112" s="6"/>
      <c r="EO112" s="6"/>
      <c r="EP112" s="6"/>
      <c r="EQ112" s="6"/>
      <c r="ER112" s="6"/>
    </row>
    <row r="113" spans="1:162" x14ac:dyDescent="0.2">
      <c r="A113" s="1147"/>
      <c r="B113" s="1150"/>
      <c r="C113" s="1153"/>
      <c r="D113" s="1156"/>
      <c r="E113" s="1086"/>
      <c r="F113" s="1079"/>
      <c r="G113" s="1077"/>
      <c r="H113" s="1077"/>
      <c r="I113" s="1077"/>
      <c r="J113" s="1079"/>
      <c r="K113" s="1077"/>
      <c r="L113" s="181"/>
      <c r="M113" s="186"/>
      <c r="N113" s="177"/>
      <c r="O113" s="172"/>
      <c r="P113" s="173"/>
      <c r="Q113" s="173"/>
      <c r="R113" s="173"/>
      <c r="S113" s="173"/>
      <c r="T113" s="173"/>
      <c r="U113" s="173"/>
      <c r="V113" s="174"/>
      <c r="W113" s="175"/>
      <c r="X113" s="1099"/>
      <c r="Y113" s="1081"/>
      <c r="Z113" s="1081"/>
      <c r="AA113" s="1081"/>
      <c r="AB113" s="1081"/>
      <c r="AC113" s="1081"/>
      <c r="AD113" s="1081"/>
      <c r="AE113" s="1081"/>
      <c r="AF113" s="1081"/>
      <c r="AG113" s="1081"/>
      <c r="AH113" s="1081"/>
      <c r="AI113" s="1081"/>
      <c r="AJ113" s="1081"/>
      <c r="AK113" s="1082"/>
      <c r="AL113" s="1082"/>
      <c r="AM113" s="1082"/>
      <c r="AN113" s="1082"/>
      <c r="AO113" s="1081"/>
      <c r="AP113" s="1081"/>
      <c r="AQ113" s="95">
        <v>1</v>
      </c>
      <c r="AR113" s="95"/>
      <c r="AS113" s="95"/>
      <c r="AT113" s="95"/>
      <c r="AU113" s="95"/>
      <c r="AV113" s="95"/>
      <c r="AW113" s="95"/>
      <c r="AX113" s="95"/>
      <c r="AY113" s="95"/>
      <c r="AZ113" s="95"/>
      <c r="BA113" s="95"/>
      <c r="BB113" s="95"/>
      <c r="BC113" s="95"/>
      <c r="BD113" s="95"/>
      <c r="BE113" s="95">
        <f t="shared" si="33"/>
        <v>1</v>
      </c>
      <c r="BF113" s="96" t="str">
        <f t="shared" si="34"/>
        <v>Y</v>
      </c>
      <c r="BG113" s="97"/>
      <c r="BH113" s="98">
        <v>1</v>
      </c>
      <c r="BI113" s="98"/>
      <c r="BJ113" s="98"/>
      <c r="BK113" s="98"/>
      <c r="BL113" s="111"/>
      <c r="BM113" s="98">
        <f t="shared" si="35"/>
        <v>1</v>
      </c>
      <c r="BN113" s="98" t="str">
        <f t="shared" si="36"/>
        <v>Y</v>
      </c>
      <c r="BO113" s="115"/>
      <c r="BP113" s="100">
        <v>1</v>
      </c>
      <c r="BQ113" s="100"/>
      <c r="BR113" s="100"/>
      <c r="BS113" s="100">
        <f t="shared" si="37"/>
        <v>1</v>
      </c>
      <c r="BT113" s="100" t="str">
        <f t="shared" si="38"/>
        <v>Y</v>
      </c>
      <c r="BU113" s="50"/>
      <c r="BV113" s="101">
        <v>1</v>
      </c>
      <c r="BW113" s="101"/>
      <c r="BX113" s="101"/>
      <c r="BY113" s="101"/>
      <c r="BZ113" s="101"/>
      <c r="CA113" s="101"/>
      <c r="CB113" s="101"/>
      <c r="CC113" s="101"/>
      <c r="CD113" s="101">
        <f t="shared" si="39"/>
        <v>1</v>
      </c>
      <c r="CE113" s="101" t="str">
        <f t="shared" si="40"/>
        <v>Y</v>
      </c>
      <c r="CF113" s="54"/>
      <c r="CG113" s="102">
        <v>1</v>
      </c>
      <c r="CH113" s="102"/>
      <c r="CI113" s="102"/>
      <c r="CJ113" s="102"/>
      <c r="CK113" s="102"/>
      <c r="CL113" s="102"/>
      <c r="CM113" s="102"/>
      <c r="CN113" s="102"/>
      <c r="CO113" s="102"/>
      <c r="CP113" s="102"/>
      <c r="CQ113" s="102"/>
      <c r="CR113" s="102"/>
      <c r="CS113" s="102"/>
      <c r="CT113" s="102"/>
      <c r="CU113" s="102"/>
      <c r="CV113" s="102"/>
      <c r="CW113" s="102"/>
      <c r="CX113" s="102"/>
      <c r="CY113" s="102"/>
      <c r="CZ113" s="102">
        <f t="shared" si="41"/>
        <v>1</v>
      </c>
      <c r="DA113" s="102" t="str">
        <f t="shared" si="42"/>
        <v>Y</v>
      </c>
      <c r="DB113" s="58"/>
      <c r="DC113" s="101">
        <v>1</v>
      </c>
      <c r="DD113" s="101"/>
      <c r="DE113" s="101"/>
      <c r="DF113" s="101"/>
      <c r="DG113" s="101"/>
      <c r="DH113" s="101"/>
      <c r="DI113" s="101"/>
      <c r="DJ113" s="101"/>
      <c r="DK113" s="101"/>
      <c r="DL113" s="101"/>
      <c r="DM113" s="101"/>
      <c r="DN113" s="101"/>
      <c r="DO113" s="101"/>
      <c r="DP113" s="101"/>
      <c r="DQ113" s="101"/>
      <c r="DR113" s="101"/>
      <c r="DS113" s="101"/>
      <c r="DT113" s="101"/>
      <c r="DU113" s="101"/>
      <c r="DV113" s="101">
        <f t="shared" si="43"/>
        <v>1</v>
      </c>
      <c r="DW113" s="101" t="str">
        <f t="shared" si="44"/>
        <v>Y</v>
      </c>
      <c r="DX113" s="103"/>
      <c r="DY113" s="104">
        <v>1</v>
      </c>
      <c r="DZ113" s="104"/>
      <c r="EA113" s="104"/>
      <c r="EB113" s="104"/>
      <c r="EC113" s="104"/>
      <c r="ED113" s="104"/>
      <c r="EE113" s="104"/>
      <c r="EF113" s="104"/>
      <c r="EG113" s="104"/>
      <c r="EH113" s="104"/>
      <c r="EI113" s="104"/>
      <c r="EJ113" s="104"/>
      <c r="EK113" s="104">
        <f t="shared" si="45"/>
        <v>1</v>
      </c>
      <c r="EL113" s="104" t="str">
        <f t="shared" si="46"/>
        <v>Y</v>
      </c>
      <c r="EM113" s="62"/>
      <c r="EN113" s="6"/>
      <c r="EO113" s="6"/>
      <c r="EP113" s="6"/>
      <c r="EQ113" s="6"/>
      <c r="ER113" s="6"/>
    </row>
    <row r="114" spans="1:162" s="14" customFormat="1" ht="13.5" thickBot="1" x14ac:dyDescent="0.25">
      <c r="A114" s="1147"/>
      <c r="B114" s="1151"/>
      <c r="C114" s="1154"/>
      <c r="D114" s="1157"/>
      <c r="E114" s="1143"/>
      <c r="F114" s="1080"/>
      <c r="G114" s="1078"/>
      <c r="H114" s="1078"/>
      <c r="I114" s="1078"/>
      <c r="J114" s="1080"/>
      <c r="K114" s="1078"/>
      <c r="L114" s="176"/>
      <c r="M114" s="186"/>
      <c r="N114" s="177"/>
      <c r="O114" s="172"/>
      <c r="P114" s="173"/>
      <c r="Q114" s="173"/>
      <c r="R114" s="173"/>
      <c r="S114" s="173"/>
      <c r="T114" s="173"/>
      <c r="U114" s="173"/>
      <c r="V114" s="174"/>
      <c r="W114" s="175"/>
      <c r="X114" s="1100"/>
      <c r="Y114" s="1081"/>
      <c r="Z114" s="1081"/>
      <c r="AA114" s="1081"/>
      <c r="AB114" s="1081"/>
      <c r="AC114" s="1081"/>
      <c r="AD114" s="1081"/>
      <c r="AE114" s="1081"/>
      <c r="AF114" s="1081"/>
      <c r="AG114" s="1081"/>
      <c r="AH114" s="1081"/>
      <c r="AI114" s="1081"/>
      <c r="AJ114" s="1081"/>
      <c r="AK114" s="1082"/>
      <c r="AL114" s="1082"/>
      <c r="AM114" s="1082"/>
      <c r="AN114" s="1082"/>
      <c r="AO114" s="1081"/>
      <c r="AP114" s="1081"/>
      <c r="AQ114" s="95">
        <v>1</v>
      </c>
      <c r="AR114" s="95"/>
      <c r="AS114" s="95"/>
      <c r="AT114" s="95"/>
      <c r="AU114" s="95"/>
      <c r="AV114" s="95"/>
      <c r="AW114" s="95"/>
      <c r="AX114" s="95"/>
      <c r="AY114" s="95"/>
      <c r="AZ114" s="95"/>
      <c r="BA114" s="95"/>
      <c r="BB114" s="95"/>
      <c r="BC114" s="95"/>
      <c r="BD114" s="95"/>
      <c r="BE114" s="95">
        <f t="shared" si="33"/>
        <v>1</v>
      </c>
      <c r="BF114" s="96" t="str">
        <f t="shared" si="34"/>
        <v>Y</v>
      </c>
      <c r="BG114" s="97"/>
      <c r="BH114" s="98">
        <v>1</v>
      </c>
      <c r="BI114" s="98"/>
      <c r="BJ114" s="98"/>
      <c r="BK114" s="98"/>
      <c r="BL114" s="111"/>
      <c r="BM114" s="98">
        <f t="shared" si="35"/>
        <v>1</v>
      </c>
      <c r="BN114" s="98" t="str">
        <f t="shared" si="36"/>
        <v>Y</v>
      </c>
      <c r="BO114" s="115"/>
      <c r="BP114" s="100">
        <v>1</v>
      </c>
      <c r="BQ114" s="100"/>
      <c r="BR114" s="100"/>
      <c r="BS114" s="100">
        <f t="shared" si="37"/>
        <v>1</v>
      </c>
      <c r="BT114" s="100" t="str">
        <f t="shared" si="38"/>
        <v>Y</v>
      </c>
      <c r="BU114" s="50"/>
      <c r="BV114" s="101">
        <v>1</v>
      </c>
      <c r="BW114" s="101"/>
      <c r="BX114" s="101"/>
      <c r="BY114" s="101"/>
      <c r="BZ114" s="101"/>
      <c r="CA114" s="101"/>
      <c r="CB114" s="101"/>
      <c r="CC114" s="101"/>
      <c r="CD114" s="101">
        <f t="shared" si="39"/>
        <v>1</v>
      </c>
      <c r="CE114" s="101" t="str">
        <f t="shared" si="40"/>
        <v>Y</v>
      </c>
      <c r="CF114" s="54"/>
      <c r="CG114" s="102">
        <v>1</v>
      </c>
      <c r="CH114" s="102"/>
      <c r="CI114" s="102"/>
      <c r="CJ114" s="102"/>
      <c r="CK114" s="102"/>
      <c r="CL114" s="102"/>
      <c r="CM114" s="102"/>
      <c r="CN114" s="102"/>
      <c r="CO114" s="102"/>
      <c r="CP114" s="102"/>
      <c r="CQ114" s="102"/>
      <c r="CR114" s="102"/>
      <c r="CS114" s="102"/>
      <c r="CT114" s="102"/>
      <c r="CU114" s="102"/>
      <c r="CV114" s="102"/>
      <c r="CW114" s="102"/>
      <c r="CX114" s="102"/>
      <c r="CY114" s="102"/>
      <c r="CZ114" s="102">
        <f t="shared" si="41"/>
        <v>1</v>
      </c>
      <c r="DA114" s="102" t="str">
        <f t="shared" si="42"/>
        <v>Y</v>
      </c>
      <c r="DB114" s="58"/>
      <c r="DC114" s="101">
        <v>1</v>
      </c>
      <c r="DD114" s="101"/>
      <c r="DE114" s="101"/>
      <c r="DF114" s="101"/>
      <c r="DG114" s="101"/>
      <c r="DH114" s="101"/>
      <c r="DI114" s="101"/>
      <c r="DJ114" s="101"/>
      <c r="DK114" s="101"/>
      <c r="DL114" s="101"/>
      <c r="DM114" s="101"/>
      <c r="DN114" s="101"/>
      <c r="DO114" s="101"/>
      <c r="DP114" s="101"/>
      <c r="DQ114" s="101"/>
      <c r="DR114" s="101"/>
      <c r="DS114" s="101"/>
      <c r="DT114" s="101"/>
      <c r="DU114" s="101"/>
      <c r="DV114" s="101">
        <f t="shared" si="43"/>
        <v>1</v>
      </c>
      <c r="DW114" s="101" t="str">
        <f t="shared" si="44"/>
        <v>Y</v>
      </c>
      <c r="DX114" s="103"/>
      <c r="DY114" s="104">
        <v>1</v>
      </c>
      <c r="DZ114" s="104"/>
      <c r="EA114" s="104"/>
      <c r="EB114" s="104"/>
      <c r="EC114" s="104"/>
      <c r="ED114" s="104"/>
      <c r="EE114" s="104"/>
      <c r="EF114" s="104"/>
      <c r="EG114" s="104"/>
      <c r="EH114" s="104"/>
      <c r="EI114" s="104"/>
      <c r="EJ114" s="104"/>
      <c r="EK114" s="104">
        <f t="shared" si="45"/>
        <v>1</v>
      </c>
      <c r="EL114" s="104" t="str">
        <f t="shared" si="46"/>
        <v>Y</v>
      </c>
      <c r="EM114" s="62"/>
      <c r="EN114" s="6"/>
      <c r="EO114" s="6"/>
      <c r="EP114" s="6"/>
      <c r="EQ114" s="6"/>
      <c r="ER114" s="6"/>
      <c r="ES114" s="6"/>
      <c r="ET114" s="6"/>
      <c r="EU114" s="6"/>
      <c r="EV114" s="6"/>
      <c r="EW114" s="6"/>
      <c r="EX114" s="6"/>
      <c r="EY114" s="6"/>
      <c r="EZ114" s="6"/>
      <c r="FA114" s="6"/>
      <c r="FB114" s="6"/>
      <c r="FC114" s="6"/>
      <c r="FD114" s="6"/>
      <c r="FE114" s="6"/>
      <c r="FF114" s="6"/>
    </row>
    <row r="115" spans="1:162" s="14" customFormat="1" x14ac:dyDescent="0.2">
      <c r="A115" s="1147"/>
      <c r="B115" s="1139" t="s">
        <v>319</v>
      </c>
      <c r="C115" s="1141" t="s">
        <v>320</v>
      </c>
      <c r="D115" s="1158"/>
      <c r="E115" s="1085"/>
      <c r="F115" s="1144"/>
      <c r="G115" s="1076" t="s">
        <v>349</v>
      </c>
      <c r="H115" s="1076" t="s">
        <v>342</v>
      </c>
      <c r="I115" s="1076"/>
      <c r="J115" s="1079">
        <v>1</v>
      </c>
      <c r="K115" s="1076"/>
      <c r="L115" s="176"/>
      <c r="M115" s="186"/>
      <c r="N115" s="177"/>
      <c r="O115" s="172"/>
      <c r="P115" s="173"/>
      <c r="Q115" s="173"/>
      <c r="R115" s="173"/>
      <c r="S115" s="173"/>
      <c r="T115" s="173"/>
      <c r="U115" s="173"/>
      <c r="V115" s="174"/>
      <c r="W115" s="175"/>
      <c r="X115" s="1197" t="s">
        <v>342</v>
      </c>
      <c r="Y115" s="116"/>
      <c r="Z115" s="116"/>
      <c r="AA115" s="116"/>
      <c r="AB115" s="116"/>
      <c r="AC115" s="116"/>
      <c r="AD115" s="116"/>
      <c r="AE115" s="116"/>
      <c r="AF115" s="116"/>
      <c r="AG115" s="116"/>
      <c r="AH115" s="116"/>
      <c r="AI115" s="116"/>
      <c r="AJ115" s="116"/>
      <c r="AK115" s="117"/>
      <c r="AL115" s="117"/>
      <c r="AM115" s="117"/>
      <c r="AN115" s="117"/>
      <c r="AO115" s="116"/>
      <c r="AP115" s="116"/>
      <c r="AQ115" s="95"/>
      <c r="AR115" s="95"/>
      <c r="AS115" s="95"/>
      <c r="AT115" s="95"/>
      <c r="AU115" s="95"/>
      <c r="AV115" s="95"/>
      <c r="AW115" s="95"/>
      <c r="AX115" s="95"/>
      <c r="AY115" s="95"/>
      <c r="AZ115" s="95"/>
      <c r="BA115" s="95"/>
      <c r="BB115" s="95"/>
      <c r="BC115" s="95"/>
      <c r="BD115" s="95"/>
      <c r="BE115" s="95"/>
      <c r="BF115" s="96"/>
      <c r="BG115" s="97"/>
      <c r="BH115" s="98"/>
      <c r="BI115" s="98"/>
      <c r="BJ115" s="98"/>
      <c r="BK115" s="98"/>
      <c r="BL115" s="111"/>
      <c r="BM115" s="98"/>
      <c r="BN115" s="98"/>
      <c r="BO115" s="115"/>
      <c r="BP115" s="100"/>
      <c r="BQ115" s="100"/>
      <c r="BR115" s="100"/>
      <c r="BS115" s="100"/>
      <c r="BT115" s="100"/>
      <c r="BU115" s="50"/>
      <c r="BV115" s="101"/>
      <c r="BW115" s="101"/>
      <c r="BX115" s="101"/>
      <c r="BY115" s="101"/>
      <c r="BZ115" s="101"/>
      <c r="CA115" s="101"/>
      <c r="CB115" s="101"/>
      <c r="CC115" s="101"/>
      <c r="CD115" s="101"/>
      <c r="CE115" s="101"/>
      <c r="CF115" s="54"/>
      <c r="CG115" s="102"/>
      <c r="CH115" s="102"/>
      <c r="CI115" s="102"/>
      <c r="CJ115" s="102"/>
      <c r="CK115" s="102"/>
      <c r="CL115" s="102"/>
      <c r="CM115" s="102"/>
      <c r="CN115" s="102"/>
      <c r="CO115" s="102"/>
      <c r="CP115" s="102"/>
      <c r="CQ115" s="102"/>
      <c r="CR115" s="102"/>
      <c r="CS115" s="102"/>
      <c r="CT115" s="102"/>
      <c r="CU115" s="102"/>
      <c r="CV115" s="102"/>
      <c r="CW115" s="102"/>
      <c r="CX115" s="102"/>
      <c r="CY115" s="102"/>
      <c r="CZ115" s="102"/>
      <c r="DA115" s="102"/>
      <c r="DB115" s="58"/>
      <c r="DC115" s="101"/>
      <c r="DD115" s="101"/>
      <c r="DE115" s="101"/>
      <c r="DF115" s="101"/>
      <c r="DG115" s="101"/>
      <c r="DH115" s="101"/>
      <c r="DI115" s="101"/>
      <c r="DJ115" s="101"/>
      <c r="DK115" s="101"/>
      <c r="DL115" s="101"/>
      <c r="DM115" s="101"/>
      <c r="DN115" s="101"/>
      <c r="DO115" s="101"/>
      <c r="DP115" s="101"/>
      <c r="DQ115" s="101"/>
      <c r="DR115" s="101"/>
      <c r="DS115" s="101"/>
      <c r="DT115" s="101"/>
      <c r="DU115" s="101"/>
      <c r="DV115" s="101"/>
      <c r="DW115" s="101"/>
      <c r="DX115" s="103"/>
      <c r="DY115" s="104"/>
      <c r="DZ115" s="104"/>
      <c r="EA115" s="104"/>
      <c r="EB115" s="104"/>
      <c r="EC115" s="104"/>
      <c r="ED115" s="104"/>
      <c r="EE115" s="104"/>
      <c r="EF115" s="104"/>
      <c r="EG115" s="104"/>
      <c r="EH115" s="104"/>
      <c r="EI115" s="104"/>
      <c r="EJ115" s="104"/>
      <c r="EK115" s="104"/>
      <c r="EL115" s="104"/>
      <c r="EM115" s="62"/>
      <c r="EN115" s="6"/>
      <c r="EO115" s="6"/>
      <c r="EP115" s="6"/>
      <c r="EQ115" s="6"/>
      <c r="ER115" s="6"/>
      <c r="ES115" s="6"/>
      <c r="ET115" s="6"/>
      <c r="EU115" s="6"/>
      <c r="EV115" s="6"/>
      <c r="EW115" s="6"/>
      <c r="EX115" s="6"/>
      <c r="EY115" s="6"/>
      <c r="EZ115" s="6"/>
      <c r="FA115" s="6"/>
      <c r="FB115" s="6"/>
      <c r="FC115" s="6"/>
      <c r="FD115" s="6"/>
      <c r="FE115" s="6"/>
      <c r="FF115" s="6"/>
    </row>
    <row r="116" spans="1:162" s="14" customFormat="1" x14ac:dyDescent="0.2">
      <c r="A116" s="1147"/>
      <c r="B116" s="1139"/>
      <c r="C116" s="1141"/>
      <c r="D116" s="1134"/>
      <c r="E116" s="1086"/>
      <c r="F116" s="1079"/>
      <c r="G116" s="1077"/>
      <c r="H116" s="1077"/>
      <c r="I116" s="1077"/>
      <c r="J116" s="1079"/>
      <c r="K116" s="1077"/>
      <c r="L116" s="181"/>
      <c r="M116" s="186"/>
      <c r="N116" s="177"/>
      <c r="O116" s="172"/>
      <c r="P116" s="173"/>
      <c r="Q116" s="173"/>
      <c r="R116" s="173"/>
      <c r="S116" s="173"/>
      <c r="T116" s="173"/>
      <c r="U116" s="173"/>
      <c r="V116" s="174"/>
      <c r="W116" s="175"/>
      <c r="X116" s="1198"/>
      <c r="Y116" s="116"/>
      <c r="Z116" s="116"/>
      <c r="AA116" s="116"/>
      <c r="AB116" s="116"/>
      <c r="AC116" s="116"/>
      <c r="AD116" s="116"/>
      <c r="AE116" s="116"/>
      <c r="AF116" s="116"/>
      <c r="AG116" s="116"/>
      <c r="AH116" s="116"/>
      <c r="AI116" s="116"/>
      <c r="AJ116" s="116"/>
      <c r="AK116" s="117"/>
      <c r="AL116" s="117"/>
      <c r="AM116" s="117"/>
      <c r="AN116" s="117"/>
      <c r="AO116" s="116"/>
      <c r="AP116" s="116"/>
      <c r="AQ116" s="95"/>
      <c r="AR116" s="95"/>
      <c r="AS116" s="95"/>
      <c r="AT116" s="95"/>
      <c r="AU116" s="95"/>
      <c r="AV116" s="95"/>
      <c r="AW116" s="95"/>
      <c r="AX116" s="95"/>
      <c r="AY116" s="95"/>
      <c r="AZ116" s="95"/>
      <c r="BA116" s="95"/>
      <c r="BB116" s="95"/>
      <c r="BC116" s="95"/>
      <c r="BD116" s="95"/>
      <c r="BE116" s="95"/>
      <c r="BF116" s="96"/>
      <c r="BG116" s="97"/>
      <c r="BH116" s="98"/>
      <c r="BI116" s="98"/>
      <c r="BJ116" s="98"/>
      <c r="BK116" s="98"/>
      <c r="BL116" s="111"/>
      <c r="BM116" s="98"/>
      <c r="BN116" s="98"/>
      <c r="BO116" s="115"/>
      <c r="BP116" s="100"/>
      <c r="BQ116" s="100"/>
      <c r="BR116" s="100"/>
      <c r="BS116" s="100"/>
      <c r="BT116" s="100"/>
      <c r="BU116" s="50"/>
      <c r="BV116" s="101"/>
      <c r="BW116" s="101"/>
      <c r="BX116" s="101"/>
      <c r="BY116" s="101"/>
      <c r="BZ116" s="101"/>
      <c r="CA116" s="101"/>
      <c r="CB116" s="101"/>
      <c r="CC116" s="101"/>
      <c r="CD116" s="101"/>
      <c r="CE116" s="101"/>
      <c r="CF116" s="54"/>
      <c r="CG116" s="102"/>
      <c r="CH116" s="102"/>
      <c r="CI116" s="102"/>
      <c r="CJ116" s="102"/>
      <c r="CK116" s="102"/>
      <c r="CL116" s="102"/>
      <c r="CM116" s="102"/>
      <c r="CN116" s="102"/>
      <c r="CO116" s="102"/>
      <c r="CP116" s="102"/>
      <c r="CQ116" s="102"/>
      <c r="CR116" s="102"/>
      <c r="CS116" s="102"/>
      <c r="CT116" s="102"/>
      <c r="CU116" s="102"/>
      <c r="CV116" s="102"/>
      <c r="CW116" s="102"/>
      <c r="CX116" s="102"/>
      <c r="CY116" s="102"/>
      <c r="CZ116" s="102"/>
      <c r="DA116" s="102"/>
      <c r="DB116" s="58"/>
      <c r="DC116" s="101"/>
      <c r="DD116" s="101"/>
      <c r="DE116" s="101"/>
      <c r="DF116" s="101"/>
      <c r="DG116" s="101"/>
      <c r="DH116" s="101"/>
      <c r="DI116" s="101"/>
      <c r="DJ116" s="101"/>
      <c r="DK116" s="101"/>
      <c r="DL116" s="101"/>
      <c r="DM116" s="101"/>
      <c r="DN116" s="101"/>
      <c r="DO116" s="101"/>
      <c r="DP116" s="101"/>
      <c r="DQ116" s="101"/>
      <c r="DR116" s="101"/>
      <c r="DS116" s="101"/>
      <c r="DT116" s="101"/>
      <c r="DU116" s="101"/>
      <c r="DV116" s="101"/>
      <c r="DW116" s="101"/>
      <c r="DX116" s="103"/>
      <c r="DY116" s="104"/>
      <c r="DZ116" s="104"/>
      <c r="EA116" s="104"/>
      <c r="EB116" s="104"/>
      <c r="EC116" s="104"/>
      <c r="ED116" s="104"/>
      <c r="EE116" s="104"/>
      <c r="EF116" s="104"/>
      <c r="EG116" s="104"/>
      <c r="EH116" s="104"/>
      <c r="EI116" s="104"/>
      <c r="EJ116" s="104"/>
      <c r="EK116" s="104"/>
      <c r="EL116" s="104"/>
      <c r="EM116" s="62"/>
      <c r="EN116" s="6"/>
      <c r="EO116" s="6"/>
      <c r="EP116" s="6"/>
      <c r="EQ116" s="6"/>
      <c r="ER116" s="6"/>
      <c r="ES116" s="6"/>
      <c r="ET116" s="6"/>
      <c r="EU116" s="6"/>
      <c r="EV116" s="6"/>
      <c r="EW116" s="6"/>
      <c r="EX116" s="6"/>
      <c r="EY116" s="6"/>
      <c r="EZ116" s="6"/>
      <c r="FA116" s="6"/>
      <c r="FB116" s="6"/>
      <c r="FC116" s="6"/>
      <c r="FD116" s="6"/>
      <c r="FE116" s="6"/>
      <c r="FF116" s="6"/>
    </row>
    <row r="117" spans="1:162" s="14" customFormat="1" ht="13.5" thickBot="1" x14ac:dyDescent="0.25">
      <c r="A117" s="1147"/>
      <c r="B117" s="1145"/>
      <c r="C117" s="1142"/>
      <c r="D117" s="1136"/>
      <c r="E117" s="1143"/>
      <c r="F117" s="1080"/>
      <c r="G117" s="1078"/>
      <c r="H117" s="1078"/>
      <c r="I117" s="1078"/>
      <c r="J117" s="1080"/>
      <c r="K117" s="1078"/>
      <c r="L117" s="176"/>
      <c r="M117" s="186"/>
      <c r="N117" s="177"/>
      <c r="O117" s="172"/>
      <c r="P117" s="173"/>
      <c r="Q117" s="173"/>
      <c r="R117" s="173"/>
      <c r="S117" s="173"/>
      <c r="T117" s="173"/>
      <c r="U117" s="173"/>
      <c r="V117" s="174"/>
      <c r="W117" s="175"/>
      <c r="X117" s="1199"/>
      <c r="Y117" s="116"/>
      <c r="Z117" s="116"/>
      <c r="AA117" s="116"/>
      <c r="AB117" s="116"/>
      <c r="AC117" s="116"/>
      <c r="AD117" s="116"/>
      <c r="AE117" s="116"/>
      <c r="AF117" s="116"/>
      <c r="AG117" s="116"/>
      <c r="AH117" s="116"/>
      <c r="AI117" s="116"/>
      <c r="AJ117" s="116"/>
      <c r="AK117" s="117"/>
      <c r="AL117" s="117"/>
      <c r="AM117" s="117"/>
      <c r="AN117" s="117"/>
      <c r="AO117" s="116"/>
      <c r="AP117" s="116"/>
      <c r="AQ117" s="95"/>
      <c r="AR117" s="95"/>
      <c r="AS117" s="95"/>
      <c r="AT117" s="95"/>
      <c r="AU117" s="95"/>
      <c r="AV117" s="95"/>
      <c r="AW117" s="95"/>
      <c r="AX117" s="95"/>
      <c r="AY117" s="95"/>
      <c r="AZ117" s="95"/>
      <c r="BA117" s="95"/>
      <c r="BB117" s="95"/>
      <c r="BC117" s="95"/>
      <c r="BD117" s="95"/>
      <c r="BE117" s="95"/>
      <c r="BF117" s="96"/>
      <c r="BG117" s="97"/>
      <c r="BH117" s="98"/>
      <c r="BI117" s="98"/>
      <c r="BJ117" s="98"/>
      <c r="BK117" s="98"/>
      <c r="BL117" s="111"/>
      <c r="BM117" s="98"/>
      <c r="BN117" s="98"/>
      <c r="BO117" s="115"/>
      <c r="BP117" s="100"/>
      <c r="BQ117" s="100"/>
      <c r="BR117" s="100"/>
      <c r="BS117" s="100"/>
      <c r="BT117" s="100"/>
      <c r="BU117" s="50"/>
      <c r="BV117" s="101"/>
      <c r="BW117" s="101"/>
      <c r="BX117" s="101"/>
      <c r="BY117" s="101"/>
      <c r="BZ117" s="101"/>
      <c r="CA117" s="101"/>
      <c r="CB117" s="101"/>
      <c r="CC117" s="101"/>
      <c r="CD117" s="101"/>
      <c r="CE117" s="101"/>
      <c r="CF117" s="54"/>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58"/>
      <c r="DC117" s="101"/>
      <c r="DD117" s="101"/>
      <c r="DE117" s="101"/>
      <c r="DF117" s="101"/>
      <c r="DG117" s="101"/>
      <c r="DH117" s="101"/>
      <c r="DI117" s="101"/>
      <c r="DJ117" s="101"/>
      <c r="DK117" s="101"/>
      <c r="DL117" s="101"/>
      <c r="DM117" s="101"/>
      <c r="DN117" s="101"/>
      <c r="DO117" s="101"/>
      <c r="DP117" s="101"/>
      <c r="DQ117" s="101"/>
      <c r="DR117" s="101"/>
      <c r="DS117" s="101"/>
      <c r="DT117" s="101"/>
      <c r="DU117" s="101"/>
      <c r="DV117" s="101"/>
      <c r="DW117" s="101"/>
      <c r="DX117" s="103"/>
      <c r="DY117" s="104"/>
      <c r="DZ117" s="104"/>
      <c r="EA117" s="104"/>
      <c r="EB117" s="104"/>
      <c r="EC117" s="104"/>
      <c r="ED117" s="104"/>
      <c r="EE117" s="104"/>
      <c r="EF117" s="104"/>
      <c r="EG117" s="104"/>
      <c r="EH117" s="104"/>
      <c r="EI117" s="104"/>
      <c r="EJ117" s="104"/>
      <c r="EK117" s="104"/>
      <c r="EL117" s="104"/>
      <c r="EM117" s="62"/>
      <c r="EN117" s="6"/>
      <c r="EO117" s="6"/>
      <c r="EP117" s="6"/>
      <c r="EQ117" s="6"/>
      <c r="ER117" s="6"/>
      <c r="ES117" s="6"/>
      <c r="ET117" s="6"/>
      <c r="EU117" s="6"/>
      <c r="EV117" s="6"/>
      <c r="EW117" s="6"/>
      <c r="EX117" s="6"/>
      <c r="EY117" s="6"/>
      <c r="EZ117" s="6"/>
      <c r="FA117" s="6"/>
      <c r="FB117" s="6"/>
      <c r="FC117" s="6"/>
      <c r="FD117" s="6"/>
      <c r="FE117" s="6"/>
      <c r="FF117" s="6"/>
    </row>
    <row r="118" spans="1:162" x14ac:dyDescent="0.2">
      <c r="A118" s="1147"/>
      <c r="B118" s="1138" t="s">
        <v>107</v>
      </c>
      <c r="C118" s="1140" t="s">
        <v>106</v>
      </c>
      <c r="D118" s="1133"/>
      <c r="E118" s="1085"/>
      <c r="F118" s="1144"/>
      <c r="G118" s="1076" t="s">
        <v>349</v>
      </c>
      <c r="H118" s="1076" t="s">
        <v>342</v>
      </c>
      <c r="I118" s="1076"/>
      <c r="J118" s="1079">
        <v>1</v>
      </c>
      <c r="K118" s="1076"/>
      <c r="L118" s="176"/>
      <c r="M118" s="186"/>
      <c r="N118" s="177"/>
      <c r="O118" s="172"/>
      <c r="P118" s="173"/>
      <c r="Q118" s="173"/>
      <c r="R118" s="173"/>
      <c r="S118" s="173"/>
      <c r="T118" s="173"/>
      <c r="U118" s="173"/>
      <c r="V118" s="174"/>
      <c r="W118" s="175"/>
      <c r="X118" s="1098" t="s">
        <v>342</v>
      </c>
      <c r="Y118" s="1081">
        <f>IF(HC="Y",IF(BF118="Y",Z118,0),0)</f>
        <v>0</v>
      </c>
      <c r="Z118" s="1081">
        <v>1</v>
      </c>
      <c r="AA118" s="1081">
        <f>IF(OFF="Y",IF(BN118="Y",AB118,0),0)</f>
        <v>0</v>
      </c>
      <c r="AB118" s="1081">
        <v>0</v>
      </c>
      <c r="AC118" s="1081">
        <f>IF(COURTS="Y",IF(BT118="Y",AD118,0),0)</f>
        <v>0</v>
      </c>
      <c r="AD118" s="1081">
        <v>0</v>
      </c>
      <c r="AE118" s="1081">
        <f>IF(PRISONS="Y",IF(CE118="Y",AF118,0),0)</f>
        <v>0</v>
      </c>
      <c r="AF118" s="1081">
        <v>1</v>
      </c>
      <c r="AG118" s="1081">
        <f>IF(RET="Y",IF(DA118="Y",AH118,0),0)</f>
        <v>0</v>
      </c>
      <c r="AH118" s="1081">
        <v>1</v>
      </c>
      <c r="AI118" s="1081">
        <f>IF(SCHOOLS="y",IF(DW118="y",AJ118,0),0)</f>
        <v>0</v>
      </c>
      <c r="AJ118" s="1081">
        <v>0</v>
      </c>
      <c r="AK118" s="1082">
        <f>IF(FE="y",IF(DW118="y",AL118,0),0)</f>
        <v>0</v>
      </c>
      <c r="AL118" s="1082">
        <v>0</v>
      </c>
      <c r="AM118" s="1082">
        <f>IF(HE="Y",IF(DW118="Y",AN118,0),0)</f>
        <v>0</v>
      </c>
      <c r="AN118" s="1082">
        <v>1</v>
      </c>
      <c r="AO118" s="1081">
        <f>IF(INDUSTRIAL="Y",IF(EL118="Y",AP118,0),0)</f>
        <v>0</v>
      </c>
      <c r="AP118" s="1081">
        <v>0</v>
      </c>
      <c r="AQ118" s="95"/>
      <c r="AR118" s="95"/>
      <c r="AS118" s="95"/>
      <c r="AT118" s="95"/>
      <c r="AU118" s="95"/>
      <c r="AV118" s="95"/>
      <c r="AW118" s="95"/>
      <c r="AX118" s="95"/>
      <c r="AY118" s="95"/>
      <c r="AZ118" s="95"/>
      <c r="BA118" s="95"/>
      <c r="BB118" s="95">
        <f>IF(HCfoodprep="y",1,0)</f>
        <v>0</v>
      </c>
      <c r="BC118" s="95"/>
      <c r="BD118" s="95"/>
      <c r="BE118" s="95">
        <f t="shared" si="33"/>
        <v>0</v>
      </c>
      <c r="BF118" s="96" t="str">
        <f t="shared" si="34"/>
        <v>N</v>
      </c>
      <c r="BG118" s="97"/>
      <c r="BH118" s="98">
        <v>0</v>
      </c>
      <c r="BI118" s="98"/>
      <c r="BJ118" s="98"/>
      <c r="BK118" s="98"/>
      <c r="BL118" s="111"/>
      <c r="BM118" s="98">
        <f t="shared" si="35"/>
        <v>0</v>
      </c>
      <c r="BN118" s="98" t="str">
        <f t="shared" si="36"/>
        <v>N</v>
      </c>
      <c r="BO118" s="115"/>
      <c r="BP118" s="100">
        <v>0</v>
      </c>
      <c r="BQ118" s="100"/>
      <c r="BR118" s="100"/>
      <c r="BS118" s="100">
        <f t="shared" si="37"/>
        <v>0</v>
      </c>
      <c r="BT118" s="100" t="str">
        <f t="shared" si="38"/>
        <v>N</v>
      </c>
      <c r="BU118" s="50"/>
      <c r="BV118" s="101"/>
      <c r="BW118" s="101" t="e">
        <v>#REF!</v>
      </c>
      <c r="BX118" s="101"/>
      <c r="BY118" s="101"/>
      <c r="BZ118" s="101"/>
      <c r="CA118" s="101"/>
      <c r="CB118" s="101"/>
      <c r="CC118" s="101"/>
      <c r="CD118" s="101" t="e">
        <f t="shared" si="39"/>
        <v>#REF!</v>
      </c>
      <c r="CE118" s="101" t="e">
        <f t="shared" si="40"/>
        <v>#REF!</v>
      </c>
      <c r="CF118" s="54"/>
      <c r="CG118" s="102"/>
      <c r="CH118" s="102"/>
      <c r="CI118" s="102"/>
      <c r="CJ118" s="102"/>
      <c r="CK118" s="102" t="e">
        <v>#REF!</v>
      </c>
      <c r="CL118" s="102" t="e">
        <v>#REF!</v>
      </c>
      <c r="CM118" s="102"/>
      <c r="CN118" s="102"/>
      <c r="CO118" s="102"/>
      <c r="CP118" s="102" t="e">
        <v>#REF!</v>
      </c>
      <c r="CQ118" s="102"/>
      <c r="CR118" s="102"/>
      <c r="CS118" s="102"/>
      <c r="CT118" s="102"/>
      <c r="CU118" s="102"/>
      <c r="CV118" s="102"/>
      <c r="CW118" s="102"/>
      <c r="CX118" s="102"/>
      <c r="CY118" s="102"/>
      <c r="CZ118" s="102" t="e">
        <f t="shared" si="41"/>
        <v>#REF!</v>
      </c>
      <c r="DA118" s="102" t="e">
        <f t="shared" si="42"/>
        <v>#REF!</v>
      </c>
      <c r="DB118" s="58"/>
      <c r="DC118" s="101"/>
      <c r="DD118" s="101"/>
      <c r="DE118" s="101"/>
      <c r="DF118" s="101">
        <f>IF(EDUHE="y",1,0)</f>
        <v>0</v>
      </c>
      <c r="DG118" s="101"/>
      <c r="DH118" s="101"/>
      <c r="DI118" s="101"/>
      <c r="DJ118" s="101"/>
      <c r="DK118" s="101"/>
      <c r="DL118" s="101"/>
      <c r="DM118" s="101"/>
      <c r="DN118" s="101"/>
      <c r="DO118" s="101"/>
      <c r="DP118" s="101"/>
      <c r="DQ118" s="101"/>
      <c r="DR118" s="101" t="e">
        <v>#REF!</v>
      </c>
      <c r="DS118" s="101"/>
      <c r="DT118" s="101"/>
      <c r="DU118" s="101"/>
      <c r="DV118" s="101" t="e">
        <f t="shared" si="43"/>
        <v>#REF!</v>
      </c>
      <c r="DW118" s="101" t="e">
        <f>IF(DV118&gt;=2,"Y","N")</f>
        <v>#REF!</v>
      </c>
      <c r="DX118" s="103"/>
      <c r="DY118" s="104"/>
      <c r="DZ118" s="104"/>
      <c r="EA118" s="104"/>
      <c r="EB118" s="104"/>
      <c r="EC118" s="104"/>
      <c r="ED118" s="104"/>
      <c r="EE118" s="104"/>
      <c r="EF118" s="104"/>
      <c r="EG118" s="104"/>
      <c r="EH118" s="104"/>
      <c r="EI118" s="104"/>
      <c r="EJ118" s="104"/>
      <c r="EK118" s="104">
        <f t="shared" si="45"/>
        <v>0</v>
      </c>
      <c r="EL118" s="104" t="str">
        <f t="shared" si="46"/>
        <v>N</v>
      </c>
      <c r="EM118" s="62"/>
      <c r="EN118" s="6"/>
      <c r="EO118" s="6"/>
      <c r="EP118" s="6"/>
      <c r="EQ118" s="6"/>
      <c r="ER118" s="6"/>
    </row>
    <row r="119" spans="1:162" x14ac:dyDescent="0.2">
      <c r="A119" s="1147"/>
      <c r="B119" s="1139"/>
      <c r="C119" s="1141"/>
      <c r="D119" s="1134"/>
      <c r="E119" s="1086"/>
      <c r="F119" s="1079"/>
      <c r="G119" s="1077"/>
      <c r="H119" s="1077"/>
      <c r="I119" s="1077"/>
      <c r="J119" s="1079"/>
      <c r="K119" s="1077"/>
      <c r="L119" s="181"/>
      <c r="M119" s="186"/>
      <c r="N119" s="177"/>
      <c r="O119" s="172"/>
      <c r="P119" s="173"/>
      <c r="Q119" s="173"/>
      <c r="R119" s="173"/>
      <c r="S119" s="173"/>
      <c r="T119" s="173"/>
      <c r="U119" s="173"/>
      <c r="V119" s="174"/>
      <c r="W119" s="175"/>
      <c r="X119" s="1099"/>
      <c r="Y119" s="1081"/>
      <c r="Z119" s="1081"/>
      <c r="AA119" s="1081"/>
      <c r="AB119" s="1081"/>
      <c r="AC119" s="1081"/>
      <c r="AD119" s="1081"/>
      <c r="AE119" s="1081"/>
      <c r="AF119" s="1081"/>
      <c r="AG119" s="1081"/>
      <c r="AH119" s="1081"/>
      <c r="AI119" s="1081"/>
      <c r="AJ119" s="1081"/>
      <c r="AK119" s="1082"/>
      <c r="AL119" s="1082"/>
      <c r="AM119" s="1082"/>
      <c r="AN119" s="1082"/>
      <c r="AO119" s="1081"/>
      <c r="AP119" s="1081"/>
      <c r="AQ119" s="95"/>
      <c r="AR119" s="95"/>
      <c r="AS119" s="95"/>
      <c r="AT119" s="95"/>
      <c r="AU119" s="95"/>
      <c r="AV119" s="95"/>
      <c r="AW119" s="95"/>
      <c r="AX119" s="95"/>
      <c r="AY119" s="95"/>
      <c r="AZ119" s="95"/>
      <c r="BA119" s="95"/>
      <c r="BB119" s="95">
        <f>IF(HCfoodprep="y",1,0)</f>
        <v>0</v>
      </c>
      <c r="BC119" s="95"/>
      <c r="BD119" s="95"/>
      <c r="BE119" s="95">
        <f t="shared" si="33"/>
        <v>0</v>
      </c>
      <c r="BF119" s="96" t="str">
        <f t="shared" si="34"/>
        <v>N</v>
      </c>
      <c r="BG119" s="97"/>
      <c r="BH119" s="98">
        <v>0</v>
      </c>
      <c r="BI119" s="98"/>
      <c r="BJ119" s="98"/>
      <c r="BK119" s="98"/>
      <c r="BL119" s="111"/>
      <c r="BM119" s="98">
        <f t="shared" si="35"/>
        <v>0</v>
      </c>
      <c r="BN119" s="98" t="str">
        <f t="shared" si="36"/>
        <v>N</v>
      </c>
      <c r="BO119" s="115"/>
      <c r="BP119" s="100">
        <v>0</v>
      </c>
      <c r="BQ119" s="100"/>
      <c r="BR119" s="100"/>
      <c r="BS119" s="100">
        <f t="shared" si="37"/>
        <v>0</v>
      </c>
      <c r="BT119" s="100" t="str">
        <f t="shared" si="38"/>
        <v>N</v>
      </c>
      <c r="BU119" s="50"/>
      <c r="BV119" s="101"/>
      <c r="BW119" s="101" t="e">
        <v>#REF!</v>
      </c>
      <c r="BX119" s="101"/>
      <c r="BY119" s="101"/>
      <c r="BZ119" s="101"/>
      <c r="CA119" s="101"/>
      <c r="CB119" s="101"/>
      <c r="CC119" s="101"/>
      <c r="CD119" s="101" t="e">
        <f t="shared" si="39"/>
        <v>#REF!</v>
      </c>
      <c r="CE119" s="101" t="e">
        <f t="shared" si="40"/>
        <v>#REF!</v>
      </c>
      <c r="CF119" s="54"/>
      <c r="CG119" s="102"/>
      <c r="CH119" s="102"/>
      <c r="CI119" s="102"/>
      <c r="CJ119" s="102"/>
      <c r="CK119" s="102" t="e">
        <v>#REF!</v>
      </c>
      <c r="CL119" s="102" t="e">
        <v>#REF!</v>
      </c>
      <c r="CM119" s="102"/>
      <c r="CN119" s="102"/>
      <c r="CO119" s="102"/>
      <c r="CP119" s="102" t="e">
        <v>#REF!</v>
      </c>
      <c r="CQ119" s="102"/>
      <c r="CR119" s="102"/>
      <c r="CS119" s="102"/>
      <c r="CT119" s="102"/>
      <c r="CU119" s="102"/>
      <c r="CV119" s="102"/>
      <c r="CW119" s="102"/>
      <c r="CX119" s="102"/>
      <c r="CY119" s="102"/>
      <c r="CZ119" s="102" t="e">
        <f t="shared" si="41"/>
        <v>#REF!</v>
      </c>
      <c r="DA119" s="102" t="e">
        <f t="shared" si="42"/>
        <v>#REF!</v>
      </c>
      <c r="DB119" s="58"/>
      <c r="DC119" s="101"/>
      <c r="DD119" s="101"/>
      <c r="DE119" s="101"/>
      <c r="DF119" s="101">
        <f>IF(EDUHE="y",1,0)</f>
        <v>0</v>
      </c>
      <c r="DG119" s="101"/>
      <c r="DH119" s="101"/>
      <c r="DI119" s="101"/>
      <c r="DJ119" s="101"/>
      <c r="DK119" s="101"/>
      <c r="DL119" s="101"/>
      <c r="DM119" s="101"/>
      <c r="DN119" s="101"/>
      <c r="DO119" s="101"/>
      <c r="DP119" s="101"/>
      <c r="DQ119" s="101"/>
      <c r="DR119" s="101" t="e">
        <v>#REF!</v>
      </c>
      <c r="DS119" s="101"/>
      <c r="DT119" s="101"/>
      <c r="DU119" s="101"/>
      <c r="DV119" s="101" t="e">
        <f t="shared" si="43"/>
        <v>#REF!</v>
      </c>
      <c r="DW119" s="101" t="e">
        <f>IF(DV119&gt;=2,"Y","N")</f>
        <v>#REF!</v>
      </c>
      <c r="DX119" s="103"/>
      <c r="DY119" s="104"/>
      <c r="DZ119" s="104"/>
      <c r="EA119" s="104"/>
      <c r="EB119" s="104"/>
      <c r="EC119" s="104"/>
      <c r="ED119" s="104"/>
      <c r="EE119" s="104"/>
      <c r="EF119" s="104"/>
      <c r="EG119" s="104"/>
      <c r="EH119" s="104"/>
      <c r="EI119" s="104"/>
      <c r="EJ119" s="104"/>
      <c r="EK119" s="104">
        <f t="shared" si="45"/>
        <v>0</v>
      </c>
      <c r="EL119" s="104" t="str">
        <f t="shared" si="46"/>
        <v>N</v>
      </c>
      <c r="EM119" s="62"/>
      <c r="EN119" s="6"/>
      <c r="EO119" s="6"/>
      <c r="EP119" s="6"/>
      <c r="EQ119" s="6"/>
      <c r="ER119" s="6"/>
    </row>
    <row r="120" spans="1:162" ht="13.5" thickBot="1" x14ac:dyDescent="0.25">
      <c r="A120" s="1148"/>
      <c r="B120" s="1145"/>
      <c r="C120" s="1142"/>
      <c r="D120" s="1136"/>
      <c r="E120" s="1143"/>
      <c r="F120" s="1080"/>
      <c r="G120" s="1078"/>
      <c r="H120" s="1078"/>
      <c r="I120" s="1078"/>
      <c r="J120" s="1080"/>
      <c r="K120" s="1078"/>
      <c r="L120" s="176"/>
      <c r="M120" s="186"/>
      <c r="N120" s="177"/>
      <c r="O120" s="172"/>
      <c r="P120" s="173"/>
      <c r="Q120" s="173"/>
      <c r="R120" s="173"/>
      <c r="S120" s="173"/>
      <c r="T120" s="173"/>
      <c r="U120" s="173"/>
      <c r="V120" s="174"/>
      <c r="W120" s="175"/>
      <c r="X120" s="1100"/>
      <c r="Y120" s="1081"/>
      <c r="Z120" s="1081"/>
      <c r="AA120" s="1081"/>
      <c r="AB120" s="1081"/>
      <c r="AC120" s="1081"/>
      <c r="AD120" s="1081"/>
      <c r="AE120" s="1081"/>
      <c r="AF120" s="1081"/>
      <c r="AG120" s="1081"/>
      <c r="AH120" s="1081"/>
      <c r="AI120" s="1081"/>
      <c r="AJ120" s="1081"/>
      <c r="AK120" s="1082"/>
      <c r="AL120" s="1082"/>
      <c r="AM120" s="1082"/>
      <c r="AN120" s="1082"/>
      <c r="AO120" s="1081"/>
      <c r="AP120" s="1081"/>
      <c r="AQ120" s="95"/>
      <c r="AR120" s="95"/>
      <c r="AS120" s="95"/>
      <c r="AT120" s="95"/>
      <c r="AU120" s="95"/>
      <c r="AV120" s="95"/>
      <c r="AW120" s="95"/>
      <c r="AX120" s="95"/>
      <c r="AY120" s="95"/>
      <c r="AZ120" s="95"/>
      <c r="BA120" s="95"/>
      <c r="BB120" s="95">
        <f>IF(HCfoodprep="y",1,0)</f>
        <v>0</v>
      </c>
      <c r="BC120" s="95"/>
      <c r="BD120" s="95"/>
      <c r="BE120" s="95">
        <f t="shared" si="33"/>
        <v>0</v>
      </c>
      <c r="BF120" s="96" t="str">
        <f t="shared" si="34"/>
        <v>N</v>
      </c>
      <c r="BG120" s="97"/>
      <c r="BH120" s="98">
        <v>0</v>
      </c>
      <c r="BI120" s="98"/>
      <c r="BJ120" s="98"/>
      <c r="BK120" s="98"/>
      <c r="BL120" s="111"/>
      <c r="BM120" s="98">
        <f t="shared" si="35"/>
        <v>0</v>
      </c>
      <c r="BN120" s="98" t="str">
        <f t="shared" si="36"/>
        <v>N</v>
      </c>
      <c r="BO120" s="115"/>
      <c r="BP120" s="100">
        <v>0</v>
      </c>
      <c r="BQ120" s="100"/>
      <c r="BR120" s="100"/>
      <c r="BS120" s="100">
        <f t="shared" si="37"/>
        <v>0</v>
      </c>
      <c r="BT120" s="100" t="str">
        <f t="shared" si="38"/>
        <v>N</v>
      </c>
      <c r="BU120" s="50"/>
      <c r="BV120" s="101"/>
      <c r="BW120" s="101" t="e">
        <v>#REF!</v>
      </c>
      <c r="BX120" s="101"/>
      <c r="BY120" s="101"/>
      <c r="BZ120" s="101"/>
      <c r="CA120" s="101"/>
      <c r="CB120" s="101"/>
      <c r="CC120" s="101"/>
      <c r="CD120" s="101" t="e">
        <f t="shared" si="39"/>
        <v>#REF!</v>
      </c>
      <c r="CE120" s="101" t="e">
        <f t="shared" si="40"/>
        <v>#REF!</v>
      </c>
      <c r="CF120" s="54"/>
      <c r="CG120" s="102"/>
      <c r="CH120" s="102"/>
      <c r="CI120" s="102"/>
      <c r="CJ120" s="102"/>
      <c r="CK120" s="102" t="e">
        <v>#REF!</v>
      </c>
      <c r="CL120" s="102" t="e">
        <v>#REF!</v>
      </c>
      <c r="CM120" s="102"/>
      <c r="CN120" s="102"/>
      <c r="CO120" s="102"/>
      <c r="CP120" s="102" t="e">
        <v>#REF!</v>
      </c>
      <c r="CQ120" s="102"/>
      <c r="CR120" s="102"/>
      <c r="CS120" s="102"/>
      <c r="CT120" s="102"/>
      <c r="CU120" s="102"/>
      <c r="CV120" s="102"/>
      <c r="CW120" s="102"/>
      <c r="CX120" s="102"/>
      <c r="CY120" s="102"/>
      <c r="CZ120" s="102" t="e">
        <f t="shared" si="41"/>
        <v>#REF!</v>
      </c>
      <c r="DA120" s="102" t="e">
        <f t="shared" si="42"/>
        <v>#REF!</v>
      </c>
      <c r="DB120" s="58"/>
      <c r="DC120" s="101"/>
      <c r="DD120" s="101"/>
      <c r="DE120" s="101"/>
      <c r="DF120" s="101">
        <f>IF(EDUHE="y",1,0)</f>
        <v>0</v>
      </c>
      <c r="DG120" s="101"/>
      <c r="DH120" s="101"/>
      <c r="DI120" s="101"/>
      <c r="DJ120" s="101"/>
      <c r="DK120" s="101"/>
      <c r="DL120" s="101"/>
      <c r="DM120" s="101"/>
      <c r="DN120" s="101"/>
      <c r="DO120" s="101"/>
      <c r="DP120" s="101"/>
      <c r="DQ120" s="101"/>
      <c r="DR120" s="101" t="e">
        <v>#REF!</v>
      </c>
      <c r="DS120" s="101"/>
      <c r="DT120" s="101"/>
      <c r="DU120" s="101"/>
      <c r="DV120" s="101" t="e">
        <f t="shared" si="43"/>
        <v>#REF!</v>
      </c>
      <c r="DW120" s="101" t="e">
        <f>IF(DV120&gt;=2,"Y","N")</f>
        <v>#REF!</v>
      </c>
      <c r="DX120" s="103"/>
      <c r="DY120" s="104"/>
      <c r="DZ120" s="104"/>
      <c r="EA120" s="104"/>
      <c r="EB120" s="104"/>
      <c r="EC120" s="104"/>
      <c r="ED120" s="104"/>
      <c r="EE120" s="104"/>
      <c r="EF120" s="104"/>
      <c r="EG120" s="104"/>
      <c r="EH120" s="104"/>
      <c r="EI120" s="104"/>
      <c r="EJ120" s="104"/>
      <c r="EK120" s="104">
        <f t="shared" si="45"/>
        <v>0</v>
      </c>
      <c r="EL120" s="104" t="str">
        <f t="shared" si="46"/>
        <v>N</v>
      </c>
      <c r="EM120" s="62"/>
      <c r="EN120" s="6"/>
      <c r="EO120" s="6"/>
      <c r="EP120" s="6"/>
      <c r="EQ120" s="6"/>
      <c r="ER120" s="6"/>
    </row>
    <row r="121" spans="1:162" x14ac:dyDescent="0.2">
      <c r="A121" s="143"/>
      <c r="B121" s="1138" t="s">
        <v>105</v>
      </c>
      <c r="C121" s="1140" t="s">
        <v>104</v>
      </c>
      <c r="D121" s="1133"/>
      <c r="E121" s="1085"/>
      <c r="F121" s="1144"/>
      <c r="G121" s="1076" t="s">
        <v>349</v>
      </c>
      <c r="H121" s="1076" t="s">
        <v>274</v>
      </c>
      <c r="I121" s="1076"/>
      <c r="J121" s="1079">
        <f>Y121+AA121+AC121+AE121+AG121+AI121+AK121+AM121+AO121</f>
        <v>1</v>
      </c>
      <c r="K121" s="1076"/>
      <c r="L121" s="180"/>
      <c r="M121" s="186"/>
      <c r="N121" s="177"/>
      <c r="O121" s="177"/>
      <c r="P121" s="172"/>
      <c r="Q121" s="173"/>
      <c r="R121" s="173"/>
      <c r="S121" s="173"/>
      <c r="T121" s="173"/>
      <c r="U121" s="173"/>
      <c r="V121" s="174"/>
      <c r="W121" s="175"/>
      <c r="X121" s="1098" t="s">
        <v>279</v>
      </c>
      <c r="Y121" s="1081">
        <f>IF(HC="Y",IF(BF121="Y",Z121,0),0)</f>
        <v>0</v>
      </c>
      <c r="Z121" s="1081">
        <v>1</v>
      </c>
      <c r="AA121" s="1081">
        <f>IF(OFF="Y",IF(BN121="Y",AB121,0),0)</f>
        <v>1</v>
      </c>
      <c r="AB121" s="1081">
        <v>1</v>
      </c>
      <c r="AC121" s="1081">
        <f>IF(COURTS="Y",IF(BT121="Y",AD121,0),0)</f>
        <v>0</v>
      </c>
      <c r="AD121" s="1081">
        <v>1</v>
      </c>
      <c r="AE121" s="1081">
        <f>IF(PRISONS="Y",IF(CE121="Y",AF121,0),0)</f>
        <v>0</v>
      </c>
      <c r="AF121" s="1081">
        <v>1</v>
      </c>
      <c r="AG121" s="1081">
        <f>IF(RET="Y",IF(DA121="Y",AH121,0),0)</f>
        <v>0</v>
      </c>
      <c r="AH121" s="1081">
        <v>1</v>
      </c>
      <c r="AI121" s="1081">
        <f>IF(SCHOOLS="y",IF(DW121="y",AJ121,0),0)</f>
        <v>0</v>
      </c>
      <c r="AJ121" s="1081">
        <v>1</v>
      </c>
      <c r="AK121" s="1082">
        <f>IF(FE="y",IF(DW121="y",AL121,0),0)</f>
        <v>0</v>
      </c>
      <c r="AL121" s="1082">
        <v>1</v>
      </c>
      <c r="AM121" s="1082">
        <f>IF(HE="Y",IF(DW121="Y",AN121,0),0)</f>
        <v>0</v>
      </c>
      <c r="AN121" s="1082">
        <v>1</v>
      </c>
      <c r="AO121" s="1081">
        <f>IF(INDUSTRIAL="Y",IF(EL121="Y",AP121,0),0)</f>
        <v>0</v>
      </c>
      <c r="AP121" s="1081">
        <v>1</v>
      </c>
      <c r="AQ121" s="95">
        <v>1</v>
      </c>
      <c r="AR121" s="95"/>
      <c r="AS121" s="95"/>
      <c r="AT121" s="95"/>
      <c r="AU121" s="95"/>
      <c r="AV121" s="95"/>
      <c r="AW121" s="95"/>
      <c r="AX121" s="95"/>
      <c r="AY121" s="95"/>
      <c r="AZ121" s="95"/>
      <c r="BA121" s="95"/>
      <c r="BB121" s="95"/>
      <c r="BC121" s="95"/>
      <c r="BD121" s="95"/>
      <c r="BE121" s="95">
        <f t="shared" si="33"/>
        <v>1</v>
      </c>
      <c r="BF121" s="96" t="str">
        <f t="shared" si="34"/>
        <v>Y</v>
      </c>
      <c r="BG121" s="97"/>
      <c r="BH121" s="98">
        <v>1</v>
      </c>
      <c r="BI121" s="98"/>
      <c r="BJ121" s="98"/>
      <c r="BK121" s="98"/>
      <c r="BL121" s="111"/>
      <c r="BM121" s="98">
        <f t="shared" si="35"/>
        <v>1</v>
      </c>
      <c r="BN121" s="98" t="str">
        <f t="shared" si="36"/>
        <v>Y</v>
      </c>
      <c r="BO121" s="115"/>
      <c r="BP121" s="100">
        <v>1</v>
      </c>
      <c r="BQ121" s="100"/>
      <c r="BR121" s="100"/>
      <c r="BS121" s="100">
        <f t="shared" si="37"/>
        <v>1</v>
      </c>
      <c r="BT121" s="100" t="str">
        <f t="shared" si="38"/>
        <v>Y</v>
      </c>
      <c r="BU121" s="50"/>
      <c r="BV121" s="101">
        <v>1</v>
      </c>
      <c r="BW121" s="101"/>
      <c r="BX121" s="101"/>
      <c r="BY121" s="101"/>
      <c r="BZ121" s="101"/>
      <c r="CA121" s="101"/>
      <c r="CB121" s="101"/>
      <c r="CC121" s="101"/>
      <c r="CD121" s="101">
        <f t="shared" si="39"/>
        <v>1</v>
      </c>
      <c r="CE121" s="101" t="str">
        <f t="shared" si="40"/>
        <v>Y</v>
      </c>
      <c r="CF121" s="54"/>
      <c r="CG121" s="102">
        <v>1</v>
      </c>
      <c r="CH121" s="102"/>
      <c r="CI121" s="102"/>
      <c r="CJ121" s="102"/>
      <c r="CK121" s="102"/>
      <c r="CL121" s="102"/>
      <c r="CM121" s="102"/>
      <c r="CN121" s="102"/>
      <c r="CO121" s="102"/>
      <c r="CP121" s="102"/>
      <c r="CQ121" s="102"/>
      <c r="CR121" s="102"/>
      <c r="CS121" s="102"/>
      <c r="CT121" s="102"/>
      <c r="CU121" s="102"/>
      <c r="CV121" s="102"/>
      <c r="CW121" s="102"/>
      <c r="CX121" s="102"/>
      <c r="CY121" s="102"/>
      <c r="CZ121" s="102">
        <f t="shared" si="41"/>
        <v>1</v>
      </c>
      <c r="DA121" s="102" t="str">
        <f t="shared" si="42"/>
        <v>Y</v>
      </c>
      <c r="DB121" s="58"/>
      <c r="DC121" s="101">
        <v>1</v>
      </c>
      <c r="DD121" s="101"/>
      <c r="DE121" s="101"/>
      <c r="DF121" s="101"/>
      <c r="DG121" s="101"/>
      <c r="DH121" s="101"/>
      <c r="DI121" s="101"/>
      <c r="DJ121" s="101"/>
      <c r="DK121" s="101"/>
      <c r="DL121" s="101"/>
      <c r="DM121" s="101"/>
      <c r="DN121" s="101"/>
      <c r="DO121" s="101"/>
      <c r="DP121" s="101"/>
      <c r="DQ121" s="101"/>
      <c r="DR121" s="101"/>
      <c r="DS121" s="101"/>
      <c r="DT121" s="101"/>
      <c r="DU121" s="101"/>
      <c r="DV121" s="101">
        <f t="shared" si="43"/>
        <v>1</v>
      </c>
      <c r="DW121" s="101" t="str">
        <f>IF(DV121&gt;=0.1,"Y","N")</f>
        <v>Y</v>
      </c>
      <c r="DX121" s="103"/>
      <c r="DY121" s="104">
        <v>1</v>
      </c>
      <c r="DZ121" s="104"/>
      <c r="EA121" s="104"/>
      <c r="EB121" s="104"/>
      <c r="EC121" s="104"/>
      <c r="ED121" s="104"/>
      <c r="EE121" s="104"/>
      <c r="EF121" s="104"/>
      <c r="EG121" s="104"/>
      <c r="EH121" s="104"/>
      <c r="EI121" s="104"/>
      <c r="EJ121" s="104"/>
      <c r="EK121" s="104">
        <f t="shared" si="45"/>
        <v>1</v>
      </c>
      <c r="EL121" s="104" t="str">
        <f t="shared" si="46"/>
        <v>Y</v>
      </c>
      <c r="EM121" s="62"/>
      <c r="EN121" s="6"/>
      <c r="EO121" s="6"/>
      <c r="EP121" s="6"/>
      <c r="EQ121" s="6"/>
      <c r="ER121" s="6"/>
    </row>
    <row r="122" spans="1:162" x14ac:dyDescent="0.2">
      <c r="A122" s="143"/>
      <c r="B122" s="1139"/>
      <c r="C122" s="1141"/>
      <c r="D122" s="1134"/>
      <c r="E122" s="1086"/>
      <c r="F122" s="1079"/>
      <c r="G122" s="1077"/>
      <c r="H122" s="1077"/>
      <c r="I122" s="1077"/>
      <c r="J122" s="1079"/>
      <c r="K122" s="1077"/>
      <c r="L122" s="181"/>
      <c r="M122" s="186"/>
      <c r="N122" s="177"/>
      <c r="O122" s="177"/>
      <c r="P122" s="172"/>
      <c r="Q122" s="173"/>
      <c r="R122" s="173"/>
      <c r="S122" s="173"/>
      <c r="T122" s="173"/>
      <c r="U122" s="173"/>
      <c r="V122" s="174"/>
      <c r="W122" s="175"/>
      <c r="X122" s="1099"/>
      <c r="Y122" s="1081"/>
      <c r="Z122" s="1081"/>
      <c r="AA122" s="1081"/>
      <c r="AB122" s="1081"/>
      <c r="AC122" s="1081"/>
      <c r="AD122" s="1081"/>
      <c r="AE122" s="1081"/>
      <c r="AF122" s="1081"/>
      <c r="AG122" s="1081"/>
      <c r="AH122" s="1081"/>
      <c r="AI122" s="1081"/>
      <c r="AJ122" s="1081"/>
      <c r="AK122" s="1082"/>
      <c r="AL122" s="1082"/>
      <c r="AM122" s="1082"/>
      <c r="AN122" s="1082"/>
      <c r="AO122" s="1081"/>
      <c r="AP122" s="1081"/>
      <c r="AQ122" s="95">
        <v>1</v>
      </c>
      <c r="AR122" s="95"/>
      <c r="AS122" s="95"/>
      <c r="AT122" s="95"/>
      <c r="AU122" s="95"/>
      <c r="AV122" s="95"/>
      <c r="AW122" s="95"/>
      <c r="AX122" s="95"/>
      <c r="AY122" s="95"/>
      <c r="AZ122" s="95"/>
      <c r="BA122" s="95"/>
      <c r="BB122" s="95"/>
      <c r="BC122" s="95"/>
      <c r="BD122" s="95"/>
      <c r="BE122" s="95">
        <f t="shared" si="33"/>
        <v>1</v>
      </c>
      <c r="BF122" s="96" t="str">
        <f t="shared" si="34"/>
        <v>Y</v>
      </c>
      <c r="BG122" s="97"/>
      <c r="BH122" s="98">
        <v>1</v>
      </c>
      <c r="BI122" s="98"/>
      <c r="BJ122" s="98"/>
      <c r="BK122" s="98"/>
      <c r="BL122" s="111"/>
      <c r="BM122" s="98">
        <f t="shared" si="35"/>
        <v>1</v>
      </c>
      <c r="BN122" s="98" t="str">
        <f t="shared" si="36"/>
        <v>Y</v>
      </c>
      <c r="BO122" s="115"/>
      <c r="BP122" s="100">
        <v>1</v>
      </c>
      <c r="BQ122" s="100"/>
      <c r="BR122" s="100"/>
      <c r="BS122" s="100">
        <f t="shared" si="37"/>
        <v>1</v>
      </c>
      <c r="BT122" s="100" t="str">
        <f t="shared" si="38"/>
        <v>Y</v>
      </c>
      <c r="BU122" s="50"/>
      <c r="BV122" s="101">
        <v>1</v>
      </c>
      <c r="BW122" s="101"/>
      <c r="BX122" s="101"/>
      <c r="BY122" s="101"/>
      <c r="BZ122" s="101"/>
      <c r="CA122" s="101"/>
      <c r="CB122" s="101"/>
      <c r="CC122" s="101"/>
      <c r="CD122" s="101">
        <f t="shared" si="39"/>
        <v>1</v>
      </c>
      <c r="CE122" s="101" t="str">
        <f t="shared" si="40"/>
        <v>Y</v>
      </c>
      <c r="CF122" s="54"/>
      <c r="CG122" s="102">
        <v>1</v>
      </c>
      <c r="CH122" s="102"/>
      <c r="CI122" s="102"/>
      <c r="CJ122" s="102"/>
      <c r="CK122" s="102"/>
      <c r="CL122" s="102"/>
      <c r="CM122" s="102"/>
      <c r="CN122" s="102"/>
      <c r="CO122" s="102"/>
      <c r="CP122" s="102"/>
      <c r="CQ122" s="102"/>
      <c r="CR122" s="102"/>
      <c r="CS122" s="102"/>
      <c r="CT122" s="102"/>
      <c r="CU122" s="102"/>
      <c r="CV122" s="102"/>
      <c r="CW122" s="102"/>
      <c r="CX122" s="102"/>
      <c r="CY122" s="102"/>
      <c r="CZ122" s="102">
        <f t="shared" si="41"/>
        <v>1</v>
      </c>
      <c r="DA122" s="102" t="str">
        <f t="shared" si="42"/>
        <v>Y</v>
      </c>
      <c r="DB122" s="58"/>
      <c r="DC122" s="101">
        <v>1</v>
      </c>
      <c r="DD122" s="101"/>
      <c r="DE122" s="101"/>
      <c r="DF122" s="101"/>
      <c r="DG122" s="101"/>
      <c r="DH122" s="101"/>
      <c r="DI122" s="101"/>
      <c r="DJ122" s="101"/>
      <c r="DK122" s="101"/>
      <c r="DL122" s="101"/>
      <c r="DM122" s="101"/>
      <c r="DN122" s="101"/>
      <c r="DO122" s="101"/>
      <c r="DP122" s="101"/>
      <c r="DQ122" s="101"/>
      <c r="DR122" s="101"/>
      <c r="DS122" s="101"/>
      <c r="DT122" s="101"/>
      <c r="DU122" s="101"/>
      <c r="DV122" s="101">
        <f t="shared" si="43"/>
        <v>1</v>
      </c>
      <c r="DW122" s="101" t="str">
        <f>IF(DV122&gt;=0.1,"Y","N")</f>
        <v>Y</v>
      </c>
      <c r="DX122" s="103"/>
      <c r="DY122" s="104">
        <v>1</v>
      </c>
      <c r="DZ122" s="104"/>
      <c r="EA122" s="104"/>
      <c r="EB122" s="104"/>
      <c r="EC122" s="104"/>
      <c r="ED122" s="104"/>
      <c r="EE122" s="104"/>
      <c r="EF122" s="104"/>
      <c r="EG122" s="104"/>
      <c r="EH122" s="104"/>
      <c r="EI122" s="104"/>
      <c r="EJ122" s="104"/>
      <c r="EK122" s="104">
        <f t="shared" si="45"/>
        <v>1</v>
      </c>
      <c r="EL122" s="104" t="str">
        <f t="shared" si="46"/>
        <v>Y</v>
      </c>
      <c r="EM122" s="62"/>
      <c r="EN122" s="6"/>
      <c r="EO122" s="6"/>
      <c r="EP122" s="6"/>
      <c r="EQ122" s="6"/>
      <c r="ER122" s="6"/>
    </row>
    <row r="123" spans="1:162" ht="13.5" thickBot="1" x14ac:dyDescent="0.25">
      <c r="A123" s="143"/>
      <c r="B123" s="1145"/>
      <c r="C123" s="1142"/>
      <c r="D123" s="1136"/>
      <c r="E123" s="1143"/>
      <c r="F123" s="1080"/>
      <c r="G123" s="1078"/>
      <c r="H123" s="1078"/>
      <c r="I123" s="1078"/>
      <c r="J123" s="1080"/>
      <c r="K123" s="1078"/>
      <c r="L123" s="180"/>
      <c r="M123" s="186"/>
      <c r="N123" s="177"/>
      <c r="O123" s="177"/>
      <c r="P123" s="172"/>
      <c r="Q123" s="173"/>
      <c r="R123" s="173"/>
      <c r="S123" s="173"/>
      <c r="T123" s="173"/>
      <c r="U123" s="173"/>
      <c r="V123" s="174"/>
      <c r="W123" s="175"/>
      <c r="X123" s="1100"/>
      <c r="Y123" s="1081"/>
      <c r="Z123" s="1081"/>
      <c r="AA123" s="1081"/>
      <c r="AB123" s="1081"/>
      <c r="AC123" s="1081"/>
      <c r="AD123" s="1081"/>
      <c r="AE123" s="1081"/>
      <c r="AF123" s="1081"/>
      <c r="AG123" s="1081"/>
      <c r="AH123" s="1081"/>
      <c r="AI123" s="1081"/>
      <c r="AJ123" s="1081"/>
      <c r="AK123" s="1082"/>
      <c r="AL123" s="1082"/>
      <c r="AM123" s="1082"/>
      <c r="AN123" s="1082"/>
      <c r="AO123" s="1081"/>
      <c r="AP123" s="1081"/>
      <c r="AQ123" s="95">
        <v>1</v>
      </c>
      <c r="AR123" s="95"/>
      <c r="AS123" s="95"/>
      <c r="AT123" s="95"/>
      <c r="AU123" s="95"/>
      <c r="AV123" s="95"/>
      <c r="AW123" s="95"/>
      <c r="AX123" s="95"/>
      <c r="AY123" s="95"/>
      <c r="AZ123" s="95"/>
      <c r="BA123" s="95"/>
      <c r="BB123" s="95"/>
      <c r="BC123" s="95"/>
      <c r="BD123" s="95"/>
      <c r="BE123" s="95">
        <f t="shared" si="33"/>
        <v>1</v>
      </c>
      <c r="BF123" s="96" t="str">
        <f t="shared" si="34"/>
        <v>Y</v>
      </c>
      <c r="BG123" s="97"/>
      <c r="BH123" s="98">
        <v>1</v>
      </c>
      <c r="BI123" s="98"/>
      <c r="BJ123" s="98"/>
      <c r="BK123" s="98"/>
      <c r="BL123" s="111"/>
      <c r="BM123" s="98">
        <f t="shared" si="35"/>
        <v>1</v>
      </c>
      <c r="BN123" s="98" t="str">
        <f t="shared" si="36"/>
        <v>Y</v>
      </c>
      <c r="BO123" s="115"/>
      <c r="BP123" s="100">
        <v>1</v>
      </c>
      <c r="BQ123" s="100"/>
      <c r="BR123" s="100"/>
      <c r="BS123" s="100">
        <f t="shared" si="37"/>
        <v>1</v>
      </c>
      <c r="BT123" s="100" t="str">
        <f t="shared" si="38"/>
        <v>Y</v>
      </c>
      <c r="BU123" s="50"/>
      <c r="BV123" s="101">
        <v>1</v>
      </c>
      <c r="BW123" s="101"/>
      <c r="BX123" s="101"/>
      <c r="BY123" s="101"/>
      <c r="BZ123" s="101"/>
      <c r="CA123" s="101"/>
      <c r="CB123" s="101"/>
      <c r="CC123" s="101"/>
      <c r="CD123" s="101">
        <f t="shared" si="39"/>
        <v>1</v>
      </c>
      <c r="CE123" s="101" t="str">
        <f t="shared" si="40"/>
        <v>Y</v>
      </c>
      <c r="CF123" s="54"/>
      <c r="CG123" s="102">
        <v>1</v>
      </c>
      <c r="CH123" s="102"/>
      <c r="CI123" s="102"/>
      <c r="CJ123" s="102"/>
      <c r="CK123" s="102"/>
      <c r="CL123" s="102"/>
      <c r="CM123" s="102"/>
      <c r="CN123" s="102"/>
      <c r="CO123" s="102"/>
      <c r="CP123" s="102"/>
      <c r="CQ123" s="102"/>
      <c r="CR123" s="102"/>
      <c r="CS123" s="102"/>
      <c r="CT123" s="102"/>
      <c r="CU123" s="102"/>
      <c r="CV123" s="102"/>
      <c r="CW123" s="102"/>
      <c r="CX123" s="102"/>
      <c r="CY123" s="102"/>
      <c r="CZ123" s="102">
        <f t="shared" si="41"/>
        <v>1</v>
      </c>
      <c r="DA123" s="102" t="str">
        <f t="shared" si="42"/>
        <v>Y</v>
      </c>
      <c r="DB123" s="58"/>
      <c r="DC123" s="101">
        <v>1</v>
      </c>
      <c r="DD123" s="101"/>
      <c r="DE123" s="101"/>
      <c r="DF123" s="101"/>
      <c r="DG123" s="101"/>
      <c r="DH123" s="101"/>
      <c r="DI123" s="101"/>
      <c r="DJ123" s="101"/>
      <c r="DK123" s="101"/>
      <c r="DL123" s="101"/>
      <c r="DM123" s="101"/>
      <c r="DN123" s="101"/>
      <c r="DO123" s="101"/>
      <c r="DP123" s="101"/>
      <c r="DQ123" s="101"/>
      <c r="DR123" s="101"/>
      <c r="DS123" s="101"/>
      <c r="DT123" s="101"/>
      <c r="DU123" s="101"/>
      <c r="DV123" s="101">
        <f t="shared" si="43"/>
        <v>1</v>
      </c>
      <c r="DW123" s="101" t="str">
        <f>IF(DV123&gt;=0.1,"Y","N")</f>
        <v>Y</v>
      </c>
      <c r="DX123" s="103"/>
      <c r="DY123" s="104">
        <v>1</v>
      </c>
      <c r="DZ123" s="104"/>
      <c r="EA123" s="104"/>
      <c r="EB123" s="104"/>
      <c r="EC123" s="104"/>
      <c r="ED123" s="104"/>
      <c r="EE123" s="104"/>
      <c r="EF123" s="104"/>
      <c r="EG123" s="104"/>
      <c r="EH123" s="104"/>
      <c r="EI123" s="104"/>
      <c r="EJ123" s="104"/>
      <c r="EK123" s="104">
        <f t="shared" si="45"/>
        <v>1</v>
      </c>
      <c r="EL123" s="104" t="str">
        <f t="shared" si="46"/>
        <v>Y</v>
      </c>
      <c r="EM123" s="62"/>
      <c r="EN123" s="6"/>
      <c r="EO123" s="6"/>
      <c r="EP123" s="6"/>
      <c r="EQ123" s="6"/>
      <c r="ER123" s="6"/>
    </row>
    <row r="124" spans="1:162" x14ac:dyDescent="0.2">
      <c r="A124" s="143"/>
      <c r="B124" s="1138" t="s">
        <v>354</v>
      </c>
      <c r="C124" s="1140" t="s">
        <v>355</v>
      </c>
      <c r="D124" s="1133"/>
      <c r="E124" s="1085"/>
      <c r="F124" s="1144"/>
      <c r="G124" s="1076" t="s">
        <v>356</v>
      </c>
      <c r="H124" s="1076" t="s">
        <v>280</v>
      </c>
      <c r="I124" s="1076"/>
      <c r="J124" s="1079">
        <v>1</v>
      </c>
      <c r="K124" s="1076"/>
      <c r="L124" s="180"/>
      <c r="M124" s="186"/>
      <c r="N124" s="177"/>
      <c r="O124" s="177"/>
      <c r="P124" s="172"/>
      <c r="Q124" s="173"/>
      <c r="R124" s="173"/>
      <c r="S124" s="173"/>
      <c r="T124" s="173"/>
      <c r="U124" s="173"/>
      <c r="V124" s="174"/>
      <c r="W124" s="175"/>
      <c r="X124" s="1197" t="s">
        <v>368</v>
      </c>
      <c r="Y124" s="116"/>
      <c r="Z124" s="116"/>
      <c r="AA124" s="116"/>
      <c r="AB124" s="116"/>
      <c r="AC124" s="116"/>
      <c r="AD124" s="116"/>
      <c r="AE124" s="116"/>
      <c r="AF124" s="116"/>
      <c r="AG124" s="116"/>
      <c r="AH124" s="116"/>
      <c r="AI124" s="116"/>
      <c r="AJ124" s="116"/>
      <c r="AK124" s="117"/>
      <c r="AL124" s="117"/>
      <c r="AM124" s="117"/>
      <c r="AN124" s="117"/>
      <c r="AO124" s="116"/>
      <c r="AP124" s="116"/>
      <c r="AQ124" s="95"/>
      <c r="AR124" s="95"/>
      <c r="AS124" s="95"/>
      <c r="AT124" s="95"/>
      <c r="AU124" s="95"/>
      <c r="AV124" s="95"/>
      <c r="AW124" s="95"/>
      <c r="AX124" s="95"/>
      <c r="AY124" s="95"/>
      <c r="AZ124" s="95"/>
      <c r="BA124" s="95"/>
      <c r="BB124" s="95"/>
      <c r="BC124" s="95"/>
      <c r="BD124" s="95"/>
      <c r="BE124" s="95"/>
      <c r="BF124" s="96"/>
      <c r="BG124" s="97"/>
      <c r="BH124" s="98"/>
      <c r="BI124" s="98"/>
      <c r="BJ124" s="98"/>
      <c r="BK124" s="98"/>
      <c r="BL124" s="111"/>
      <c r="BM124" s="98"/>
      <c r="BN124" s="98"/>
      <c r="BO124" s="115"/>
      <c r="BP124" s="100"/>
      <c r="BQ124" s="100"/>
      <c r="BR124" s="100"/>
      <c r="BS124" s="100"/>
      <c r="BT124" s="100"/>
      <c r="BU124" s="50"/>
      <c r="BV124" s="101"/>
      <c r="BW124" s="101"/>
      <c r="BX124" s="101"/>
      <c r="BY124" s="101"/>
      <c r="BZ124" s="101"/>
      <c r="CA124" s="101"/>
      <c r="CB124" s="101"/>
      <c r="CC124" s="101"/>
      <c r="CD124" s="101"/>
      <c r="CE124" s="101"/>
      <c r="CF124" s="54"/>
      <c r="CG124" s="102"/>
      <c r="CH124" s="102"/>
      <c r="CI124" s="102"/>
      <c r="CJ124" s="102"/>
      <c r="CK124" s="102"/>
      <c r="CL124" s="102"/>
      <c r="CM124" s="102"/>
      <c r="CN124" s="102"/>
      <c r="CO124" s="102"/>
      <c r="CP124" s="102"/>
      <c r="CQ124" s="102"/>
      <c r="CR124" s="102"/>
      <c r="CS124" s="102"/>
      <c r="CT124" s="102"/>
      <c r="CU124" s="102"/>
      <c r="CV124" s="102"/>
      <c r="CW124" s="102"/>
      <c r="CX124" s="102"/>
      <c r="CY124" s="102"/>
      <c r="CZ124" s="102"/>
      <c r="DA124" s="102"/>
      <c r="DB124" s="58"/>
      <c r="DC124" s="101"/>
      <c r="DD124" s="101"/>
      <c r="DE124" s="101"/>
      <c r="DF124" s="101"/>
      <c r="DG124" s="101"/>
      <c r="DH124" s="101"/>
      <c r="DI124" s="101"/>
      <c r="DJ124" s="101"/>
      <c r="DK124" s="101"/>
      <c r="DL124" s="101"/>
      <c r="DM124" s="101"/>
      <c r="DN124" s="101"/>
      <c r="DO124" s="101"/>
      <c r="DP124" s="101"/>
      <c r="DQ124" s="101"/>
      <c r="DR124" s="101"/>
      <c r="DS124" s="101"/>
      <c r="DT124" s="101"/>
      <c r="DU124" s="101"/>
      <c r="DV124" s="101"/>
      <c r="DW124" s="101"/>
      <c r="DX124" s="103"/>
      <c r="DY124" s="104"/>
      <c r="DZ124" s="104"/>
      <c r="EA124" s="104"/>
      <c r="EB124" s="104"/>
      <c r="EC124" s="104"/>
      <c r="ED124" s="104"/>
      <c r="EE124" s="104"/>
      <c r="EF124" s="104"/>
      <c r="EG124" s="104"/>
      <c r="EH124" s="104"/>
      <c r="EI124" s="104"/>
      <c r="EJ124" s="104"/>
      <c r="EK124" s="104"/>
      <c r="EL124" s="104"/>
      <c r="EM124" s="62"/>
      <c r="EN124" s="6"/>
      <c r="EO124" s="6"/>
      <c r="EP124" s="6"/>
      <c r="EQ124" s="6"/>
      <c r="ER124" s="6"/>
    </row>
    <row r="125" spans="1:162" x14ac:dyDescent="0.2">
      <c r="A125" s="143"/>
      <c r="B125" s="1139"/>
      <c r="C125" s="1141"/>
      <c r="D125" s="1134"/>
      <c r="E125" s="1086"/>
      <c r="F125" s="1079"/>
      <c r="G125" s="1077"/>
      <c r="H125" s="1077"/>
      <c r="I125" s="1077"/>
      <c r="J125" s="1079"/>
      <c r="K125" s="1077"/>
      <c r="L125" s="181"/>
      <c r="M125" s="186"/>
      <c r="N125" s="177"/>
      <c r="O125" s="177"/>
      <c r="P125" s="172"/>
      <c r="Q125" s="173"/>
      <c r="R125" s="173"/>
      <c r="S125" s="173"/>
      <c r="T125" s="173"/>
      <c r="U125" s="173"/>
      <c r="V125" s="174"/>
      <c r="W125" s="175"/>
      <c r="X125" s="1198"/>
      <c r="Y125" s="116"/>
      <c r="Z125" s="116"/>
      <c r="AA125" s="116"/>
      <c r="AB125" s="116"/>
      <c r="AC125" s="116"/>
      <c r="AD125" s="116"/>
      <c r="AE125" s="116"/>
      <c r="AF125" s="116"/>
      <c r="AG125" s="116"/>
      <c r="AH125" s="116"/>
      <c r="AI125" s="116"/>
      <c r="AJ125" s="116"/>
      <c r="AK125" s="117"/>
      <c r="AL125" s="117"/>
      <c r="AM125" s="117"/>
      <c r="AN125" s="117"/>
      <c r="AO125" s="116"/>
      <c r="AP125" s="116"/>
      <c r="AQ125" s="95"/>
      <c r="AR125" s="95"/>
      <c r="AS125" s="95"/>
      <c r="AT125" s="95"/>
      <c r="AU125" s="95"/>
      <c r="AV125" s="95"/>
      <c r="AW125" s="95"/>
      <c r="AX125" s="95"/>
      <c r="AY125" s="95"/>
      <c r="AZ125" s="95"/>
      <c r="BA125" s="95"/>
      <c r="BB125" s="95"/>
      <c r="BC125" s="95"/>
      <c r="BD125" s="95"/>
      <c r="BE125" s="95"/>
      <c r="BF125" s="96"/>
      <c r="BG125" s="97"/>
      <c r="BH125" s="98"/>
      <c r="BI125" s="98"/>
      <c r="BJ125" s="98"/>
      <c r="BK125" s="98"/>
      <c r="BL125" s="111"/>
      <c r="BM125" s="98"/>
      <c r="BN125" s="98"/>
      <c r="BO125" s="115"/>
      <c r="BP125" s="100"/>
      <c r="BQ125" s="100"/>
      <c r="BR125" s="100"/>
      <c r="BS125" s="100"/>
      <c r="BT125" s="100"/>
      <c r="BU125" s="50"/>
      <c r="BV125" s="101"/>
      <c r="BW125" s="101"/>
      <c r="BX125" s="101"/>
      <c r="BY125" s="101"/>
      <c r="BZ125" s="101"/>
      <c r="CA125" s="101"/>
      <c r="CB125" s="101"/>
      <c r="CC125" s="101"/>
      <c r="CD125" s="101"/>
      <c r="CE125" s="101"/>
      <c r="CF125" s="54"/>
      <c r="CG125" s="102"/>
      <c r="CH125" s="102"/>
      <c r="CI125" s="102"/>
      <c r="CJ125" s="102"/>
      <c r="CK125" s="102"/>
      <c r="CL125" s="102"/>
      <c r="CM125" s="102"/>
      <c r="CN125" s="102"/>
      <c r="CO125" s="102"/>
      <c r="CP125" s="102"/>
      <c r="CQ125" s="102"/>
      <c r="CR125" s="102"/>
      <c r="CS125" s="102"/>
      <c r="CT125" s="102"/>
      <c r="CU125" s="102"/>
      <c r="CV125" s="102"/>
      <c r="CW125" s="102"/>
      <c r="CX125" s="102"/>
      <c r="CY125" s="102"/>
      <c r="CZ125" s="102"/>
      <c r="DA125" s="102"/>
      <c r="DB125" s="58"/>
      <c r="DC125" s="101"/>
      <c r="DD125" s="101"/>
      <c r="DE125" s="101"/>
      <c r="DF125" s="101"/>
      <c r="DG125" s="101"/>
      <c r="DH125" s="101"/>
      <c r="DI125" s="101"/>
      <c r="DJ125" s="101"/>
      <c r="DK125" s="101"/>
      <c r="DL125" s="101"/>
      <c r="DM125" s="101"/>
      <c r="DN125" s="101"/>
      <c r="DO125" s="101"/>
      <c r="DP125" s="101"/>
      <c r="DQ125" s="101"/>
      <c r="DR125" s="101"/>
      <c r="DS125" s="101"/>
      <c r="DT125" s="101"/>
      <c r="DU125" s="101"/>
      <c r="DV125" s="101"/>
      <c r="DW125" s="101"/>
      <c r="DX125" s="103"/>
      <c r="DY125" s="104"/>
      <c r="DZ125" s="104"/>
      <c r="EA125" s="104"/>
      <c r="EB125" s="104"/>
      <c r="EC125" s="104"/>
      <c r="ED125" s="104"/>
      <c r="EE125" s="104"/>
      <c r="EF125" s="104"/>
      <c r="EG125" s="104"/>
      <c r="EH125" s="104"/>
      <c r="EI125" s="104"/>
      <c r="EJ125" s="104"/>
      <c r="EK125" s="104"/>
      <c r="EL125" s="104"/>
      <c r="EM125" s="62"/>
      <c r="EN125" s="6"/>
      <c r="EO125" s="6"/>
      <c r="EP125" s="6"/>
      <c r="EQ125" s="6"/>
      <c r="ER125" s="6"/>
    </row>
    <row r="126" spans="1:162" ht="13.5" thickBot="1" x14ac:dyDescent="0.25">
      <c r="A126" s="143"/>
      <c r="B126" s="1145"/>
      <c r="C126" s="1142"/>
      <c r="D126" s="1136"/>
      <c r="E126" s="1143"/>
      <c r="F126" s="1080"/>
      <c r="G126" s="1078"/>
      <c r="H126" s="1078"/>
      <c r="I126" s="1078"/>
      <c r="J126" s="1080"/>
      <c r="K126" s="1078"/>
      <c r="L126" s="180"/>
      <c r="M126" s="186"/>
      <c r="N126" s="177"/>
      <c r="O126" s="177"/>
      <c r="P126" s="172"/>
      <c r="Q126" s="173"/>
      <c r="R126" s="173"/>
      <c r="S126" s="173"/>
      <c r="T126" s="173"/>
      <c r="U126" s="173"/>
      <c r="V126" s="174"/>
      <c r="W126" s="175"/>
      <c r="X126" s="1199"/>
      <c r="Y126" s="116"/>
      <c r="Z126" s="116"/>
      <c r="AA126" s="116"/>
      <c r="AB126" s="116"/>
      <c r="AC126" s="116"/>
      <c r="AD126" s="116"/>
      <c r="AE126" s="116"/>
      <c r="AF126" s="116"/>
      <c r="AG126" s="116"/>
      <c r="AH126" s="116"/>
      <c r="AI126" s="116"/>
      <c r="AJ126" s="116"/>
      <c r="AK126" s="117"/>
      <c r="AL126" s="117"/>
      <c r="AM126" s="117"/>
      <c r="AN126" s="117"/>
      <c r="AO126" s="116"/>
      <c r="AP126" s="116"/>
      <c r="AQ126" s="95"/>
      <c r="AR126" s="95"/>
      <c r="AS126" s="95"/>
      <c r="AT126" s="95"/>
      <c r="AU126" s="95"/>
      <c r="AV126" s="95"/>
      <c r="AW126" s="95"/>
      <c r="AX126" s="95"/>
      <c r="AY126" s="95"/>
      <c r="AZ126" s="95"/>
      <c r="BA126" s="95"/>
      <c r="BB126" s="95"/>
      <c r="BC126" s="95"/>
      <c r="BD126" s="95"/>
      <c r="BE126" s="95"/>
      <c r="BF126" s="96"/>
      <c r="BG126" s="97"/>
      <c r="BH126" s="98"/>
      <c r="BI126" s="98"/>
      <c r="BJ126" s="98"/>
      <c r="BK126" s="98"/>
      <c r="BL126" s="111"/>
      <c r="BM126" s="98"/>
      <c r="BN126" s="98"/>
      <c r="BO126" s="115"/>
      <c r="BP126" s="100"/>
      <c r="BQ126" s="100"/>
      <c r="BR126" s="100"/>
      <c r="BS126" s="100"/>
      <c r="BT126" s="100"/>
      <c r="BU126" s="50"/>
      <c r="BV126" s="101"/>
      <c r="BW126" s="101"/>
      <c r="BX126" s="101"/>
      <c r="BY126" s="101"/>
      <c r="BZ126" s="101"/>
      <c r="CA126" s="101"/>
      <c r="CB126" s="101"/>
      <c r="CC126" s="101"/>
      <c r="CD126" s="101"/>
      <c r="CE126" s="101"/>
      <c r="CF126" s="54"/>
      <c r="CG126" s="102"/>
      <c r="CH126" s="102"/>
      <c r="CI126" s="102"/>
      <c r="CJ126" s="102"/>
      <c r="CK126" s="102"/>
      <c r="CL126" s="102"/>
      <c r="CM126" s="102"/>
      <c r="CN126" s="102"/>
      <c r="CO126" s="102"/>
      <c r="CP126" s="102"/>
      <c r="CQ126" s="102"/>
      <c r="CR126" s="102"/>
      <c r="CS126" s="102"/>
      <c r="CT126" s="102"/>
      <c r="CU126" s="102"/>
      <c r="CV126" s="102"/>
      <c r="CW126" s="102"/>
      <c r="CX126" s="102"/>
      <c r="CY126" s="102"/>
      <c r="CZ126" s="102"/>
      <c r="DA126" s="102"/>
      <c r="DB126" s="58"/>
      <c r="DC126" s="101"/>
      <c r="DD126" s="101"/>
      <c r="DE126" s="101"/>
      <c r="DF126" s="101"/>
      <c r="DG126" s="101"/>
      <c r="DH126" s="101"/>
      <c r="DI126" s="101"/>
      <c r="DJ126" s="101"/>
      <c r="DK126" s="101"/>
      <c r="DL126" s="101"/>
      <c r="DM126" s="101"/>
      <c r="DN126" s="101"/>
      <c r="DO126" s="101"/>
      <c r="DP126" s="101"/>
      <c r="DQ126" s="101"/>
      <c r="DR126" s="101"/>
      <c r="DS126" s="101"/>
      <c r="DT126" s="101"/>
      <c r="DU126" s="101"/>
      <c r="DV126" s="101"/>
      <c r="DW126" s="101"/>
      <c r="DX126" s="103"/>
      <c r="DY126" s="104"/>
      <c r="DZ126" s="104"/>
      <c r="EA126" s="104"/>
      <c r="EB126" s="104"/>
      <c r="EC126" s="104"/>
      <c r="ED126" s="104"/>
      <c r="EE126" s="104"/>
      <c r="EF126" s="104"/>
      <c r="EG126" s="104"/>
      <c r="EH126" s="104"/>
      <c r="EI126" s="104"/>
      <c r="EJ126" s="104"/>
      <c r="EK126" s="104"/>
      <c r="EL126" s="104"/>
      <c r="EM126" s="62"/>
      <c r="EN126" s="6"/>
      <c r="EO126" s="6"/>
      <c r="EP126" s="6"/>
      <c r="EQ126" s="6"/>
      <c r="ER126" s="6"/>
    </row>
    <row r="127" spans="1:162" x14ac:dyDescent="0.2">
      <c r="A127" s="1146" t="s">
        <v>103</v>
      </c>
      <c r="B127" s="1138" t="s">
        <v>102</v>
      </c>
      <c r="C127" s="1140" t="s">
        <v>101</v>
      </c>
      <c r="D127" s="1133"/>
      <c r="E127" s="1085"/>
      <c r="F127" s="1144"/>
      <c r="G127" s="1076" t="s">
        <v>349</v>
      </c>
      <c r="H127" s="1076" t="s">
        <v>327</v>
      </c>
      <c r="I127" s="1076"/>
      <c r="J127" s="1079">
        <f>Y127+AA127+AC127+AE127+AG127+AI127+AK127+AM127+AO127</f>
        <v>1</v>
      </c>
      <c r="K127" s="1076"/>
      <c r="L127" s="180"/>
      <c r="M127" s="186"/>
      <c r="N127" s="177"/>
      <c r="O127" s="177"/>
      <c r="P127" s="172"/>
      <c r="Q127" s="173"/>
      <c r="R127" s="173"/>
      <c r="S127" s="173"/>
      <c r="T127" s="173"/>
      <c r="U127" s="173"/>
      <c r="V127" s="174"/>
      <c r="W127" s="175"/>
      <c r="X127" s="1098" t="s">
        <v>328</v>
      </c>
      <c r="Y127" s="1081">
        <f>IF(HC="Y",IF(BF127="Y",Z127,0),0)</f>
        <v>0</v>
      </c>
      <c r="Z127" s="1081">
        <v>1</v>
      </c>
      <c r="AA127" s="1081">
        <f>IF(OFF="Y",IF(BN127="Y",AB127,0),0)</f>
        <v>1</v>
      </c>
      <c r="AB127" s="1081">
        <v>1</v>
      </c>
      <c r="AC127" s="1081">
        <f>IF(COURTS="Y",IF(BT127="Y",AD127,0),0)</f>
        <v>0</v>
      </c>
      <c r="AD127" s="1081">
        <v>1</v>
      </c>
      <c r="AE127" s="1081">
        <f>IF(PRISONS="Y",IF(CE127="Y",AF127,0),0)</f>
        <v>0</v>
      </c>
      <c r="AF127" s="1081">
        <v>1</v>
      </c>
      <c r="AG127" s="1081">
        <f>IF(RET="Y",IF(DA127="Y",AH127,0),0)</f>
        <v>0</v>
      </c>
      <c r="AH127" s="1081">
        <v>1</v>
      </c>
      <c r="AI127" s="1081">
        <f>IF(SCHOOLS="y",IF(DW127="y",AJ127,0),0)</f>
        <v>0</v>
      </c>
      <c r="AJ127" s="1081">
        <v>1</v>
      </c>
      <c r="AK127" s="1082">
        <f>IF(FE="y",IF(DW127="y",AL127,0),0)</f>
        <v>0</v>
      </c>
      <c r="AL127" s="1082">
        <v>1</v>
      </c>
      <c r="AM127" s="1082">
        <f>IF(HE="Y",IF(DW127="Y",AN127,0),0)</f>
        <v>0</v>
      </c>
      <c r="AN127" s="1082">
        <v>1</v>
      </c>
      <c r="AO127" s="1081">
        <f>IF(INDUSTRIAL="Y",IF(EL127="Y",AP127,0),0)</f>
        <v>0</v>
      </c>
      <c r="AP127" s="1081">
        <v>1</v>
      </c>
      <c r="AQ127" s="95">
        <v>1</v>
      </c>
      <c r="AR127" s="95"/>
      <c r="AS127" s="95"/>
      <c r="AT127" s="95"/>
      <c r="AU127" s="95"/>
      <c r="AV127" s="95"/>
      <c r="AW127" s="95"/>
      <c r="AX127" s="95"/>
      <c r="AY127" s="95"/>
      <c r="AZ127" s="95"/>
      <c r="BA127" s="95"/>
      <c r="BB127" s="95"/>
      <c r="BC127" s="95"/>
      <c r="BD127" s="95"/>
      <c r="BE127" s="95">
        <f t="shared" si="33"/>
        <v>1</v>
      </c>
      <c r="BF127" s="96" t="str">
        <f t="shared" si="34"/>
        <v>Y</v>
      </c>
      <c r="BG127" s="97"/>
      <c r="BH127" s="98">
        <v>1</v>
      </c>
      <c r="BI127" s="98"/>
      <c r="BJ127" s="98"/>
      <c r="BK127" s="98"/>
      <c r="BL127" s="111"/>
      <c r="BM127" s="98">
        <f t="shared" si="35"/>
        <v>1</v>
      </c>
      <c r="BN127" s="98" t="str">
        <f t="shared" si="36"/>
        <v>Y</v>
      </c>
      <c r="BO127" s="115"/>
      <c r="BP127" s="100">
        <v>1</v>
      </c>
      <c r="BQ127" s="100"/>
      <c r="BR127" s="100"/>
      <c r="BS127" s="100">
        <f t="shared" si="37"/>
        <v>1</v>
      </c>
      <c r="BT127" s="100" t="str">
        <f t="shared" si="38"/>
        <v>Y</v>
      </c>
      <c r="BU127" s="50"/>
      <c r="BV127" s="101">
        <v>1</v>
      </c>
      <c r="BW127" s="101"/>
      <c r="BX127" s="101"/>
      <c r="BY127" s="101"/>
      <c r="BZ127" s="101"/>
      <c r="CA127" s="101"/>
      <c r="CB127" s="101"/>
      <c r="CC127" s="101"/>
      <c r="CD127" s="101">
        <f t="shared" si="39"/>
        <v>1</v>
      </c>
      <c r="CE127" s="101" t="str">
        <f t="shared" si="40"/>
        <v>Y</v>
      </c>
      <c r="CF127" s="54"/>
      <c r="CG127" s="102"/>
      <c r="CH127" s="102"/>
      <c r="CI127" s="102"/>
      <c r="CJ127" s="102"/>
      <c r="CK127" s="102"/>
      <c r="CL127" s="102"/>
      <c r="CM127" s="102"/>
      <c r="CN127" s="102"/>
      <c r="CO127" s="102"/>
      <c r="CP127" s="102"/>
      <c r="CQ127" s="102"/>
      <c r="CR127" s="102"/>
      <c r="CS127" s="102"/>
      <c r="CT127" s="102"/>
      <c r="CU127" s="102"/>
      <c r="CV127" s="102" t="e">
        <v>#REF!</v>
      </c>
      <c r="CW127" s="102"/>
      <c r="CX127" s="102"/>
      <c r="CY127" s="102"/>
      <c r="CZ127" s="102" t="e">
        <f t="shared" si="41"/>
        <v>#REF!</v>
      </c>
      <c r="DA127" s="102" t="e">
        <f t="shared" si="42"/>
        <v>#REF!</v>
      </c>
      <c r="DB127" s="58"/>
      <c r="DC127" s="101">
        <v>1</v>
      </c>
      <c r="DD127" s="101"/>
      <c r="DE127" s="101"/>
      <c r="DF127" s="101"/>
      <c r="DG127" s="101"/>
      <c r="DH127" s="101"/>
      <c r="DI127" s="101"/>
      <c r="DJ127" s="101"/>
      <c r="DK127" s="101"/>
      <c r="DL127" s="101"/>
      <c r="DM127" s="101"/>
      <c r="DN127" s="101"/>
      <c r="DO127" s="101"/>
      <c r="DP127" s="101"/>
      <c r="DQ127" s="101"/>
      <c r="DR127" s="101"/>
      <c r="DS127" s="101"/>
      <c r="DT127" s="101"/>
      <c r="DU127" s="101"/>
      <c r="DV127" s="101">
        <f t="shared" si="43"/>
        <v>1</v>
      </c>
      <c r="DW127" s="101" t="str">
        <f t="shared" ref="DW127:DW155" si="47">IF(DV127&gt;=0.1,"Y","N")</f>
        <v>Y</v>
      </c>
      <c r="DX127" s="103"/>
      <c r="DY127" s="104"/>
      <c r="DZ127" s="104"/>
      <c r="EA127" s="104"/>
      <c r="EB127" s="104"/>
      <c r="EC127" s="104"/>
      <c r="ED127" s="104"/>
      <c r="EE127" s="104" t="e">
        <v>#REF!</v>
      </c>
      <c r="EF127" s="104"/>
      <c r="EG127" s="104"/>
      <c r="EH127" s="104"/>
      <c r="EI127" s="104"/>
      <c r="EJ127" s="104"/>
      <c r="EK127" s="104" t="e">
        <f t="shared" si="45"/>
        <v>#REF!</v>
      </c>
      <c r="EL127" s="104" t="e">
        <f t="shared" si="46"/>
        <v>#REF!</v>
      </c>
      <c r="EM127" s="62"/>
      <c r="EN127" s="6"/>
      <c r="EO127" s="6"/>
      <c r="EP127" s="6"/>
      <c r="EQ127" s="6"/>
      <c r="ER127" s="6"/>
    </row>
    <row r="128" spans="1:162" x14ac:dyDescent="0.2">
      <c r="A128" s="1147"/>
      <c r="B128" s="1139"/>
      <c r="C128" s="1141"/>
      <c r="D128" s="1134"/>
      <c r="E128" s="1086"/>
      <c r="F128" s="1079"/>
      <c r="G128" s="1077"/>
      <c r="H128" s="1077"/>
      <c r="I128" s="1077"/>
      <c r="J128" s="1079"/>
      <c r="K128" s="1077"/>
      <c r="L128" s="181"/>
      <c r="M128" s="186"/>
      <c r="N128" s="177"/>
      <c r="O128" s="177"/>
      <c r="P128" s="172"/>
      <c r="Q128" s="173"/>
      <c r="R128" s="173"/>
      <c r="S128" s="173"/>
      <c r="T128" s="173"/>
      <c r="U128" s="173"/>
      <c r="V128" s="174"/>
      <c r="W128" s="175"/>
      <c r="X128" s="1099"/>
      <c r="Y128" s="1081"/>
      <c r="Z128" s="1081"/>
      <c r="AA128" s="1081"/>
      <c r="AB128" s="1081"/>
      <c r="AC128" s="1081"/>
      <c r="AD128" s="1081"/>
      <c r="AE128" s="1081"/>
      <c r="AF128" s="1081"/>
      <c r="AG128" s="1081"/>
      <c r="AH128" s="1081"/>
      <c r="AI128" s="1081"/>
      <c r="AJ128" s="1081"/>
      <c r="AK128" s="1082"/>
      <c r="AL128" s="1082"/>
      <c r="AM128" s="1082"/>
      <c r="AN128" s="1082"/>
      <c r="AO128" s="1081"/>
      <c r="AP128" s="1081"/>
      <c r="AQ128" s="95">
        <v>1</v>
      </c>
      <c r="AR128" s="95"/>
      <c r="AS128" s="95"/>
      <c r="AT128" s="95"/>
      <c r="AU128" s="95"/>
      <c r="AV128" s="95"/>
      <c r="AW128" s="95"/>
      <c r="AX128" s="95"/>
      <c r="AY128" s="95"/>
      <c r="AZ128" s="95"/>
      <c r="BA128" s="95"/>
      <c r="BB128" s="95"/>
      <c r="BC128" s="95"/>
      <c r="BD128" s="95"/>
      <c r="BE128" s="95">
        <f t="shared" si="33"/>
        <v>1</v>
      </c>
      <c r="BF128" s="96" t="str">
        <f t="shared" si="34"/>
        <v>Y</v>
      </c>
      <c r="BG128" s="97"/>
      <c r="BH128" s="98">
        <v>1</v>
      </c>
      <c r="BI128" s="98"/>
      <c r="BJ128" s="98"/>
      <c r="BK128" s="98"/>
      <c r="BL128" s="111"/>
      <c r="BM128" s="98">
        <f t="shared" si="35"/>
        <v>1</v>
      </c>
      <c r="BN128" s="98" t="str">
        <f t="shared" si="36"/>
        <v>Y</v>
      </c>
      <c r="BO128" s="115"/>
      <c r="BP128" s="100">
        <v>1</v>
      </c>
      <c r="BQ128" s="100"/>
      <c r="BR128" s="100"/>
      <c r="BS128" s="100">
        <f t="shared" si="37"/>
        <v>1</v>
      </c>
      <c r="BT128" s="100" t="str">
        <f t="shared" si="38"/>
        <v>Y</v>
      </c>
      <c r="BU128" s="50"/>
      <c r="BV128" s="101">
        <v>1</v>
      </c>
      <c r="BW128" s="101"/>
      <c r="BX128" s="101"/>
      <c r="BY128" s="101"/>
      <c r="BZ128" s="101"/>
      <c r="CA128" s="101"/>
      <c r="CB128" s="101"/>
      <c r="CC128" s="101"/>
      <c r="CD128" s="101">
        <f t="shared" si="39"/>
        <v>1</v>
      </c>
      <c r="CE128" s="101" t="str">
        <f t="shared" si="40"/>
        <v>Y</v>
      </c>
      <c r="CF128" s="54"/>
      <c r="CG128" s="102"/>
      <c r="CH128" s="102"/>
      <c r="CI128" s="102"/>
      <c r="CJ128" s="102"/>
      <c r="CK128" s="102"/>
      <c r="CL128" s="102"/>
      <c r="CM128" s="102"/>
      <c r="CN128" s="102"/>
      <c r="CO128" s="102"/>
      <c r="CP128" s="102"/>
      <c r="CQ128" s="102"/>
      <c r="CR128" s="102"/>
      <c r="CS128" s="102"/>
      <c r="CT128" s="102"/>
      <c r="CU128" s="102"/>
      <c r="CV128" s="102" t="e">
        <v>#REF!</v>
      </c>
      <c r="CW128" s="102"/>
      <c r="CX128" s="102"/>
      <c r="CY128" s="102"/>
      <c r="CZ128" s="102" t="e">
        <f t="shared" si="41"/>
        <v>#REF!</v>
      </c>
      <c r="DA128" s="102" t="e">
        <f t="shared" si="42"/>
        <v>#REF!</v>
      </c>
      <c r="DB128" s="58"/>
      <c r="DC128" s="101">
        <v>1</v>
      </c>
      <c r="DD128" s="101"/>
      <c r="DE128" s="101"/>
      <c r="DF128" s="101"/>
      <c r="DG128" s="101"/>
      <c r="DH128" s="101"/>
      <c r="DI128" s="101"/>
      <c r="DJ128" s="101"/>
      <c r="DK128" s="101"/>
      <c r="DL128" s="101"/>
      <c r="DM128" s="101"/>
      <c r="DN128" s="101"/>
      <c r="DO128" s="101"/>
      <c r="DP128" s="101"/>
      <c r="DQ128" s="101"/>
      <c r="DR128" s="101"/>
      <c r="DS128" s="101"/>
      <c r="DT128" s="101"/>
      <c r="DU128" s="101"/>
      <c r="DV128" s="101">
        <f t="shared" si="43"/>
        <v>1</v>
      </c>
      <c r="DW128" s="101" t="str">
        <f t="shared" si="47"/>
        <v>Y</v>
      </c>
      <c r="DX128" s="103"/>
      <c r="DY128" s="104"/>
      <c r="DZ128" s="104"/>
      <c r="EA128" s="104"/>
      <c r="EB128" s="104"/>
      <c r="EC128" s="104"/>
      <c r="ED128" s="104"/>
      <c r="EE128" s="104" t="e">
        <v>#REF!</v>
      </c>
      <c r="EF128" s="104"/>
      <c r="EG128" s="104"/>
      <c r="EH128" s="104"/>
      <c r="EI128" s="104"/>
      <c r="EJ128" s="104"/>
      <c r="EK128" s="104" t="e">
        <f t="shared" si="45"/>
        <v>#REF!</v>
      </c>
      <c r="EL128" s="104" t="e">
        <f t="shared" si="46"/>
        <v>#REF!</v>
      </c>
      <c r="EM128" s="62"/>
      <c r="EN128" s="6"/>
      <c r="EO128" s="6"/>
      <c r="EP128" s="6"/>
      <c r="EQ128" s="6"/>
      <c r="ER128" s="6"/>
    </row>
    <row r="129" spans="1:148" ht="13.5" thickBot="1" x14ac:dyDescent="0.25">
      <c r="A129" s="1147"/>
      <c r="B129" s="1139"/>
      <c r="C129" s="1141"/>
      <c r="D129" s="1134"/>
      <c r="E129" s="1143"/>
      <c r="F129" s="1080"/>
      <c r="G129" s="1078"/>
      <c r="H129" s="1078"/>
      <c r="I129" s="1078"/>
      <c r="J129" s="1080"/>
      <c r="K129" s="1078"/>
      <c r="L129" s="180"/>
      <c r="M129" s="186"/>
      <c r="N129" s="177"/>
      <c r="O129" s="177"/>
      <c r="P129" s="172"/>
      <c r="Q129" s="173"/>
      <c r="R129" s="173"/>
      <c r="S129" s="173"/>
      <c r="T129" s="173"/>
      <c r="U129" s="173"/>
      <c r="V129" s="174"/>
      <c r="W129" s="175"/>
      <c r="X129" s="1100"/>
      <c r="Y129" s="1081"/>
      <c r="Z129" s="1081"/>
      <c r="AA129" s="1081"/>
      <c r="AB129" s="1081"/>
      <c r="AC129" s="1081"/>
      <c r="AD129" s="1081"/>
      <c r="AE129" s="1081"/>
      <c r="AF129" s="1081"/>
      <c r="AG129" s="1081"/>
      <c r="AH129" s="1081"/>
      <c r="AI129" s="1081"/>
      <c r="AJ129" s="1081"/>
      <c r="AK129" s="1082"/>
      <c r="AL129" s="1082"/>
      <c r="AM129" s="1082"/>
      <c r="AN129" s="1082"/>
      <c r="AO129" s="1081"/>
      <c r="AP129" s="1081"/>
      <c r="AQ129" s="95">
        <v>1</v>
      </c>
      <c r="AR129" s="95"/>
      <c r="AS129" s="95"/>
      <c r="AT129" s="95"/>
      <c r="AU129" s="95"/>
      <c r="AV129" s="95"/>
      <c r="AW129" s="95"/>
      <c r="AX129" s="95"/>
      <c r="AY129" s="95"/>
      <c r="AZ129" s="95"/>
      <c r="BA129" s="95"/>
      <c r="BB129" s="95"/>
      <c r="BC129" s="95"/>
      <c r="BD129" s="95"/>
      <c r="BE129" s="95">
        <f t="shared" si="33"/>
        <v>1</v>
      </c>
      <c r="BF129" s="96" t="str">
        <f t="shared" si="34"/>
        <v>Y</v>
      </c>
      <c r="BG129" s="97"/>
      <c r="BH129" s="98">
        <v>1</v>
      </c>
      <c r="BI129" s="98"/>
      <c r="BJ129" s="98"/>
      <c r="BK129" s="98"/>
      <c r="BL129" s="111"/>
      <c r="BM129" s="98">
        <f t="shared" si="35"/>
        <v>1</v>
      </c>
      <c r="BN129" s="98" t="str">
        <f t="shared" si="36"/>
        <v>Y</v>
      </c>
      <c r="BO129" s="115"/>
      <c r="BP129" s="100">
        <v>1</v>
      </c>
      <c r="BQ129" s="100"/>
      <c r="BR129" s="100"/>
      <c r="BS129" s="100">
        <f t="shared" si="37"/>
        <v>1</v>
      </c>
      <c r="BT129" s="100" t="str">
        <f t="shared" si="38"/>
        <v>Y</v>
      </c>
      <c r="BU129" s="50"/>
      <c r="BV129" s="101">
        <v>1</v>
      </c>
      <c r="BW129" s="101"/>
      <c r="BX129" s="101"/>
      <c r="BY129" s="101"/>
      <c r="BZ129" s="101"/>
      <c r="CA129" s="101"/>
      <c r="CB129" s="101"/>
      <c r="CC129" s="101"/>
      <c r="CD129" s="101">
        <f t="shared" si="39"/>
        <v>1</v>
      </c>
      <c r="CE129" s="101" t="str">
        <f t="shared" si="40"/>
        <v>Y</v>
      </c>
      <c r="CF129" s="54"/>
      <c r="CG129" s="102"/>
      <c r="CH129" s="102"/>
      <c r="CI129" s="102"/>
      <c r="CJ129" s="102"/>
      <c r="CK129" s="102"/>
      <c r="CL129" s="102"/>
      <c r="CM129" s="102"/>
      <c r="CN129" s="102"/>
      <c r="CO129" s="102"/>
      <c r="CP129" s="102"/>
      <c r="CQ129" s="102"/>
      <c r="CR129" s="102"/>
      <c r="CS129" s="102"/>
      <c r="CT129" s="102"/>
      <c r="CU129" s="102"/>
      <c r="CV129" s="102" t="e">
        <v>#REF!</v>
      </c>
      <c r="CW129" s="102"/>
      <c r="CX129" s="102"/>
      <c r="CY129" s="102"/>
      <c r="CZ129" s="102" t="e">
        <f t="shared" si="41"/>
        <v>#REF!</v>
      </c>
      <c r="DA129" s="102" t="e">
        <f t="shared" si="42"/>
        <v>#REF!</v>
      </c>
      <c r="DB129" s="58"/>
      <c r="DC129" s="101">
        <v>1</v>
      </c>
      <c r="DD129" s="101"/>
      <c r="DE129" s="101"/>
      <c r="DF129" s="101"/>
      <c r="DG129" s="101"/>
      <c r="DH129" s="101"/>
      <c r="DI129" s="101"/>
      <c r="DJ129" s="101"/>
      <c r="DK129" s="101"/>
      <c r="DL129" s="101"/>
      <c r="DM129" s="101"/>
      <c r="DN129" s="101"/>
      <c r="DO129" s="101"/>
      <c r="DP129" s="101"/>
      <c r="DQ129" s="101"/>
      <c r="DR129" s="101"/>
      <c r="DS129" s="101"/>
      <c r="DT129" s="101"/>
      <c r="DU129" s="101"/>
      <c r="DV129" s="101">
        <f t="shared" si="43"/>
        <v>1</v>
      </c>
      <c r="DW129" s="101" t="str">
        <f t="shared" si="47"/>
        <v>Y</v>
      </c>
      <c r="DX129" s="103"/>
      <c r="DY129" s="104"/>
      <c r="DZ129" s="104"/>
      <c r="EA129" s="104"/>
      <c r="EB129" s="104"/>
      <c r="EC129" s="104"/>
      <c r="ED129" s="104"/>
      <c r="EE129" s="104" t="e">
        <v>#REF!</v>
      </c>
      <c r="EF129" s="104"/>
      <c r="EG129" s="104"/>
      <c r="EH129" s="104"/>
      <c r="EI129" s="104"/>
      <c r="EJ129" s="104"/>
      <c r="EK129" s="104" t="e">
        <f t="shared" si="45"/>
        <v>#REF!</v>
      </c>
      <c r="EL129" s="104" t="e">
        <f t="shared" si="46"/>
        <v>#REF!</v>
      </c>
      <c r="EM129" s="62"/>
      <c r="EN129" s="6"/>
      <c r="EO129" s="6"/>
      <c r="EP129" s="6"/>
      <c r="EQ129" s="6"/>
      <c r="ER129" s="6"/>
    </row>
    <row r="130" spans="1:148" x14ac:dyDescent="0.2">
      <c r="A130" s="1147"/>
      <c r="B130" s="1149" t="s">
        <v>100</v>
      </c>
      <c r="C130" s="1152" t="s">
        <v>99</v>
      </c>
      <c r="D130" s="1155"/>
      <c r="E130" s="1085"/>
      <c r="F130" s="1144"/>
      <c r="G130" s="1076" t="s">
        <v>349</v>
      </c>
      <c r="H130" s="1076" t="s">
        <v>274</v>
      </c>
      <c r="I130" s="1076"/>
      <c r="J130" s="1079">
        <f>Y130+AA130+AC130+AE130+AG130+AI130+AK130+AM130+AO130</f>
        <v>1</v>
      </c>
      <c r="K130" s="1076"/>
      <c r="L130" s="180"/>
      <c r="M130" s="186"/>
      <c r="N130" s="177"/>
      <c r="O130" s="177"/>
      <c r="P130" s="172"/>
      <c r="Q130" s="173"/>
      <c r="R130" s="173"/>
      <c r="S130" s="173"/>
      <c r="T130" s="173"/>
      <c r="U130" s="173"/>
      <c r="V130" s="174"/>
      <c r="W130" s="175"/>
      <c r="X130" s="1098" t="s">
        <v>364</v>
      </c>
      <c r="Y130" s="1081">
        <f>IF(HC="Y",IF(BF130="Y",Z130,0),0)</f>
        <v>0</v>
      </c>
      <c r="Z130" s="1081">
        <v>1</v>
      </c>
      <c r="AA130" s="1081">
        <f>IF(OFF="Y",IF(BN130="Y",AB130,0),0)</f>
        <v>1</v>
      </c>
      <c r="AB130" s="1081">
        <v>1</v>
      </c>
      <c r="AC130" s="1081">
        <f>IF(COURTS="Y",IF(BT130="Y",AD130,0),0)</f>
        <v>0</v>
      </c>
      <c r="AD130" s="1081">
        <v>1</v>
      </c>
      <c r="AE130" s="1081">
        <f>IF(PRISONS="Y",IF(CE130="Y",AF130,0),0)</f>
        <v>0</v>
      </c>
      <c r="AF130" s="1081">
        <v>1</v>
      </c>
      <c r="AG130" s="1081">
        <f>IF(RET="Y",IF(DA130="Y",AH130,0),0)</f>
        <v>0</v>
      </c>
      <c r="AH130" s="1081">
        <v>1</v>
      </c>
      <c r="AI130" s="1081">
        <f>IF(SCHOOLS="y",IF(DW130="y",AJ130,0),0)</f>
        <v>0</v>
      </c>
      <c r="AJ130" s="1081">
        <v>1</v>
      </c>
      <c r="AK130" s="1082">
        <f>IF(FE="y",IF(DW130="y",AL130,0),0)</f>
        <v>0</v>
      </c>
      <c r="AL130" s="1082">
        <v>1</v>
      </c>
      <c r="AM130" s="1082">
        <f>IF(HE="Y",IF(DW130="Y",AN130,0),0)</f>
        <v>0</v>
      </c>
      <c r="AN130" s="1082">
        <v>1</v>
      </c>
      <c r="AO130" s="1081">
        <f>IF(INDUSTRIAL="Y",IF(EL130="Y",AP130,0),0)</f>
        <v>0</v>
      </c>
      <c r="AP130" s="1081">
        <v>1</v>
      </c>
      <c r="AQ130" s="95">
        <v>1</v>
      </c>
      <c r="AR130" s="95"/>
      <c r="AS130" s="95"/>
      <c r="AT130" s="95"/>
      <c r="AU130" s="95"/>
      <c r="AV130" s="95"/>
      <c r="AW130" s="95"/>
      <c r="AX130" s="95"/>
      <c r="AY130" s="95"/>
      <c r="AZ130" s="95"/>
      <c r="BA130" s="95"/>
      <c r="BB130" s="95"/>
      <c r="BC130" s="95"/>
      <c r="BD130" s="95"/>
      <c r="BE130" s="95">
        <f t="shared" si="33"/>
        <v>1</v>
      </c>
      <c r="BF130" s="96" t="str">
        <f t="shared" si="34"/>
        <v>Y</v>
      </c>
      <c r="BG130" s="97"/>
      <c r="BH130" s="98">
        <v>1</v>
      </c>
      <c r="BI130" s="98"/>
      <c r="BJ130" s="98"/>
      <c r="BK130" s="98"/>
      <c r="BL130" s="111"/>
      <c r="BM130" s="98">
        <f t="shared" si="35"/>
        <v>1</v>
      </c>
      <c r="BN130" s="98" t="str">
        <f t="shared" si="36"/>
        <v>Y</v>
      </c>
      <c r="BO130" s="115"/>
      <c r="BP130" s="100">
        <v>1</v>
      </c>
      <c r="BQ130" s="100"/>
      <c r="BR130" s="100"/>
      <c r="BS130" s="100">
        <f t="shared" si="37"/>
        <v>1</v>
      </c>
      <c r="BT130" s="100" t="str">
        <f t="shared" si="38"/>
        <v>Y</v>
      </c>
      <c r="BU130" s="50"/>
      <c r="BV130" s="101">
        <v>1</v>
      </c>
      <c r="BW130" s="101"/>
      <c r="BX130" s="101"/>
      <c r="BY130" s="101"/>
      <c r="BZ130" s="101"/>
      <c r="CA130" s="101"/>
      <c r="CB130" s="101"/>
      <c r="CC130" s="101"/>
      <c r="CD130" s="101">
        <f t="shared" si="39"/>
        <v>1</v>
      </c>
      <c r="CE130" s="101" t="str">
        <f t="shared" si="40"/>
        <v>Y</v>
      </c>
      <c r="CF130" s="54"/>
      <c r="CG130" s="102">
        <v>1</v>
      </c>
      <c r="CH130" s="102"/>
      <c r="CI130" s="102"/>
      <c r="CJ130" s="102"/>
      <c r="CK130" s="102"/>
      <c r="CL130" s="102"/>
      <c r="CM130" s="102"/>
      <c r="CN130" s="102"/>
      <c r="CO130" s="102"/>
      <c r="CP130" s="102"/>
      <c r="CQ130" s="102"/>
      <c r="CR130" s="102"/>
      <c r="CS130" s="102"/>
      <c r="CT130" s="102"/>
      <c r="CU130" s="102"/>
      <c r="CV130" s="102"/>
      <c r="CW130" s="102"/>
      <c r="CX130" s="102"/>
      <c r="CY130" s="102"/>
      <c r="CZ130" s="102">
        <f t="shared" si="41"/>
        <v>1</v>
      </c>
      <c r="DA130" s="102" t="str">
        <f t="shared" si="42"/>
        <v>Y</v>
      </c>
      <c r="DB130" s="58"/>
      <c r="DC130" s="101">
        <v>1</v>
      </c>
      <c r="DD130" s="101"/>
      <c r="DE130" s="101"/>
      <c r="DF130" s="101"/>
      <c r="DG130" s="101"/>
      <c r="DH130" s="101"/>
      <c r="DI130" s="101"/>
      <c r="DJ130" s="101"/>
      <c r="DK130" s="101"/>
      <c r="DL130" s="101"/>
      <c r="DM130" s="101"/>
      <c r="DN130" s="101"/>
      <c r="DO130" s="101"/>
      <c r="DP130" s="101"/>
      <c r="DQ130" s="101"/>
      <c r="DR130" s="101"/>
      <c r="DS130" s="101"/>
      <c r="DT130" s="101"/>
      <c r="DU130" s="101"/>
      <c r="DV130" s="101">
        <f t="shared" si="43"/>
        <v>1</v>
      </c>
      <c r="DW130" s="101" t="str">
        <f t="shared" si="47"/>
        <v>Y</v>
      </c>
      <c r="DX130" s="103"/>
      <c r="DY130" s="104">
        <v>1</v>
      </c>
      <c r="DZ130" s="104"/>
      <c r="EA130" s="104"/>
      <c r="EB130" s="104"/>
      <c r="EC130" s="104"/>
      <c r="ED130" s="104"/>
      <c r="EE130" s="104"/>
      <c r="EF130" s="104"/>
      <c r="EG130" s="104"/>
      <c r="EH130" s="104"/>
      <c r="EI130" s="104"/>
      <c r="EJ130" s="104"/>
      <c r="EK130" s="104">
        <f t="shared" si="45"/>
        <v>1</v>
      </c>
      <c r="EL130" s="104" t="str">
        <f t="shared" si="46"/>
        <v>Y</v>
      </c>
      <c r="EM130" s="62"/>
      <c r="EN130" s="6"/>
      <c r="EO130" s="6"/>
      <c r="EP130" s="6"/>
      <c r="EQ130" s="6"/>
      <c r="ER130" s="6"/>
    </row>
    <row r="131" spans="1:148" x14ac:dyDescent="0.2">
      <c r="A131" s="1147"/>
      <c r="B131" s="1150"/>
      <c r="C131" s="1153"/>
      <c r="D131" s="1156"/>
      <c r="E131" s="1086"/>
      <c r="F131" s="1079"/>
      <c r="G131" s="1077"/>
      <c r="H131" s="1077"/>
      <c r="I131" s="1077"/>
      <c r="J131" s="1079"/>
      <c r="K131" s="1077"/>
      <c r="L131" s="181"/>
      <c r="M131" s="186"/>
      <c r="N131" s="177"/>
      <c r="O131" s="177"/>
      <c r="P131" s="172"/>
      <c r="Q131" s="173"/>
      <c r="R131" s="173"/>
      <c r="S131" s="173"/>
      <c r="T131" s="173"/>
      <c r="U131" s="173"/>
      <c r="V131" s="174"/>
      <c r="W131" s="175"/>
      <c r="X131" s="1099"/>
      <c r="Y131" s="1081"/>
      <c r="Z131" s="1081"/>
      <c r="AA131" s="1081"/>
      <c r="AB131" s="1081"/>
      <c r="AC131" s="1081"/>
      <c r="AD131" s="1081"/>
      <c r="AE131" s="1081"/>
      <c r="AF131" s="1081"/>
      <c r="AG131" s="1081"/>
      <c r="AH131" s="1081"/>
      <c r="AI131" s="1081"/>
      <c r="AJ131" s="1081"/>
      <c r="AK131" s="1082"/>
      <c r="AL131" s="1082"/>
      <c r="AM131" s="1082"/>
      <c r="AN131" s="1082"/>
      <c r="AO131" s="1081"/>
      <c r="AP131" s="1081"/>
      <c r="AQ131" s="95">
        <v>1</v>
      </c>
      <c r="AR131" s="95"/>
      <c r="AS131" s="95"/>
      <c r="AT131" s="95"/>
      <c r="AU131" s="95"/>
      <c r="AV131" s="95"/>
      <c r="AW131" s="95"/>
      <c r="AX131" s="95"/>
      <c r="AY131" s="95"/>
      <c r="AZ131" s="95"/>
      <c r="BA131" s="95"/>
      <c r="BB131" s="95"/>
      <c r="BC131" s="95"/>
      <c r="BD131" s="95"/>
      <c r="BE131" s="95">
        <f t="shared" si="33"/>
        <v>1</v>
      </c>
      <c r="BF131" s="96" t="str">
        <f t="shared" si="34"/>
        <v>Y</v>
      </c>
      <c r="BG131" s="97"/>
      <c r="BH131" s="98">
        <v>1</v>
      </c>
      <c r="BI131" s="98"/>
      <c r="BJ131" s="98"/>
      <c r="BK131" s="98"/>
      <c r="BL131" s="111"/>
      <c r="BM131" s="98">
        <f t="shared" si="35"/>
        <v>1</v>
      </c>
      <c r="BN131" s="98" t="str">
        <f t="shared" si="36"/>
        <v>Y</v>
      </c>
      <c r="BO131" s="115"/>
      <c r="BP131" s="100">
        <v>1</v>
      </c>
      <c r="BQ131" s="100"/>
      <c r="BR131" s="100"/>
      <c r="BS131" s="100">
        <f t="shared" si="37"/>
        <v>1</v>
      </c>
      <c r="BT131" s="100" t="str">
        <f t="shared" si="38"/>
        <v>Y</v>
      </c>
      <c r="BU131" s="50"/>
      <c r="BV131" s="101">
        <v>1</v>
      </c>
      <c r="BW131" s="101"/>
      <c r="BX131" s="101"/>
      <c r="BY131" s="101"/>
      <c r="BZ131" s="101"/>
      <c r="CA131" s="101"/>
      <c r="CB131" s="101"/>
      <c r="CC131" s="101"/>
      <c r="CD131" s="101">
        <f t="shared" si="39"/>
        <v>1</v>
      </c>
      <c r="CE131" s="101" t="str">
        <f t="shared" si="40"/>
        <v>Y</v>
      </c>
      <c r="CF131" s="54"/>
      <c r="CG131" s="102">
        <v>1</v>
      </c>
      <c r="CH131" s="102"/>
      <c r="CI131" s="102"/>
      <c r="CJ131" s="102"/>
      <c r="CK131" s="102"/>
      <c r="CL131" s="102"/>
      <c r="CM131" s="102"/>
      <c r="CN131" s="102"/>
      <c r="CO131" s="102"/>
      <c r="CP131" s="102"/>
      <c r="CQ131" s="102"/>
      <c r="CR131" s="102"/>
      <c r="CS131" s="102"/>
      <c r="CT131" s="102"/>
      <c r="CU131" s="102"/>
      <c r="CV131" s="102"/>
      <c r="CW131" s="102"/>
      <c r="CX131" s="102"/>
      <c r="CY131" s="102"/>
      <c r="CZ131" s="102">
        <f t="shared" si="41"/>
        <v>1</v>
      </c>
      <c r="DA131" s="102" t="str">
        <f t="shared" si="42"/>
        <v>Y</v>
      </c>
      <c r="DB131" s="58"/>
      <c r="DC131" s="101">
        <v>1</v>
      </c>
      <c r="DD131" s="101"/>
      <c r="DE131" s="101"/>
      <c r="DF131" s="101"/>
      <c r="DG131" s="101"/>
      <c r="DH131" s="101"/>
      <c r="DI131" s="101"/>
      <c r="DJ131" s="101"/>
      <c r="DK131" s="101"/>
      <c r="DL131" s="101"/>
      <c r="DM131" s="101"/>
      <c r="DN131" s="101"/>
      <c r="DO131" s="101"/>
      <c r="DP131" s="101"/>
      <c r="DQ131" s="101"/>
      <c r="DR131" s="101"/>
      <c r="DS131" s="101"/>
      <c r="DT131" s="101"/>
      <c r="DU131" s="101"/>
      <c r="DV131" s="101">
        <f t="shared" si="43"/>
        <v>1</v>
      </c>
      <c r="DW131" s="101" t="str">
        <f t="shared" si="47"/>
        <v>Y</v>
      </c>
      <c r="DX131" s="103"/>
      <c r="DY131" s="104">
        <v>1</v>
      </c>
      <c r="DZ131" s="104"/>
      <c r="EA131" s="104"/>
      <c r="EB131" s="104"/>
      <c r="EC131" s="104"/>
      <c r="ED131" s="104"/>
      <c r="EE131" s="104"/>
      <c r="EF131" s="104"/>
      <c r="EG131" s="104"/>
      <c r="EH131" s="104"/>
      <c r="EI131" s="104"/>
      <c r="EJ131" s="104"/>
      <c r="EK131" s="104">
        <f t="shared" si="45"/>
        <v>1</v>
      </c>
      <c r="EL131" s="104" t="str">
        <f t="shared" si="46"/>
        <v>Y</v>
      </c>
      <c r="EM131" s="62"/>
      <c r="EN131" s="6"/>
      <c r="EO131" s="6"/>
      <c r="EP131" s="6"/>
      <c r="EQ131" s="6"/>
      <c r="ER131" s="6"/>
    </row>
    <row r="132" spans="1:148" ht="13.5" thickBot="1" x14ac:dyDescent="0.25">
      <c r="A132" s="1147"/>
      <c r="B132" s="1151"/>
      <c r="C132" s="1154"/>
      <c r="D132" s="1157"/>
      <c r="E132" s="1143"/>
      <c r="F132" s="1080"/>
      <c r="G132" s="1078"/>
      <c r="H132" s="1078"/>
      <c r="I132" s="1078"/>
      <c r="J132" s="1080"/>
      <c r="K132" s="1078"/>
      <c r="L132" s="180"/>
      <c r="M132" s="186"/>
      <c r="N132" s="177"/>
      <c r="O132" s="177"/>
      <c r="P132" s="172"/>
      <c r="Q132" s="173"/>
      <c r="R132" s="173"/>
      <c r="S132" s="173"/>
      <c r="T132" s="173"/>
      <c r="U132" s="173"/>
      <c r="V132" s="174"/>
      <c r="W132" s="175"/>
      <c r="X132" s="1100"/>
      <c r="Y132" s="1081"/>
      <c r="Z132" s="1081"/>
      <c r="AA132" s="1081"/>
      <c r="AB132" s="1081"/>
      <c r="AC132" s="1081"/>
      <c r="AD132" s="1081"/>
      <c r="AE132" s="1081"/>
      <c r="AF132" s="1081"/>
      <c r="AG132" s="1081"/>
      <c r="AH132" s="1081"/>
      <c r="AI132" s="1081"/>
      <c r="AJ132" s="1081"/>
      <c r="AK132" s="1082"/>
      <c r="AL132" s="1082"/>
      <c r="AM132" s="1082"/>
      <c r="AN132" s="1082"/>
      <c r="AO132" s="1081"/>
      <c r="AP132" s="1081"/>
      <c r="AQ132" s="95">
        <v>1</v>
      </c>
      <c r="AR132" s="95"/>
      <c r="AS132" s="95"/>
      <c r="AT132" s="95"/>
      <c r="AU132" s="95"/>
      <c r="AV132" s="95"/>
      <c r="AW132" s="95"/>
      <c r="AX132" s="95"/>
      <c r="AY132" s="95"/>
      <c r="AZ132" s="95"/>
      <c r="BA132" s="95"/>
      <c r="BB132" s="95"/>
      <c r="BC132" s="95"/>
      <c r="BD132" s="95"/>
      <c r="BE132" s="95">
        <f t="shared" si="33"/>
        <v>1</v>
      </c>
      <c r="BF132" s="96" t="str">
        <f t="shared" si="34"/>
        <v>Y</v>
      </c>
      <c r="BG132" s="97"/>
      <c r="BH132" s="98">
        <v>1</v>
      </c>
      <c r="BI132" s="98"/>
      <c r="BJ132" s="98"/>
      <c r="BK132" s="98"/>
      <c r="BL132" s="111"/>
      <c r="BM132" s="98">
        <f t="shared" si="35"/>
        <v>1</v>
      </c>
      <c r="BN132" s="98" t="str">
        <f t="shared" si="36"/>
        <v>Y</v>
      </c>
      <c r="BO132" s="115"/>
      <c r="BP132" s="100">
        <v>1</v>
      </c>
      <c r="BQ132" s="100"/>
      <c r="BR132" s="100"/>
      <c r="BS132" s="100">
        <f t="shared" si="37"/>
        <v>1</v>
      </c>
      <c r="BT132" s="100" t="str">
        <f t="shared" si="38"/>
        <v>Y</v>
      </c>
      <c r="BU132" s="50"/>
      <c r="BV132" s="101">
        <v>1</v>
      </c>
      <c r="BW132" s="101"/>
      <c r="BX132" s="101"/>
      <c r="BY132" s="101"/>
      <c r="BZ132" s="101"/>
      <c r="CA132" s="101"/>
      <c r="CB132" s="101"/>
      <c r="CC132" s="101"/>
      <c r="CD132" s="101">
        <f t="shared" si="39"/>
        <v>1</v>
      </c>
      <c r="CE132" s="101" t="str">
        <f t="shared" si="40"/>
        <v>Y</v>
      </c>
      <c r="CF132" s="54"/>
      <c r="CG132" s="102">
        <v>1</v>
      </c>
      <c r="CH132" s="102"/>
      <c r="CI132" s="102"/>
      <c r="CJ132" s="102"/>
      <c r="CK132" s="102"/>
      <c r="CL132" s="102"/>
      <c r="CM132" s="102"/>
      <c r="CN132" s="102"/>
      <c r="CO132" s="102"/>
      <c r="CP132" s="102"/>
      <c r="CQ132" s="102"/>
      <c r="CR132" s="102"/>
      <c r="CS132" s="102"/>
      <c r="CT132" s="102"/>
      <c r="CU132" s="102"/>
      <c r="CV132" s="102"/>
      <c r="CW132" s="102"/>
      <c r="CX132" s="102"/>
      <c r="CY132" s="102"/>
      <c r="CZ132" s="102">
        <f t="shared" si="41"/>
        <v>1</v>
      </c>
      <c r="DA132" s="102" t="str">
        <f t="shared" si="42"/>
        <v>Y</v>
      </c>
      <c r="DB132" s="58"/>
      <c r="DC132" s="101">
        <v>1</v>
      </c>
      <c r="DD132" s="101"/>
      <c r="DE132" s="101"/>
      <c r="DF132" s="101"/>
      <c r="DG132" s="101"/>
      <c r="DH132" s="101"/>
      <c r="DI132" s="101"/>
      <c r="DJ132" s="101"/>
      <c r="DK132" s="101"/>
      <c r="DL132" s="101"/>
      <c r="DM132" s="101"/>
      <c r="DN132" s="101"/>
      <c r="DO132" s="101"/>
      <c r="DP132" s="101"/>
      <c r="DQ132" s="101"/>
      <c r="DR132" s="101"/>
      <c r="DS132" s="101"/>
      <c r="DT132" s="101"/>
      <c r="DU132" s="101"/>
      <c r="DV132" s="101">
        <f t="shared" si="43"/>
        <v>1</v>
      </c>
      <c r="DW132" s="101" t="str">
        <f t="shared" si="47"/>
        <v>Y</v>
      </c>
      <c r="DX132" s="103"/>
      <c r="DY132" s="104">
        <v>1</v>
      </c>
      <c r="DZ132" s="104"/>
      <c r="EA132" s="104"/>
      <c r="EB132" s="104"/>
      <c r="EC132" s="104"/>
      <c r="ED132" s="104"/>
      <c r="EE132" s="104"/>
      <c r="EF132" s="104"/>
      <c r="EG132" s="104"/>
      <c r="EH132" s="104"/>
      <c r="EI132" s="104"/>
      <c r="EJ132" s="104"/>
      <c r="EK132" s="104">
        <f t="shared" si="45"/>
        <v>1</v>
      </c>
      <c r="EL132" s="104" t="str">
        <f t="shared" si="46"/>
        <v>Y</v>
      </c>
      <c r="EM132" s="62"/>
      <c r="EN132" s="6"/>
      <c r="EO132" s="6"/>
      <c r="EP132" s="6"/>
      <c r="EQ132" s="6"/>
      <c r="ER132" s="6"/>
    </row>
    <row r="133" spans="1:148" x14ac:dyDescent="0.2">
      <c r="A133" s="1147"/>
      <c r="B133" s="1138" t="s">
        <v>98</v>
      </c>
      <c r="C133" s="1140" t="s">
        <v>97</v>
      </c>
      <c r="D133" s="1133"/>
      <c r="E133" s="1085"/>
      <c r="F133" s="1144"/>
      <c r="G133" s="1076" t="s">
        <v>349</v>
      </c>
      <c r="H133" s="1076" t="s">
        <v>274</v>
      </c>
      <c r="I133" s="1076"/>
      <c r="J133" s="1079">
        <f>Y133+AA133+AC133+AE133+AG133+AI133+AK133+AM133+AO133</f>
        <v>1</v>
      </c>
      <c r="K133" s="1076"/>
      <c r="L133" s="181"/>
      <c r="M133" s="186"/>
      <c r="N133" s="177"/>
      <c r="O133" s="177"/>
      <c r="P133" s="172"/>
      <c r="Q133" s="173"/>
      <c r="R133" s="173"/>
      <c r="S133" s="173"/>
      <c r="T133" s="173"/>
      <c r="U133" s="173"/>
      <c r="V133" s="174"/>
      <c r="W133" s="175"/>
      <c r="X133" s="1098" t="s">
        <v>350</v>
      </c>
      <c r="Y133" s="1081">
        <f>IF(HC="Y",IF(BF133="Y",Z133,0),0)</f>
        <v>0</v>
      </c>
      <c r="Z133" s="1081">
        <v>1</v>
      </c>
      <c r="AA133" s="1081">
        <f>IF(OFF="Y",IF(BN133="Y",AB133,0),0)</f>
        <v>1</v>
      </c>
      <c r="AB133" s="1081">
        <v>1</v>
      </c>
      <c r="AC133" s="1081">
        <f>IF(COURTS="Y",IF(BT133="Y",AD133,0),0)</f>
        <v>0</v>
      </c>
      <c r="AD133" s="1081">
        <v>1</v>
      </c>
      <c r="AE133" s="1081">
        <f>IF(PRISONS="Y",IF(CE133="Y",AF133,0),0)</f>
        <v>0</v>
      </c>
      <c r="AF133" s="1081">
        <v>0</v>
      </c>
      <c r="AG133" s="1081">
        <f>IF(RET="Y",IF(DA133="Y",AH133,0),0)</f>
        <v>0</v>
      </c>
      <c r="AH133" s="1081">
        <v>1</v>
      </c>
      <c r="AI133" s="1081">
        <f>IF(SCHOOLS="y",IF(DW133="y",AJ133,0),0)</f>
        <v>0</v>
      </c>
      <c r="AJ133" s="1081">
        <v>1</v>
      </c>
      <c r="AK133" s="1082">
        <f>IF(FE="y",IF(DW133="y",AL133,0),0)</f>
        <v>0</v>
      </c>
      <c r="AL133" s="1082">
        <v>1</v>
      </c>
      <c r="AM133" s="1082">
        <f>IF(HE="Y",IF(DW133="Y",AN133,0),0)</f>
        <v>0</v>
      </c>
      <c r="AN133" s="1082">
        <v>1</v>
      </c>
      <c r="AO133" s="1081">
        <f>IF(INDUSTRIAL="Y",IF(EL133="Y",AP133,0),0)</f>
        <v>0</v>
      </c>
      <c r="AP133" s="1081">
        <v>1</v>
      </c>
      <c r="AQ133" s="95">
        <v>1</v>
      </c>
      <c r="AR133" s="95"/>
      <c r="AS133" s="95"/>
      <c r="AT133" s="95"/>
      <c r="AU133" s="95"/>
      <c r="AV133" s="95"/>
      <c r="AW133" s="95"/>
      <c r="AX133" s="95"/>
      <c r="AY133" s="95"/>
      <c r="AZ133" s="95"/>
      <c r="BA133" s="95"/>
      <c r="BB133" s="95"/>
      <c r="BC133" s="95"/>
      <c r="BD133" s="95"/>
      <c r="BE133" s="95">
        <f t="shared" si="33"/>
        <v>1</v>
      </c>
      <c r="BF133" s="96" t="str">
        <f t="shared" si="34"/>
        <v>Y</v>
      </c>
      <c r="BG133" s="97"/>
      <c r="BH133" s="98">
        <v>1</v>
      </c>
      <c r="BI133" s="98"/>
      <c r="BJ133" s="98"/>
      <c r="BK133" s="98"/>
      <c r="BL133" s="111"/>
      <c r="BM133" s="98">
        <f t="shared" si="35"/>
        <v>1</v>
      </c>
      <c r="BN133" s="98" t="str">
        <f t="shared" si="36"/>
        <v>Y</v>
      </c>
      <c r="BO133" s="115"/>
      <c r="BP133" s="100">
        <v>1</v>
      </c>
      <c r="BQ133" s="100"/>
      <c r="BR133" s="100"/>
      <c r="BS133" s="100">
        <f t="shared" si="37"/>
        <v>1</v>
      </c>
      <c r="BT133" s="100" t="str">
        <f t="shared" si="38"/>
        <v>Y</v>
      </c>
      <c r="BU133" s="50"/>
      <c r="BV133" s="101"/>
      <c r="BW133" s="101"/>
      <c r="BX133" s="101"/>
      <c r="BY133" s="101"/>
      <c r="BZ133" s="101"/>
      <c r="CA133" s="101"/>
      <c r="CB133" s="101"/>
      <c r="CC133" s="101"/>
      <c r="CD133" s="101">
        <f t="shared" si="39"/>
        <v>0</v>
      </c>
      <c r="CE133" s="101" t="str">
        <f t="shared" si="40"/>
        <v>N</v>
      </c>
      <c r="CF133" s="54"/>
      <c r="CG133" s="102"/>
      <c r="CH133" s="102"/>
      <c r="CI133" s="102"/>
      <c r="CJ133" s="102"/>
      <c r="CK133" s="102"/>
      <c r="CL133" s="102"/>
      <c r="CM133" s="102"/>
      <c r="CN133" s="102"/>
      <c r="CO133" s="102"/>
      <c r="CP133" s="102"/>
      <c r="CQ133" s="102"/>
      <c r="CR133" s="102"/>
      <c r="CS133" s="102"/>
      <c r="CT133" s="102"/>
      <c r="CU133" s="102"/>
      <c r="CV133" s="102" t="e">
        <v>#REF!</v>
      </c>
      <c r="CW133" s="102"/>
      <c r="CX133" s="102"/>
      <c r="CY133" s="102"/>
      <c r="CZ133" s="102" t="e">
        <f t="shared" si="41"/>
        <v>#REF!</v>
      </c>
      <c r="DA133" s="102" t="e">
        <f t="shared" si="42"/>
        <v>#REF!</v>
      </c>
      <c r="DB133" s="58"/>
      <c r="DC133" s="101">
        <v>1</v>
      </c>
      <c r="DD133" s="101"/>
      <c r="DE133" s="101"/>
      <c r="DF133" s="101"/>
      <c r="DG133" s="101"/>
      <c r="DH133" s="101"/>
      <c r="DI133" s="101"/>
      <c r="DJ133" s="101"/>
      <c r="DK133" s="101"/>
      <c r="DL133" s="101"/>
      <c r="DM133" s="101"/>
      <c r="DN133" s="101"/>
      <c r="DO133" s="101"/>
      <c r="DP133" s="101"/>
      <c r="DQ133" s="101"/>
      <c r="DR133" s="101"/>
      <c r="DS133" s="101"/>
      <c r="DT133" s="101"/>
      <c r="DU133" s="101"/>
      <c r="DV133" s="101">
        <f t="shared" si="43"/>
        <v>1</v>
      </c>
      <c r="DW133" s="101" t="str">
        <f t="shared" si="47"/>
        <v>Y</v>
      </c>
      <c r="DX133" s="103"/>
      <c r="DY133" s="104"/>
      <c r="DZ133" s="104"/>
      <c r="EA133" s="104"/>
      <c r="EB133" s="104"/>
      <c r="EC133" s="104"/>
      <c r="ED133" s="104"/>
      <c r="EE133" s="104" t="e">
        <v>#REF!</v>
      </c>
      <c r="EF133" s="104"/>
      <c r="EG133" s="104"/>
      <c r="EH133" s="104"/>
      <c r="EI133" s="104"/>
      <c r="EJ133" s="104"/>
      <c r="EK133" s="104" t="e">
        <f t="shared" si="45"/>
        <v>#REF!</v>
      </c>
      <c r="EL133" s="104" t="e">
        <f t="shared" si="46"/>
        <v>#REF!</v>
      </c>
      <c r="EM133" s="62"/>
      <c r="EN133" s="6"/>
      <c r="EO133" s="6"/>
      <c r="EP133" s="6"/>
      <c r="EQ133" s="6"/>
      <c r="ER133" s="6"/>
    </row>
    <row r="134" spans="1:148" x14ac:dyDescent="0.2">
      <c r="A134" s="1147"/>
      <c r="B134" s="1139"/>
      <c r="C134" s="1141"/>
      <c r="D134" s="1134"/>
      <c r="E134" s="1086"/>
      <c r="F134" s="1079"/>
      <c r="G134" s="1077"/>
      <c r="H134" s="1077"/>
      <c r="I134" s="1077"/>
      <c r="J134" s="1079"/>
      <c r="K134" s="1077"/>
      <c r="L134" s="181"/>
      <c r="M134" s="186"/>
      <c r="N134" s="177"/>
      <c r="O134" s="177"/>
      <c r="P134" s="172"/>
      <c r="Q134" s="173"/>
      <c r="R134" s="173"/>
      <c r="S134" s="173"/>
      <c r="T134" s="173"/>
      <c r="U134" s="173"/>
      <c r="V134" s="174"/>
      <c r="W134" s="175"/>
      <c r="X134" s="1099"/>
      <c r="Y134" s="1081"/>
      <c r="Z134" s="1081"/>
      <c r="AA134" s="1081"/>
      <c r="AB134" s="1081"/>
      <c r="AC134" s="1081"/>
      <c r="AD134" s="1081"/>
      <c r="AE134" s="1081"/>
      <c r="AF134" s="1081"/>
      <c r="AG134" s="1081"/>
      <c r="AH134" s="1081"/>
      <c r="AI134" s="1081"/>
      <c r="AJ134" s="1081"/>
      <c r="AK134" s="1082"/>
      <c r="AL134" s="1082"/>
      <c r="AM134" s="1082"/>
      <c r="AN134" s="1082"/>
      <c r="AO134" s="1081"/>
      <c r="AP134" s="1081"/>
      <c r="AQ134" s="95">
        <v>1</v>
      </c>
      <c r="AR134" s="95"/>
      <c r="AS134" s="95"/>
      <c r="AT134" s="95"/>
      <c r="AU134" s="95"/>
      <c r="AV134" s="95"/>
      <c r="AW134" s="95"/>
      <c r="AX134" s="95"/>
      <c r="AY134" s="95"/>
      <c r="AZ134" s="95"/>
      <c r="BA134" s="95"/>
      <c r="BB134" s="95"/>
      <c r="BC134" s="95"/>
      <c r="BD134" s="95"/>
      <c r="BE134" s="95">
        <f t="shared" si="33"/>
        <v>1</v>
      </c>
      <c r="BF134" s="96" t="str">
        <f t="shared" si="34"/>
        <v>Y</v>
      </c>
      <c r="BG134" s="97"/>
      <c r="BH134" s="98">
        <v>1</v>
      </c>
      <c r="BI134" s="98"/>
      <c r="BJ134" s="98"/>
      <c r="BK134" s="98"/>
      <c r="BL134" s="111"/>
      <c r="BM134" s="98">
        <f t="shared" si="35"/>
        <v>1</v>
      </c>
      <c r="BN134" s="98" t="str">
        <f t="shared" si="36"/>
        <v>Y</v>
      </c>
      <c r="BO134" s="115"/>
      <c r="BP134" s="100">
        <v>1</v>
      </c>
      <c r="BQ134" s="100"/>
      <c r="BR134" s="100"/>
      <c r="BS134" s="100">
        <f t="shared" si="37"/>
        <v>1</v>
      </c>
      <c r="BT134" s="100" t="str">
        <f t="shared" si="38"/>
        <v>Y</v>
      </c>
      <c r="BU134" s="50"/>
      <c r="BV134" s="101"/>
      <c r="BW134" s="101"/>
      <c r="BX134" s="101"/>
      <c r="BY134" s="101"/>
      <c r="BZ134" s="101"/>
      <c r="CA134" s="101"/>
      <c r="CB134" s="101"/>
      <c r="CC134" s="101"/>
      <c r="CD134" s="101">
        <f t="shared" si="39"/>
        <v>0</v>
      </c>
      <c r="CE134" s="101" t="str">
        <f t="shared" si="40"/>
        <v>N</v>
      </c>
      <c r="CF134" s="54"/>
      <c r="CG134" s="102"/>
      <c r="CH134" s="102"/>
      <c r="CI134" s="102"/>
      <c r="CJ134" s="102"/>
      <c r="CK134" s="102"/>
      <c r="CL134" s="102"/>
      <c r="CM134" s="102"/>
      <c r="CN134" s="102"/>
      <c r="CO134" s="102"/>
      <c r="CP134" s="102"/>
      <c r="CQ134" s="102"/>
      <c r="CR134" s="102"/>
      <c r="CS134" s="102"/>
      <c r="CT134" s="102"/>
      <c r="CU134" s="102"/>
      <c r="CV134" s="102" t="e">
        <v>#REF!</v>
      </c>
      <c r="CW134" s="102"/>
      <c r="CX134" s="102"/>
      <c r="CY134" s="102"/>
      <c r="CZ134" s="102" t="e">
        <f t="shared" si="41"/>
        <v>#REF!</v>
      </c>
      <c r="DA134" s="102" t="e">
        <f t="shared" si="42"/>
        <v>#REF!</v>
      </c>
      <c r="DB134" s="58"/>
      <c r="DC134" s="101">
        <v>1</v>
      </c>
      <c r="DD134" s="101"/>
      <c r="DE134" s="101"/>
      <c r="DF134" s="101"/>
      <c r="DG134" s="101"/>
      <c r="DH134" s="101"/>
      <c r="DI134" s="101"/>
      <c r="DJ134" s="101"/>
      <c r="DK134" s="101"/>
      <c r="DL134" s="101"/>
      <c r="DM134" s="101"/>
      <c r="DN134" s="101"/>
      <c r="DO134" s="101"/>
      <c r="DP134" s="101"/>
      <c r="DQ134" s="101"/>
      <c r="DR134" s="101"/>
      <c r="DS134" s="101"/>
      <c r="DT134" s="101"/>
      <c r="DU134" s="101"/>
      <c r="DV134" s="101">
        <f t="shared" si="43"/>
        <v>1</v>
      </c>
      <c r="DW134" s="101" t="str">
        <f t="shared" si="47"/>
        <v>Y</v>
      </c>
      <c r="DX134" s="103"/>
      <c r="DY134" s="104"/>
      <c r="DZ134" s="104"/>
      <c r="EA134" s="104"/>
      <c r="EB134" s="104"/>
      <c r="EC134" s="104"/>
      <c r="ED134" s="104"/>
      <c r="EE134" s="104" t="e">
        <v>#REF!</v>
      </c>
      <c r="EF134" s="104"/>
      <c r="EG134" s="104"/>
      <c r="EH134" s="104"/>
      <c r="EI134" s="104"/>
      <c r="EJ134" s="104"/>
      <c r="EK134" s="104" t="e">
        <f t="shared" si="45"/>
        <v>#REF!</v>
      </c>
      <c r="EL134" s="104" t="e">
        <f t="shared" si="46"/>
        <v>#REF!</v>
      </c>
      <c r="EM134" s="62"/>
      <c r="EN134" s="6"/>
      <c r="EO134" s="6"/>
      <c r="EP134" s="6"/>
      <c r="EQ134" s="6"/>
      <c r="ER134" s="6"/>
    </row>
    <row r="135" spans="1:148" ht="13.5" thickBot="1" x14ac:dyDescent="0.25">
      <c r="A135" s="1147"/>
      <c r="B135" s="1145"/>
      <c r="C135" s="1142"/>
      <c r="D135" s="1136"/>
      <c r="E135" s="1143"/>
      <c r="F135" s="1080"/>
      <c r="G135" s="1078"/>
      <c r="H135" s="1078"/>
      <c r="I135" s="1078"/>
      <c r="J135" s="1080"/>
      <c r="K135" s="1078"/>
      <c r="L135" s="180"/>
      <c r="M135" s="186"/>
      <c r="N135" s="177"/>
      <c r="O135" s="177"/>
      <c r="P135" s="172"/>
      <c r="Q135" s="173"/>
      <c r="R135" s="173"/>
      <c r="S135" s="173"/>
      <c r="T135" s="173"/>
      <c r="U135" s="173"/>
      <c r="V135" s="174"/>
      <c r="W135" s="175"/>
      <c r="X135" s="1100"/>
      <c r="Y135" s="1081"/>
      <c r="Z135" s="1081"/>
      <c r="AA135" s="1081"/>
      <c r="AB135" s="1081"/>
      <c r="AC135" s="1081"/>
      <c r="AD135" s="1081"/>
      <c r="AE135" s="1081"/>
      <c r="AF135" s="1081"/>
      <c r="AG135" s="1081"/>
      <c r="AH135" s="1081"/>
      <c r="AI135" s="1081"/>
      <c r="AJ135" s="1081"/>
      <c r="AK135" s="1082"/>
      <c r="AL135" s="1082"/>
      <c r="AM135" s="1082"/>
      <c r="AN135" s="1082"/>
      <c r="AO135" s="1081"/>
      <c r="AP135" s="1081"/>
      <c r="AQ135" s="95">
        <v>1</v>
      </c>
      <c r="AR135" s="95"/>
      <c r="AS135" s="95"/>
      <c r="AT135" s="95"/>
      <c r="AU135" s="95"/>
      <c r="AV135" s="95"/>
      <c r="AW135" s="95"/>
      <c r="AX135" s="95"/>
      <c r="AY135" s="95"/>
      <c r="AZ135" s="95"/>
      <c r="BA135" s="95"/>
      <c r="BB135" s="95"/>
      <c r="BC135" s="95"/>
      <c r="BD135" s="95"/>
      <c r="BE135" s="95">
        <f t="shared" si="33"/>
        <v>1</v>
      </c>
      <c r="BF135" s="96" t="str">
        <f t="shared" si="34"/>
        <v>Y</v>
      </c>
      <c r="BG135" s="97"/>
      <c r="BH135" s="98">
        <v>1</v>
      </c>
      <c r="BI135" s="98"/>
      <c r="BJ135" s="98"/>
      <c r="BK135" s="98"/>
      <c r="BL135" s="111"/>
      <c r="BM135" s="98">
        <f t="shared" si="35"/>
        <v>1</v>
      </c>
      <c r="BN135" s="98" t="str">
        <f t="shared" si="36"/>
        <v>Y</v>
      </c>
      <c r="BO135" s="115"/>
      <c r="BP135" s="100">
        <v>1</v>
      </c>
      <c r="BQ135" s="100"/>
      <c r="BR135" s="100"/>
      <c r="BS135" s="100">
        <f t="shared" si="37"/>
        <v>1</v>
      </c>
      <c r="BT135" s="100" t="str">
        <f t="shared" si="38"/>
        <v>Y</v>
      </c>
      <c r="BU135" s="50"/>
      <c r="BV135" s="101"/>
      <c r="BW135" s="101"/>
      <c r="BX135" s="101"/>
      <c r="BY135" s="101"/>
      <c r="BZ135" s="101"/>
      <c r="CA135" s="101"/>
      <c r="CB135" s="101"/>
      <c r="CC135" s="101"/>
      <c r="CD135" s="101">
        <f t="shared" si="39"/>
        <v>0</v>
      </c>
      <c r="CE135" s="101" t="str">
        <f t="shared" si="40"/>
        <v>N</v>
      </c>
      <c r="CF135" s="54"/>
      <c r="CG135" s="102"/>
      <c r="CH135" s="102"/>
      <c r="CI135" s="102"/>
      <c r="CJ135" s="102"/>
      <c r="CK135" s="102"/>
      <c r="CL135" s="102"/>
      <c r="CM135" s="102"/>
      <c r="CN135" s="102"/>
      <c r="CO135" s="102"/>
      <c r="CP135" s="102"/>
      <c r="CQ135" s="102"/>
      <c r="CR135" s="102"/>
      <c r="CS135" s="102"/>
      <c r="CT135" s="102"/>
      <c r="CU135" s="102"/>
      <c r="CV135" s="102" t="e">
        <v>#REF!</v>
      </c>
      <c r="CW135" s="102"/>
      <c r="CX135" s="102"/>
      <c r="CY135" s="102"/>
      <c r="CZ135" s="102" t="e">
        <f t="shared" si="41"/>
        <v>#REF!</v>
      </c>
      <c r="DA135" s="102" t="e">
        <f t="shared" si="42"/>
        <v>#REF!</v>
      </c>
      <c r="DB135" s="58"/>
      <c r="DC135" s="101">
        <v>1</v>
      </c>
      <c r="DD135" s="101"/>
      <c r="DE135" s="101"/>
      <c r="DF135" s="101"/>
      <c r="DG135" s="101"/>
      <c r="DH135" s="101"/>
      <c r="DI135" s="101"/>
      <c r="DJ135" s="101"/>
      <c r="DK135" s="101"/>
      <c r="DL135" s="101"/>
      <c r="DM135" s="101"/>
      <c r="DN135" s="101"/>
      <c r="DO135" s="101"/>
      <c r="DP135" s="101"/>
      <c r="DQ135" s="101"/>
      <c r="DR135" s="101"/>
      <c r="DS135" s="101"/>
      <c r="DT135" s="101"/>
      <c r="DU135" s="101"/>
      <c r="DV135" s="101">
        <f t="shared" si="43"/>
        <v>1</v>
      </c>
      <c r="DW135" s="101" t="str">
        <f t="shared" si="47"/>
        <v>Y</v>
      </c>
      <c r="DX135" s="103"/>
      <c r="DY135" s="104"/>
      <c r="DZ135" s="104"/>
      <c r="EA135" s="104"/>
      <c r="EB135" s="104"/>
      <c r="EC135" s="104"/>
      <c r="ED135" s="104"/>
      <c r="EE135" s="104" t="e">
        <v>#REF!</v>
      </c>
      <c r="EF135" s="104"/>
      <c r="EG135" s="104"/>
      <c r="EH135" s="104"/>
      <c r="EI135" s="104"/>
      <c r="EJ135" s="104"/>
      <c r="EK135" s="104" t="e">
        <f t="shared" si="45"/>
        <v>#REF!</v>
      </c>
      <c r="EL135" s="104" t="e">
        <f t="shared" si="46"/>
        <v>#REF!</v>
      </c>
      <c r="EM135" s="62"/>
      <c r="EN135" s="6"/>
      <c r="EO135" s="6"/>
      <c r="EP135" s="6"/>
      <c r="EQ135" s="6"/>
      <c r="ER135" s="6"/>
    </row>
    <row r="136" spans="1:148" x14ac:dyDescent="0.2">
      <c r="A136" s="1147"/>
      <c r="B136" s="1138" t="s">
        <v>96</v>
      </c>
      <c r="C136" s="1140" t="s">
        <v>95</v>
      </c>
      <c r="D136" s="1133"/>
      <c r="E136" s="1085"/>
      <c r="F136" s="1144"/>
      <c r="G136" s="1076" t="s">
        <v>349</v>
      </c>
      <c r="H136" s="1076" t="s">
        <v>274</v>
      </c>
      <c r="I136" s="1076"/>
      <c r="J136" s="1079">
        <f>Y136+AA136+AC136+AE136+AG136+AI136+AK136+AM136+AO136</f>
        <v>1</v>
      </c>
      <c r="K136" s="1076"/>
      <c r="L136" s="180"/>
      <c r="M136" s="186"/>
      <c r="N136" s="177"/>
      <c r="O136" s="177"/>
      <c r="P136" s="172"/>
      <c r="Q136" s="173"/>
      <c r="R136" s="173"/>
      <c r="S136" s="173"/>
      <c r="T136" s="173"/>
      <c r="U136" s="173"/>
      <c r="V136" s="174"/>
      <c r="W136" s="175"/>
      <c r="X136" s="1098" t="s">
        <v>350</v>
      </c>
      <c r="Y136" s="1081">
        <f>IF(HC="Y",IF(BF136="Y",Z136,0),0)</f>
        <v>0</v>
      </c>
      <c r="Z136" s="1081">
        <v>1</v>
      </c>
      <c r="AA136" s="1081">
        <f>IF(OFF="Y",IF(BN136="Y",AB136,0),0)</f>
        <v>1</v>
      </c>
      <c r="AB136" s="1081">
        <v>1</v>
      </c>
      <c r="AC136" s="1081">
        <f>IF(COURTS="Y",IF(BT136="Y",AD136,0),0)</f>
        <v>0</v>
      </c>
      <c r="AD136" s="1081">
        <v>1</v>
      </c>
      <c r="AE136" s="1081">
        <f>IF(PRISONS="Y",IF(CE136="Y",AF136,0),0)</f>
        <v>0</v>
      </c>
      <c r="AF136" s="1081">
        <v>1</v>
      </c>
      <c r="AG136" s="1081">
        <f>IF(RET="Y",IF(DA136="Y",AH136,0),0)</f>
        <v>0</v>
      </c>
      <c r="AH136" s="1081">
        <v>1</v>
      </c>
      <c r="AI136" s="1081">
        <f>IF(SCHOOLS="y",IF(DW136="y",AJ136,0),0)</f>
        <v>0</v>
      </c>
      <c r="AJ136" s="1081">
        <v>1</v>
      </c>
      <c r="AK136" s="1082">
        <f>IF(FE="y",IF(DW136="y",AL136,0),0)</f>
        <v>0</v>
      </c>
      <c r="AL136" s="1082">
        <v>1</v>
      </c>
      <c r="AM136" s="1082">
        <f>IF(HE="Y",IF(DW136="Y",AN136,0),0)</f>
        <v>0</v>
      </c>
      <c r="AN136" s="1082">
        <v>1</v>
      </c>
      <c r="AO136" s="1081">
        <f>IF(INDUSTRIAL="Y",IF(EL136="Y",AP136,0),0)</f>
        <v>0</v>
      </c>
      <c r="AP136" s="1081">
        <v>1</v>
      </c>
      <c r="AQ136" s="95">
        <v>1</v>
      </c>
      <c r="AR136" s="95"/>
      <c r="AS136" s="95"/>
      <c r="AT136" s="95"/>
      <c r="AU136" s="95"/>
      <c r="AV136" s="95"/>
      <c r="AW136" s="95"/>
      <c r="AX136" s="95"/>
      <c r="AY136" s="95"/>
      <c r="AZ136" s="95"/>
      <c r="BA136" s="95"/>
      <c r="BB136" s="95"/>
      <c r="BC136" s="95"/>
      <c r="BD136" s="95"/>
      <c r="BE136" s="95">
        <f t="shared" si="33"/>
        <v>1</v>
      </c>
      <c r="BF136" s="96" t="str">
        <f t="shared" si="34"/>
        <v>Y</v>
      </c>
      <c r="BG136" s="97"/>
      <c r="BH136" s="98">
        <v>1</v>
      </c>
      <c r="BI136" s="98"/>
      <c r="BJ136" s="98"/>
      <c r="BK136" s="98"/>
      <c r="BL136" s="111"/>
      <c r="BM136" s="98">
        <f t="shared" si="35"/>
        <v>1</v>
      </c>
      <c r="BN136" s="98" t="str">
        <f t="shared" si="36"/>
        <v>Y</v>
      </c>
      <c r="BO136" s="115"/>
      <c r="BP136" s="100">
        <v>1</v>
      </c>
      <c r="BQ136" s="100"/>
      <c r="BR136" s="100"/>
      <c r="BS136" s="100">
        <f t="shared" si="37"/>
        <v>1</v>
      </c>
      <c r="BT136" s="100" t="str">
        <f t="shared" si="38"/>
        <v>Y</v>
      </c>
      <c r="BU136" s="50"/>
      <c r="BV136" s="101">
        <v>1</v>
      </c>
      <c r="BW136" s="101"/>
      <c r="BX136" s="101"/>
      <c r="BY136" s="101"/>
      <c r="BZ136" s="101"/>
      <c r="CA136" s="101"/>
      <c r="CB136" s="101"/>
      <c r="CC136" s="101"/>
      <c r="CD136" s="101">
        <f t="shared" si="39"/>
        <v>1</v>
      </c>
      <c r="CE136" s="101" t="str">
        <f t="shared" si="40"/>
        <v>Y</v>
      </c>
      <c r="CF136" s="54"/>
      <c r="CG136" s="102"/>
      <c r="CH136" s="102"/>
      <c r="CI136" s="102"/>
      <c r="CJ136" s="102"/>
      <c r="CK136" s="102"/>
      <c r="CL136" s="102"/>
      <c r="CM136" s="102"/>
      <c r="CN136" s="102"/>
      <c r="CO136" s="102"/>
      <c r="CP136" s="102"/>
      <c r="CQ136" s="102"/>
      <c r="CR136" s="102"/>
      <c r="CS136" s="102"/>
      <c r="CT136" s="102"/>
      <c r="CU136" s="102"/>
      <c r="CV136" s="102" t="e">
        <v>#REF!</v>
      </c>
      <c r="CW136" s="102"/>
      <c r="CX136" s="102"/>
      <c r="CY136" s="102"/>
      <c r="CZ136" s="102" t="e">
        <f t="shared" si="41"/>
        <v>#REF!</v>
      </c>
      <c r="DA136" s="102" t="e">
        <f t="shared" si="42"/>
        <v>#REF!</v>
      </c>
      <c r="DB136" s="58"/>
      <c r="DC136" s="101">
        <v>1</v>
      </c>
      <c r="DD136" s="101"/>
      <c r="DE136" s="101"/>
      <c r="DF136" s="101"/>
      <c r="DG136" s="101"/>
      <c r="DH136" s="101"/>
      <c r="DI136" s="101"/>
      <c r="DJ136" s="101"/>
      <c r="DK136" s="101"/>
      <c r="DL136" s="101"/>
      <c r="DM136" s="101"/>
      <c r="DN136" s="101"/>
      <c r="DO136" s="101"/>
      <c r="DP136" s="101"/>
      <c r="DQ136" s="101"/>
      <c r="DR136" s="101"/>
      <c r="DS136" s="101"/>
      <c r="DT136" s="101"/>
      <c r="DU136" s="101"/>
      <c r="DV136" s="101">
        <f t="shared" si="43"/>
        <v>1</v>
      </c>
      <c r="DW136" s="101" t="str">
        <f t="shared" si="47"/>
        <v>Y</v>
      </c>
      <c r="DX136" s="103"/>
      <c r="DY136" s="104"/>
      <c r="DZ136" s="104"/>
      <c r="EA136" s="104"/>
      <c r="EB136" s="104"/>
      <c r="EC136" s="104"/>
      <c r="ED136" s="104"/>
      <c r="EE136" s="104" t="e">
        <v>#REF!</v>
      </c>
      <c r="EF136" s="104"/>
      <c r="EG136" s="104"/>
      <c r="EH136" s="104"/>
      <c r="EI136" s="104"/>
      <c r="EJ136" s="104"/>
      <c r="EK136" s="104" t="e">
        <f t="shared" si="45"/>
        <v>#REF!</v>
      </c>
      <c r="EL136" s="104" t="e">
        <f t="shared" si="46"/>
        <v>#REF!</v>
      </c>
      <c r="EM136" s="62"/>
      <c r="EN136" s="6"/>
      <c r="EO136" s="6"/>
      <c r="EP136" s="6"/>
      <c r="EQ136" s="6"/>
      <c r="ER136" s="6"/>
    </row>
    <row r="137" spans="1:148" x14ac:dyDescent="0.2">
      <c r="A137" s="1147"/>
      <c r="B137" s="1139"/>
      <c r="C137" s="1141"/>
      <c r="D137" s="1134"/>
      <c r="E137" s="1086"/>
      <c r="F137" s="1079"/>
      <c r="G137" s="1077"/>
      <c r="H137" s="1077"/>
      <c r="I137" s="1077"/>
      <c r="J137" s="1079"/>
      <c r="K137" s="1077"/>
      <c r="L137" s="181"/>
      <c r="M137" s="186"/>
      <c r="N137" s="177"/>
      <c r="O137" s="177"/>
      <c r="P137" s="172"/>
      <c r="Q137" s="173"/>
      <c r="R137" s="173"/>
      <c r="S137" s="173"/>
      <c r="T137" s="173"/>
      <c r="U137" s="173"/>
      <c r="V137" s="174"/>
      <c r="W137" s="175"/>
      <c r="X137" s="1099"/>
      <c r="Y137" s="1081"/>
      <c r="Z137" s="1081"/>
      <c r="AA137" s="1081"/>
      <c r="AB137" s="1081"/>
      <c r="AC137" s="1081"/>
      <c r="AD137" s="1081"/>
      <c r="AE137" s="1081"/>
      <c r="AF137" s="1081"/>
      <c r="AG137" s="1081"/>
      <c r="AH137" s="1081"/>
      <c r="AI137" s="1081"/>
      <c r="AJ137" s="1081"/>
      <c r="AK137" s="1082"/>
      <c r="AL137" s="1082"/>
      <c r="AM137" s="1082"/>
      <c r="AN137" s="1082"/>
      <c r="AO137" s="1081"/>
      <c r="AP137" s="1081"/>
      <c r="AQ137" s="95">
        <v>1</v>
      </c>
      <c r="AR137" s="95"/>
      <c r="AS137" s="95"/>
      <c r="AT137" s="95"/>
      <c r="AU137" s="95"/>
      <c r="AV137" s="95"/>
      <c r="AW137" s="95"/>
      <c r="AX137" s="95"/>
      <c r="AY137" s="95"/>
      <c r="AZ137" s="95"/>
      <c r="BA137" s="95"/>
      <c r="BB137" s="95"/>
      <c r="BC137" s="95"/>
      <c r="BD137" s="95"/>
      <c r="BE137" s="95">
        <f t="shared" si="33"/>
        <v>1</v>
      </c>
      <c r="BF137" s="96" t="str">
        <f t="shared" si="34"/>
        <v>Y</v>
      </c>
      <c r="BG137" s="97"/>
      <c r="BH137" s="98">
        <v>1</v>
      </c>
      <c r="BI137" s="98"/>
      <c r="BJ137" s="98"/>
      <c r="BK137" s="98"/>
      <c r="BL137" s="111"/>
      <c r="BM137" s="98">
        <f t="shared" si="35"/>
        <v>1</v>
      </c>
      <c r="BN137" s="98" t="str">
        <f t="shared" si="36"/>
        <v>Y</v>
      </c>
      <c r="BO137" s="115"/>
      <c r="BP137" s="100">
        <v>1</v>
      </c>
      <c r="BQ137" s="100"/>
      <c r="BR137" s="100"/>
      <c r="BS137" s="100">
        <f t="shared" si="37"/>
        <v>1</v>
      </c>
      <c r="BT137" s="100" t="str">
        <f t="shared" si="38"/>
        <v>Y</v>
      </c>
      <c r="BU137" s="50"/>
      <c r="BV137" s="101">
        <v>1</v>
      </c>
      <c r="BW137" s="101"/>
      <c r="BX137" s="101"/>
      <c r="BY137" s="101"/>
      <c r="BZ137" s="101"/>
      <c r="CA137" s="101"/>
      <c r="CB137" s="101"/>
      <c r="CC137" s="101"/>
      <c r="CD137" s="101">
        <f t="shared" si="39"/>
        <v>1</v>
      </c>
      <c r="CE137" s="101" t="str">
        <f t="shared" si="40"/>
        <v>Y</v>
      </c>
      <c r="CF137" s="54"/>
      <c r="CG137" s="102"/>
      <c r="CH137" s="102"/>
      <c r="CI137" s="102"/>
      <c r="CJ137" s="102"/>
      <c r="CK137" s="102"/>
      <c r="CL137" s="102"/>
      <c r="CM137" s="102"/>
      <c r="CN137" s="102"/>
      <c r="CO137" s="102"/>
      <c r="CP137" s="102"/>
      <c r="CQ137" s="102"/>
      <c r="CR137" s="102"/>
      <c r="CS137" s="102"/>
      <c r="CT137" s="102"/>
      <c r="CU137" s="102"/>
      <c r="CV137" s="102" t="e">
        <v>#REF!</v>
      </c>
      <c r="CW137" s="102"/>
      <c r="CX137" s="102"/>
      <c r="CY137" s="102"/>
      <c r="CZ137" s="102" t="e">
        <f t="shared" si="41"/>
        <v>#REF!</v>
      </c>
      <c r="DA137" s="102" t="e">
        <f t="shared" si="42"/>
        <v>#REF!</v>
      </c>
      <c r="DB137" s="58"/>
      <c r="DC137" s="101">
        <v>1</v>
      </c>
      <c r="DD137" s="101"/>
      <c r="DE137" s="101"/>
      <c r="DF137" s="101"/>
      <c r="DG137" s="101"/>
      <c r="DH137" s="101"/>
      <c r="DI137" s="101"/>
      <c r="DJ137" s="101"/>
      <c r="DK137" s="101"/>
      <c r="DL137" s="101"/>
      <c r="DM137" s="101"/>
      <c r="DN137" s="101"/>
      <c r="DO137" s="101"/>
      <c r="DP137" s="101"/>
      <c r="DQ137" s="101"/>
      <c r="DR137" s="101"/>
      <c r="DS137" s="101"/>
      <c r="DT137" s="101"/>
      <c r="DU137" s="101"/>
      <c r="DV137" s="101">
        <f t="shared" si="43"/>
        <v>1</v>
      </c>
      <c r="DW137" s="101" t="str">
        <f t="shared" si="47"/>
        <v>Y</v>
      </c>
      <c r="DX137" s="103"/>
      <c r="DY137" s="104"/>
      <c r="DZ137" s="104"/>
      <c r="EA137" s="104"/>
      <c r="EB137" s="104"/>
      <c r="EC137" s="104"/>
      <c r="ED137" s="104"/>
      <c r="EE137" s="104" t="e">
        <v>#REF!</v>
      </c>
      <c r="EF137" s="104"/>
      <c r="EG137" s="104"/>
      <c r="EH137" s="104"/>
      <c r="EI137" s="104"/>
      <c r="EJ137" s="104"/>
      <c r="EK137" s="104" t="e">
        <f t="shared" si="45"/>
        <v>#REF!</v>
      </c>
      <c r="EL137" s="104" t="e">
        <f t="shared" si="46"/>
        <v>#REF!</v>
      </c>
      <c r="EM137" s="62"/>
      <c r="EN137" s="6"/>
      <c r="EO137" s="6"/>
      <c r="EP137" s="6"/>
      <c r="EQ137" s="6"/>
      <c r="ER137" s="6"/>
    </row>
    <row r="138" spans="1:148" ht="13.5" thickBot="1" x14ac:dyDescent="0.25">
      <c r="A138" s="1147"/>
      <c r="B138" s="1145"/>
      <c r="C138" s="1142"/>
      <c r="D138" s="1136"/>
      <c r="E138" s="1143"/>
      <c r="F138" s="1080"/>
      <c r="G138" s="1078"/>
      <c r="H138" s="1078"/>
      <c r="I138" s="1078"/>
      <c r="J138" s="1080"/>
      <c r="K138" s="1078"/>
      <c r="L138" s="180"/>
      <c r="M138" s="186"/>
      <c r="N138" s="177"/>
      <c r="O138" s="177"/>
      <c r="P138" s="172"/>
      <c r="Q138" s="173"/>
      <c r="R138" s="173"/>
      <c r="S138" s="173"/>
      <c r="T138" s="173"/>
      <c r="U138" s="173"/>
      <c r="V138" s="174"/>
      <c r="W138" s="175"/>
      <c r="X138" s="1100"/>
      <c r="Y138" s="1081"/>
      <c r="Z138" s="1081"/>
      <c r="AA138" s="1081"/>
      <c r="AB138" s="1081"/>
      <c r="AC138" s="1081"/>
      <c r="AD138" s="1081"/>
      <c r="AE138" s="1081"/>
      <c r="AF138" s="1081"/>
      <c r="AG138" s="1081"/>
      <c r="AH138" s="1081"/>
      <c r="AI138" s="1081"/>
      <c r="AJ138" s="1081"/>
      <c r="AK138" s="1082"/>
      <c r="AL138" s="1082"/>
      <c r="AM138" s="1082"/>
      <c r="AN138" s="1082"/>
      <c r="AO138" s="1081"/>
      <c r="AP138" s="1081"/>
      <c r="AQ138" s="95">
        <v>1</v>
      </c>
      <c r="AR138" s="95"/>
      <c r="AS138" s="95"/>
      <c r="AT138" s="95"/>
      <c r="AU138" s="95"/>
      <c r="AV138" s="95"/>
      <c r="AW138" s="95"/>
      <c r="AX138" s="95"/>
      <c r="AY138" s="95"/>
      <c r="AZ138" s="95"/>
      <c r="BA138" s="95"/>
      <c r="BB138" s="95"/>
      <c r="BC138" s="95"/>
      <c r="BD138" s="95"/>
      <c r="BE138" s="95">
        <f t="shared" si="33"/>
        <v>1</v>
      </c>
      <c r="BF138" s="96" t="str">
        <f t="shared" si="34"/>
        <v>Y</v>
      </c>
      <c r="BG138" s="97"/>
      <c r="BH138" s="98">
        <v>1</v>
      </c>
      <c r="BI138" s="98"/>
      <c r="BJ138" s="98"/>
      <c r="BK138" s="98"/>
      <c r="BL138" s="111"/>
      <c r="BM138" s="98">
        <f t="shared" si="35"/>
        <v>1</v>
      </c>
      <c r="BN138" s="98" t="str">
        <f t="shared" si="36"/>
        <v>Y</v>
      </c>
      <c r="BO138" s="115"/>
      <c r="BP138" s="100">
        <v>1</v>
      </c>
      <c r="BQ138" s="100"/>
      <c r="BR138" s="100"/>
      <c r="BS138" s="100">
        <f t="shared" si="37"/>
        <v>1</v>
      </c>
      <c r="BT138" s="100" t="str">
        <f t="shared" si="38"/>
        <v>Y</v>
      </c>
      <c r="BU138" s="50"/>
      <c r="BV138" s="101">
        <v>1</v>
      </c>
      <c r="BW138" s="101"/>
      <c r="BX138" s="101"/>
      <c r="BY138" s="101"/>
      <c r="BZ138" s="101"/>
      <c r="CA138" s="101"/>
      <c r="CB138" s="101"/>
      <c r="CC138" s="101"/>
      <c r="CD138" s="101">
        <f t="shared" si="39"/>
        <v>1</v>
      </c>
      <c r="CE138" s="101" t="str">
        <f t="shared" si="40"/>
        <v>Y</v>
      </c>
      <c r="CF138" s="54"/>
      <c r="CG138" s="102"/>
      <c r="CH138" s="102"/>
      <c r="CI138" s="102"/>
      <c r="CJ138" s="102"/>
      <c r="CK138" s="102"/>
      <c r="CL138" s="102"/>
      <c r="CM138" s="102"/>
      <c r="CN138" s="102"/>
      <c r="CO138" s="102"/>
      <c r="CP138" s="102"/>
      <c r="CQ138" s="102"/>
      <c r="CR138" s="102"/>
      <c r="CS138" s="102"/>
      <c r="CT138" s="102"/>
      <c r="CU138" s="102"/>
      <c r="CV138" s="102" t="e">
        <v>#REF!</v>
      </c>
      <c r="CW138" s="102"/>
      <c r="CX138" s="102"/>
      <c r="CY138" s="102"/>
      <c r="CZ138" s="102" t="e">
        <f t="shared" si="41"/>
        <v>#REF!</v>
      </c>
      <c r="DA138" s="102" t="e">
        <f t="shared" si="42"/>
        <v>#REF!</v>
      </c>
      <c r="DB138" s="58"/>
      <c r="DC138" s="101">
        <v>1</v>
      </c>
      <c r="DD138" s="101"/>
      <c r="DE138" s="101"/>
      <c r="DF138" s="101"/>
      <c r="DG138" s="101"/>
      <c r="DH138" s="101"/>
      <c r="DI138" s="101"/>
      <c r="DJ138" s="101"/>
      <c r="DK138" s="101"/>
      <c r="DL138" s="101"/>
      <c r="DM138" s="101"/>
      <c r="DN138" s="101"/>
      <c r="DO138" s="101"/>
      <c r="DP138" s="101"/>
      <c r="DQ138" s="101"/>
      <c r="DR138" s="101"/>
      <c r="DS138" s="101"/>
      <c r="DT138" s="101"/>
      <c r="DU138" s="101"/>
      <c r="DV138" s="101">
        <f t="shared" si="43"/>
        <v>1</v>
      </c>
      <c r="DW138" s="101" t="str">
        <f t="shared" si="47"/>
        <v>Y</v>
      </c>
      <c r="DX138" s="103"/>
      <c r="DY138" s="104"/>
      <c r="DZ138" s="104"/>
      <c r="EA138" s="104"/>
      <c r="EB138" s="104"/>
      <c r="EC138" s="104"/>
      <c r="ED138" s="104"/>
      <c r="EE138" s="104" t="e">
        <v>#REF!</v>
      </c>
      <c r="EF138" s="104"/>
      <c r="EG138" s="104"/>
      <c r="EH138" s="104"/>
      <c r="EI138" s="104"/>
      <c r="EJ138" s="104"/>
      <c r="EK138" s="104" t="e">
        <f t="shared" si="45"/>
        <v>#REF!</v>
      </c>
      <c r="EL138" s="104" t="e">
        <f t="shared" si="46"/>
        <v>#REF!</v>
      </c>
      <c r="EM138" s="62"/>
      <c r="EN138" s="6"/>
      <c r="EO138" s="6"/>
      <c r="EP138" s="6"/>
      <c r="EQ138" s="6"/>
      <c r="ER138" s="6"/>
    </row>
    <row r="139" spans="1:148" x14ac:dyDescent="0.2">
      <c r="A139" s="144"/>
      <c r="B139" s="1138" t="s">
        <v>351</v>
      </c>
      <c r="C139" s="1140" t="s">
        <v>353</v>
      </c>
      <c r="D139" s="1133" t="s">
        <v>179</v>
      </c>
      <c r="E139" s="1085"/>
      <c r="F139" s="1144"/>
      <c r="G139" s="1076" t="s">
        <v>352</v>
      </c>
      <c r="H139" s="1076" t="s">
        <v>342</v>
      </c>
      <c r="I139" s="1076"/>
      <c r="J139" s="1079">
        <v>2</v>
      </c>
      <c r="K139" s="1076"/>
      <c r="L139" s="180"/>
      <c r="M139" s="186"/>
      <c r="N139" s="177"/>
      <c r="O139" s="177"/>
      <c r="P139" s="172"/>
      <c r="Q139" s="173"/>
      <c r="R139" s="173"/>
      <c r="S139" s="173"/>
      <c r="T139" s="173"/>
      <c r="U139" s="173"/>
      <c r="V139" s="174"/>
      <c r="W139" s="175"/>
      <c r="X139" s="1197" t="s">
        <v>367</v>
      </c>
      <c r="Y139" s="116"/>
      <c r="Z139" s="116"/>
      <c r="AA139" s="116"/>
      <c r="AB139" s="116"/>
      <c r="AC139" s="116"/>
      <c r="AD139" s="116"/>
      <c r="AE139" s="116"/>
      <c r="AF139" s="116"/>
      <c r="AG139" s="116"/>
      <c r="AH139" s="116"/>
      <c r="AI139" s="116"/>
      <c r="AJ139" s="116"/>
      <c r="AK139" s="117"/>
      <c r="AL139" s="117"/>
      <c r="AM139" s="117"/>
      <c r="AN139" s="117"/>
      <c r="AO139" s="116"/>
      <c r="AP139" s="116"/>
      <c r="AQ139" s="95"/>
      <c r="AR139" s="95"/>
      <c r="AS139" s="95"/>
      <c r="AT139" s="95"/>
      <c r="AU139" s="95"/>
      <c r="AV139" s="95"/>
      <c r="AW139" s="95"/>
      <c r="AX139" s="95"/>
      <c r="AY139" s="95"/>
      <c r="AZ139" s="95"/>
      <c r="BA139" s="95"/>
      <c r="BB139" s="95"/>
      <c r="BC139" s="95"/>
      <c r="BD139" s="95"/>
      <c r="BE139" s="95"/>
      <c r="BF139" s="96"/>
      <c r="BG139" s="97"/>
      <c r="BH139" s="98"/>
      <c r="BI139" s="98"/>
      <c r="BJ139" s="98"/>
      <c r="BK139" s="98"/>
      <c r="BL139" s="111"/>
      <c r="BM139" s="98"/>
      <c r="BN139" s="98"/>
      <c r="BO139" s="115"/>
      <c r="BP139" s="100"/>
      <c r="BQ139" s="100"/>
      <c r="BR139" s="100"/>
      <c r="BS139" s="100"/>
      <c r="BT139" s="100"/>
      <c r="BU139" s="50"/>
      <c r="BV139" s="101"/>
      <c r="BW139" s="101"/>
      <c r="BX139" s="101"/>
      <c r="BY139" s="101"/>
      <c r="BZ139" s="101"/>
      <c r="CA139" s="101"/>
      <c r="CB139" s="101"/>
      <c r="CC139" s="101"/>
      <c r="CD139" s="101"/>
      <c r="CE139" s="101"/>
      <c r="CF139" s="54"/>
      <c r="CG139" s="102"/>
      <c r="CH139" s="102"/>
      <c r="CI139" s="102"/>
      <c r="CJ139" s="102"/>
      <c r="CK139" s="102"/>
      <c r="CL139" s="102"/>
      <c r="CM139" s="102"/>
      <c r="CN139" s="102"/>
      <c r="CO139" s="102"/>
      <c r="CP139" s="102"/>
      <c r="CQ139" s="102"/>
      <c r="CR139" s="102"/>
      <c r="CS139" s="102"/>
      <c r="CT139" s="102"/>
      <c r="CU139" s="102"/>
      <c r="CV139" s="102"/>
      <c r="CW139" s="102"/>
      <c r="CX139" s="102"/>
      <c r="CY139" s="102"/>
      <c r="CZ139" s="102"/>
      <c r="DA139" s="102"/>
      <c r="DB139" s="58"/>
      <c r="DC139" s="101"/>
      <c r="DD139" s="101"/>
      <c r="DE139" s="101"/>
      <c r="DF139" s="101"/>
      <c r="DG139" s="101"/>
      <c r="DH139" s="101"/>
      <c r="DI139" s="101"/>
      <c r="DJ139" s="101"/>
      <c r="DK139" s="101"/>
      <c r="DL139" s="101"/>
      <c r="DM139" s="101"/>
      <c r="DN139" s="101"/>
      <c r="DO139" s="101"/>
      <c r="DP139" s="101"/>
      <c r="DQ139" s="101"/>
      <c r="DR139" s="101"/>
      <c r="DS139" s="101"/>
      <c r="DT139" s="101"/>
      <c r="DU139" s="101"/>
      <c r="DV139" s="101"/>
      <c r="DW139" s="101"/>
      <c r="DX139" s="103"/>
      <c r="DY139" s="104"/>
      <c r="DZ139" s="104"/>
      <c r="EA139" s="104"/>
      <c r="EB139" s="104"/>
      <c r="EC139" s="104"/>
      <c r="ED139" s="104"/>
      <c r="EE139" s="104"/>
      <c r="EF139" s="104"/>
      <c r="EG139" s="104"/>
      <c r="EH139" s="104"/>
      <c r="EI139" s="104"/>
      <c r="EJ139" s="104"/>
      <c r="EK139" s="104"/>
      <c r="EL139" s="104"/>
      <c r="EM139" s="62"/>
      <c r="EN139" s="6"/>
      <c r="EO139" s="6"/>
      <c r="EP139" s="6"/>
      <c r="EQ139" s="6"/>
      <c r="ER139" s="6"/>
    </row>
    <row r="140" spans="1:148" x14ac:dyDescent="0.2">
      <c r="A140" s="144"/>
      <c r="B140" s="1139"/>
      <c r="C140" s="1141"/>
      <c r="D140" s="1134"/>
      <c r="E140" s="1086"/>
      <c r="F140" s="1079"/>
      <c r="G140" s="1077"/>
      <c r="H140" s="1077"/>
      <c r="I140" s="1077"/>
      <c r="J140" s="1079"/>
      <c r="K140" s="1077"/>
      <c r="L140" s="181"/>
      <c r="M140" s="186"/>
      <c r="N140" s="177"/>
      <c r="O140" s="177"/>
      <c r="P140" s="172"/>
      <c r="Q140" s="173"/>
      <c r="R140" s="173"/>
      <c r="S140" s="173"/>
      <c r="T140" s="173"/>
      <c r="U140" s="173"/>
      <c r="V140" s="174"/>
      <c r="W140" s="175"/>
      <c r="X140" s="1198"/>
      <c r="Y140" s="116"/>
      <c r="Z140" s="116"/>
      <c r="AA140" s="116"/>
      <c r="AB140" s="116"/>
      <c r="AC140" s="116"/>
      <c r="AD140" s="116"/>
      <c r="AE140" s="116"/>
      <c r="AF140" s="116"/>
      <c r="AG140" s="116"/>
      <c r="AH140" s="116"/>
      <c r="AI140" s="116"/>
      <c r="AJ140" s="116"/>
      <c r="AK140" s="117"/>
      <c r="AL140" s="117"/>
      <c r="AM140" s="117"/>
      <c r="AN140" s="117"/>
      <c r="AO140" s="116"/>
      <c r="AP140" s="116"/>
      <c r="AQ140" s="95"/>
      <c r="AR140" s="95"/>
      <c r="AS140" s="95"/>
      <c r="AT140" s="95"/>
      <c r="AU140" s="95"/>
      <c r="AV140" s="95"/>
      <c r="AW140" s="95"/>
      <c r="AX140" s="95"/>
      <c r="AY140" s="95"/>
      <c r="AZ140" s="95"/>
      <c r="BA140" s="95"/>
      <c r="BB140" s="95"/>
      <c r="BC140" s="95"/>
      <c r="BD140" s="95"/>
      <c r="BE140" s="95"/>
      <c r="BF140" s="96"/>
      <c r="BG140" s="97"/>
      <c r="BH140" s="98"/>
      <c r="BI140" s="98"/>
      <c r="BJ140" s="98"/>
      <c r="BK140" s="98"/>
      <c r="BL140" s="111"/>
      <c r="BM140" s="98"/>
      <c r="BN140" s="98"/>
      <c r="BO140" s="115"/>
      <c r="BP140" s="100"/>
      <c r="BQ140" s="100"/>
      <c r="BR140" s="100"/>
      <c r="BS140" s="100"/>
      <c r="BT140" s="100"/>
      <c r="BU140" s="50"/>
      <c r="BV140" s="101"/>
      <c r="BW140" s="101"/>
      <c r="BX140" s="101"/>
      <c r="BY140" s="101"/>
      <c r="BZ140" s="101"/>
      <c r="CA140" s="101"/>
      <c r="CB140" s="101"/>
      <c r="CC140" s="101"/>
      <c r="CD140" s="101"/>
      <c r="CE140" s="101"/>
      <c r="CF140" s="54"/>
      <c r="CG140" s="102"/>
      <c r="CH140" s="102"/>
      <c r="CI140" s="102"/>
      <c r="CJ140" s="102"/>
      <c r="CK140" s="102"/>
      <c r="CL140" s="102"/>
      <c r="CM140" s="102"/>
      <c r="CN140" s="102"/>
      <c r="CO140" s="102"/>
      <c r="CP140" s="102"/>
      <c r="CQ140" s="102"/>
      <c r="CR140" s="102"/>
      <c r="CS140" s="102"/>
      <c r="CT140" s="102"/>
      <c r="CU140" s="102"/>
      <c r="CV140" s="102"/>
      <c r="CW140" s="102"/>
      <c r="CX140" s="102"/>
      <c r="CY140" s="102"/>
      <c r="CZ140" s="102"/>
      <c r="DA140" s="102"/>
      <c r="DB140" s="58"/>
      <c r="DC140" s="101"/>
      <c r="DD140" s="101"/>
      <c r="DE140" s="101"/>
      <c r="DF140" s="101"/>
      <c r="DG140" s="101"/>
      <c r="DH140" s="101"/>
      <c r="DI140" s="101"/>
      <c r="DJ140" s="101"/>
      <c r="DK140" s="101"/>
      <c r="DL140" s="101"/>
      <c r="DM140" s="101"/>
      <c r="DN140" s="101"/>
      <c r="DO140" s="101"/>
      <c r="DP140" s="101"/>
      <c r="DQ140" s="101"/>
      <c r="DR140" s="101"/>
      <c r="DS140" s="101"/>
      <c r="DT140" s="101"/>
      <c r="DU140" s="101"/>
      <c r="DV140" s="101"/>
      <c r="DW140" s="101"/>
      <c r="DX140" s="103"/>
      <c r="DY140" s="104"/>
      <c r="DZ140" s="104"/>
      <c r="EA140" s="104"/>
      <c r="EB140" s="104"/>
      <c r="EC140" s="104"/>
      <c r="ED140" s="104"/>
      <c r="EE140" s="104"/>
      <c r="EF140" s="104"/>
      <c r="EG140" s="104"/>
      <c r="EH140" s="104"/>
      <c r="EI140" s="104"/>
      <c r="EJ140" s="104"/>
      <c r="EK140" s="104"/>
      <c r="EL140" s="104"/>
      <c r="EM140" s="62"/>
      <c r="EN140" s="6"/>
      <c r="EO140" s="6"/>
      <c r="EP140" s="6"/>
      <c r="EQ140" s="6"/>
      <c r="ER140" s="6"/>
    </row>
    <row r="141" spans="1:148" ht="13.5" thickBot="1" x14ac:dyDescent="0.25">
      <c r="A141" s="144"/>
      <c r="B141" s="1145"/>
      <c r="C141" s="1142"/>
      <c r="D141" s="1136"/>
      <c r="E141" s="1143"/>
      <c r="F141" s="1080"/>
      <c r="G141" s="1078"/>
      <c r="H141" s="1078"/>
      <c r="I141" s="1078"/>
      <c r="J141" s="1080"/>
      <c r="K141" s="1078"/>
      <c r="L141" s="187"/>
      <c r="M141" s="186"/>
      <c r="N141" s="177"/>
      <c r="O141" s="177"/>
      <c r="P141" s="172"/>
      <c r="Q141" s="173"/>
      <c r="R141" s="173"/>
      <c r="S141" s="173"/>
      <c r="T141" s="173"/>
      <c r="U141" s="173"/>
      <c r="V141" s="174"/>
      <c r="W141" s="175"/>
      <c r="X141" s="1199"/>
      <c r="Y141" s="116"/>
      <c r="Z141" s="116"/>
      <c r="AA141" s="116"/>
      <c r="AB141" s="116"/>
      <c r="AC141" s="116"/>
      <c r="AD141" s="116"/>
      <c r="AE141" s="116"/>
      <c r="AF141" s="116"/>
      <c r="AG141" s="116"/>
      <c r="AH141" s="116"/>
      <c r="AI141" s="116"/>
      <c r="AJ141" s="116"/>
      <c r="AK141" s="117"/>
      <c r="AL141" s="117"/>
      <c r="AM141" s="117"/>
      <c r="AN141" s="117"/>
      <c r="AO141" s="116"/>
      <c r="AP141" s="116"/>
      <c r="AQ141" s="95"/>
      <c r="AR141" s="95"/>
      <c r="AS141" s="95"/>
      <c r="AT141" s="95"/>
      <c r="AU141" s="95"/>
      <c r="AV141" s="95"/>
      <c r="AW141" s="95"/>
      <c r="AX141" s="95"/>
      <c r="AY141" s="95"/>
      <c r="AZ141" s="95"/>
      <c r="BA141" s="95"/>
      <c r="BB141" s="95"/>
      <c r="BC141" s="95"/>
      <c r="BD141" s="95"/>
      <c r="BE141" s="95"/>
      <c r="BF141" s="96"/>
      <c r="BG141" s="97"/>
      <c r="BH141" s="98"/>
      <c r="BI141" s="98"/>
      <c r="BJ141" s="98"/>
      <c r="BK141" s="98"/>
      <c r="BL141" s="111"/>
      <c r="BM141" s="98"/>
      <c r="BN141" s="98"/>
      <c r="BO141" s="115"/>
      <c r="BP141" s="100"/>
      <c r="BQ141" s="100"/>
      <c r="BR141" s="100"/>
      <c r="BS141" s="100"/>
      <c r="BT141" s="100"/>
      <c r="BU141" s="50"/>
      <c r="BV141" s="101"/>
      <c r="BW141" s="101"/>
      <c r="BX141" s="101"/>
      <c r="BY141" s="101"/>
      <c r="BZ141" s="101"/>
      <c r="CA141" s="101"/>
      <c r="CB141" s="101"/>
      <c r="CC141" s="101"/>
      <c r="CD141" s="101"/>
      <c r="CE141" s="101"/>
      <c r="CF141" s="54"/>
      <c r="CG141" s="102"/>
      <c r="CH141" s="102"/>
      <c r="CI141" s="102"/>
      <c r="CJ141" s="102"/>
      <c r="CK141" s="102"/>
      <c r="CL141" s="102"/>
      <c r="CM141" s="102"/>
      <c r="CN141" s="102"/>
      <c r="CO141" s="102"/>
      <c r="CP141" s="102"/>
      <c r="CQ141" s="102"/>
      <c r="CR141" s="102"/>
      <c r="CS141" s="102"/>
      <c r="CT141" s="102"/>
      <c r="CU141" s="102"/>
      <c r="CV141" s="102"/>
      <c r="CW141" s="102"/>
      <c r="CX141" s="102"/>
      <c r="CY141" s="102"/>
      <c r="CZ141" s="102"/>
      <c r="DA141" s="102"/>
      <c r="DB141" s="58"/>
      <c r="DC141" s="101"/>
      <c r="DD141" s="101"/>
      <c r="DE141" s="101"/>
      <c r="DF141" s="101"/>
      <c r="DG141" s="101"/>
      <c r="DH141" s="101"/>
      <c r="DI141" s="101"/>
      <c r="DJ141" s="101"/>
      <c r="DK141" s="101"/>
      <c r="DL141" s="101"/>
      <c r="DM141" s="101"/>
      <c r="DN141" s="101"/>
      <c r="DO141" s="101"/>
      <c r="DP141" s="101"/>
      <c r="DQ141" s="101"/>
      <c r="DR141" s="101"/>
      <c r="DS141" s="101"/>
      <c r="DT141" s="101"/>
      <c r="DU141" s="101"/>
      <c r="DV141" s="101"/>
      <c r="DW141" s="101"/>
      <c r="DX141" s="103"/>
      <c r="DY141" s="104"/>
      <c r="DZ141" s="104"/>
      <c r="EA141" s="104"/>
      <c r="EB141" s="104"/>
      <c r="EC141" s="104"/>
      <c r="ED141" s="104"/>
      <c r="EE141" s="104"/>
      <c r="EF141" s="104"/>
      <c r="EG141" s="104"/>
      <c r="EH141" s="104"/>
      <c r="EI141" s="104"/>
      <c r="EJ141" s="104"/>
      <c r="EK141" s="104"/>
      <c r="EL141" s="104"/>
      <c r="EM141" s="62"/>
      <c r="EN141" s="6"/>
      <c r="EO141" s="6"/>
      <c r="EP141" s="6"/>
      <c r="EQ141" s="6"/>
      <c r="ER141" s="6"/>
    </row>
    <row r="142" spans="1:148" x14ac:dyDescent="0.2">
      <c r="A142" s="143"/>
      <c r="B142" s="1138" t="s">
        <v>94</v>
      </c>
      <c r="C142" s="1140" t="s">
        <v>93</v>
      </c>
      <c r="D142" s="1133"/>
      <c r="E142" s="1085"/>
      <c r="F142" s="1144"/>
      <c r="G142" s="1076" t="s">
        <v>349</v>
      </c>
      <c r="H142" s="1076" t="s">
        <v>281</v>
      </c>
      <c r="I142" s="1076"/>
      <c r="J142" s="1079">
        <f>Y142+AA142+AC142+AE142+AG142+AI142+AK142+AM142+AO142</f>
        <v>1</v>
      </c>
      <c r="K142" s="1076"/>
      <c r="L142" s="180"/>
      <c r="M142" s="186"/>
      <c r="N142" s="177"/>
      <c r="O142" s="177"/>
      <c r="P142" s="172"/>
      <c r="Q142" s="173"/>
      <c r="R142" s="173"/>
      <c r="S142" s="173"/>
      <c r="T142" s="173"/>
      <c r="U142" s="173"/>
      <c r="V142" s="189"/>
      <c r="W142" s="190"/>
      <c r="X142" s="1098" t="s">
        <v>383</v>
      </c>
      <c r="Y142" s="1081">
        <f>IF(HC="Y",IF(BF142="Y",Z142,0),0)</f>
        <v>0</v>
      </c>
      <c r="Z142" s="1081">
        <v>1</v>
      </c>
      <c r="AA142" s="1081">
        <f>IF(OFF="Y",IF(BN142="Y",AB142,0),0)</f>
        <v>1</v>
      </c>
      <c r="AB142" s="1081">
        <v>1</v>
      </c>
      <c r="AC142" s="1081">
        <f>IF(COURTS="Y",IF(BT142="Y",AD142,0),0)</f>
        <v>0</v>
      </c>
      <c r="AD142" s="1081">
        <v>1</v>
      </c>
      <c r="AE142" s="1081">
        <f>IF(PRISONS="Y",IF(CE142="Y",AF142,0),0)</f>
        <v>0</v>
      </c>
      <c r="AF142" s="1081">
        <v>1</v>
      </c>
      <c r="AG142" s="1081">
        <f>IF(RET="Y",IF(DA142="Y",AH142,0),0)</f>
        <v>0</v>
      </c>
      <c r="AH142" s="1081">
        <v>1</v>
      </c>
      <c r="AI142" s="1081">
        <f>IF(SCHOOLS="y",IF(DW142="y",AJ142,0),0)</f>
        <v>0</v>
      </c>
      <c r="AJ142" s="1081">
        <v>1</v>
      </c>
      <c r="AK142" s="1082">
        <f>IF(FE="y",IF(DW142="y",AL142,0),0)</f>
        <v>0</v>
      </c>
      <c r="AL142" s="1082">
        <v>1</v>
      </c>
      <c r="AM142" s="1082">
        <f>IF(HE="Y",IF(DW142="Y",AN142,0),0)</f>
        <v>0</v>
      </c>
      <c r="AN142" s="1082">
        <v>1</v>
      </c>
      <c r="AO142" s="1081">
        <f>IF(INDUSTRIAL="Y",IF(EL142="Y",AP142,0),0)</f>
        <v>0</v>
      </c>
      <c r="AP142" s="1081">
        <v>1</v>
      </c>
      <c r="AQ142" s="95">
        <v>1</v>
      </c>
      <c r="AR142" s="95"/>
      <c r="AS142" s="95"/>
      <c r="AT142" s="95"/>
      <c r="AU142" s="95"/>
      <c r="AV142" s="95"/>
      <c r="AW142" s="95"/>
      <c r="AX142" s="95"/>
      <c r="AY142" s="95"/>
      <c r="AZ142" s="95"/>
      <c r="BA142" s="95"/>
      <c r="BB142" s="95"/>
      <c r="BC142" s="95"/>
      <c r="BD142" s="95"/>
      <c r="BE142" s="95">
        <f t="shared" si="33"/>
        <v>1</v>
      </c>
      <c r="BF142" s="96" t="str">
        <f t="shared" si="34"/>
        <v>Y</v>
      </c>
      <c r="BG142" s="97"/>
      <c r="BH142" s="98">
        <v>1</v>
      </c>
      <c r="BI142" s="98"/>
      <c r="BJ142" s="98"/>
      <c r="BK142" s="98"/>
      <c r="BL142" s="111"/>
      <c r="BM142" s="98">
        <f t="shared" si="35"/>
        <v>1</v>
      </c>
      <c r="BN142" s="98" t="str">
        <f t="shared" si="36"/>
        <v>Y</v>
      </c>
      <c r="BO142" s="115"/>
      <c r="BP142" s="100">
        <v>1</v>
      </c>
      <c r="BQ142" s="100"/>
      <c r="BR142" s="100"/>
      <c r="BS142" s="100">
        <f t="shared" si="37"/>
        <v>1</v>
      </c>
      <c r="BT142" s="100" t="str">
        <f t="shared" si="38"/>
        <v>Y</v>
      </c>
      <c r="BU142" s="50"/>
      <c r="BV142" s="101">
        <v>1</v>
      </c>
      <c r="BW142" s="101"/>
      <c r="BX142" s="101"/>
      <c r="BY142" s="101"/>
      <c r="BZ142" s="101"/>
      <c r="CA142" s="101"/>
      <c r="CB142" s="101"/>
      <c r="CC142" s="101"/>
      <c r="CD142" s="101">
        <f t="shared" si="39"/>
        <v>1</v>
      </c>
      <c r="CE142" s="101" t="str">
        <f t="shared" si="40"/>
        <v>Y</v>
      </c>
      <c r="CF142" s="54"/>
      <c r="CG142" s="102">
        <v>1</v>
      </c>
      <c r="CH142" s="102"/>
      <c r="CI142" s="102"/>
      <c r="CJ142" s="102"/>
      <c r="CK142" s="102"/>
      <c r="CL142" s="102"/>
      <c r="CM142" s="102"/>
      <c r="CN142" s="102"/>
      <c r="CO142" s="102"/>
      <c r="CP142" s="102"/>
      <c r="CQ142" s="102"/>
      <c r="CR142" s="102"/>
      <c r="CS142" s="102"/>
      <c r="CT142" s="102"/>
      <c r="CU142" s="102"/>
      <c r="CV142" s="102"/>
      <c r="CW142" s="102"/>
      <c r="CX142" s="102"/>
      <c r="CY142" s="102"/>
      <c r="CZ142" s="102">
        <f t="shared" si="41"/>
        <v>1</v>
      </c>
      <c r="DA142" s="102" t="str">
        <f t="shared" si="42"/>
        <v>Y</v>
      </c>
      <c r="DB142" s="58"/>
      <c r="DC142" s="101">
        <v>1</v>
      </c>
      <c r="DD142" s="101"/>
      <c r="DE142" s="101"/>
      <c r="DF142" s="101"/>
      <c r="DG142" s="101"/>
      <c r="DH142" s="101"/>
      <c r="DI142" s="101"/>
      <c r="DJ142" s="101"/>
      <c r="DK142" s="101"/>
      <c r="DL142" s="101"/>
      <c r="DM142" s="101"/>
      <c r="DN142" s="101"/>
      <c r="DO142" s="101"/>
      <c r="DP142" s="101"/>
      <c r="DQ142" s="101"/>
      <c r="DR142" s="101"/>
      <c r="DS142" s="101"/>
      <c r="DT142" s="101"/>
      <c r="DU142" s="101"/>
      <c r="DV142" s="101">
        <f t="shared" si="43"/>
        <v>1</v>
      </c>
      <c r="DW142" s="101" t="str">
        <f t="shared" si="47"/>
        <v>Y</v>
      </c>
      <c r="DX142" s="103"/>
      <c r="DY142" s="104">
        <v>1</v>
      </c>
      <c r="DZ142" s="104"/>
      <c r="EA142" s="104"/>
      <c r="EB142" s="104"/>
      <c r="EC142" s="104"/>
      <c r="ED142" s="104"/>
      <c r="EE142" s="104"/>
      <c r="EF142" s="104"/>
      <c r="EG142" s="104"/>
      <c r="EH142" s="104"/>
      <c r="EI142" s="104"/>
      <c r="EJ142" s="104"/>
      <c r="EK142" s="104">
        <f t="shared" si="45"/>
        <v>1</v>
      </c>
      <c r="EL142" s="104" t="str">
        <f t="shared" si="46"/>
        <v>Y</v>
      </c>
      <c r="EM142" s="62"/>
      <c r="EN142" s="6"/>
      <c r="EO142" s="6"/>
      <c r="EP142" s="6"/>
      <c r="EQ142" s="6"/>
      <c r="ER142" s="6"/>
    </row>
    <row r="143" spans="1:148" x14ac:dyDescent="0.2">
      <c r="A143" s="143"/>
      <c r="B143" s="1139"/>
      <c r="C143" s="1141"/>
      <c r="D143" s="1134"/>
      <c r="E143" s="1086"/>
      <c r="F143" s="1079"/>
      <c r="G143" s="1077"/>
      <c r="H143" s="1077"/>
      <c r="I143" s="1077"/>
      <c r="J143" s="1079"/>
      <c r="K143" s="1077"/>
      <c r="L143" s="181"/>
      <c r="M143" s="186"/>
      <c r="N143" s="177"/>
      <c r="O143" s="177"/>
      <c r="P143" s="172"/>
      <c r="Q143" s="173"/>
      <c r="R143" s="173"/>
      <c r="S143" s="173"/>
      <c r="T143" s="173"/>
      <c r="U143" s="173"/>
      <c r="V143" s="189"/>
      <c r="W143" s="190"/>
      <c r="X143" s="1099"/>
      <c r="Y143" s="1081"/>
      <c r="Z143" s="1081"/>
      <c r="AA143" s="1081"/>
      <c r="AB143" s="1081"/>
      <c r="AC143" s="1081"/>
      <c r="AD143" s="1081"/>
      <c r="AE143" s="1081"/>
      <c r="AF143" s="1081"/>
      <c r="AG143" s="1081"/>
      <c r="AH143" s="1081"/>
      <c r="AI143" s="1081"/>
      <c r="AJ143" s="1081"/>
      <c r="AK143" s="1082"/>
      <c r="AL143" s="1082"/>
      <c r="AM143" s="1082"/>
      <c r="AN143" s="1082"/>
      <c r="AO143" s="1081"/>
      <c r="AP143" s="1081"/>
      <c r="AQ143" s="95">
        <v>1</v>
      </c>
      <c r="AR143" s="95"/>
      <c r="AS143" s="95"/>
      <c r="AT143" s="95"/>
      <c r="AU143" s="95"/>
      <c r="AV143" s="95"/>
      <c r="AW143" s="95"/>
      <c r="AX143" s="95"/>
      <c r="AY143" s="95"/>
      <c r="AZ143" s="95"/>
      <c r="BA143" s="95"/>
      <c r="BB143" s="95"/>
      <c r="BC143" s="95"/>
      <c r="BD143" s="95"/>
      <c r="BE143" s="95">
        <f t="shared" si="33"/>
        <v>1</v>
      </c>
      <c r="BF143" s="96" t="str">
        <f t="shared" si="34"/>
        <v>Y</v>
      </c>
      <c r="BG143" s="97"/>
      <c r="BH143" s="98">
        <v>1</v>
      </c>
      <c r="BI143" s="98"/>
      <c r="BJ143" s="98"/>
      <c r="BK143" s="98"/>
      <c r="BL143" s="111"/>
      <c r="BM143" s="98">
        <f t="shared" si="35"/>
        <v>1</v>
      </c>
      <c r="BN143" s="98" t="str">
        <f t="shared" si="36"/>
        <v>Y</v>
      </c>
      <c r="BO143" s="115"/>
      <c r="BP143" s="100">
        <v>1</v>
      </c>
      <c r="BQ143" s="100"/>
      <c r="BR143" s="100"/>
      <c r="BS143" s="100">
        <f t="shared" si="37"/>
        <v>1</v>
      </c>
      <c r="BT143" s="100" t="str">
        <f t="shared" si="38"/>
        <v>Y</v>
      </c>
      <c r="BU143" s="50"/>
      <c r="BV143" s="101">
        <v>1</v>
      </c>
      <c r="BW143" s="101"/>
      <c r="BX143" s="101"/>
      <c r="BY143" s="101"/>
      <c r="BZ143" s="101"/>
      <c r="CA143" s="101"/>
      <c r="CB143" s="101"/>
      <c r="CC143" s="101"/>
      <c r="CD143" s="101">
        <f t="shared" si="39"/>
        <v>1</v>
      </c>
      <c r="CE143" s="101" t="str">
        <f t="shared" si="40"/>
        <v>Y</v>
      </c>
      <c r="CF143" s="54"/>
      <c r="CG143" s="102">
        <v>1</v>
      </c>
      <c r="CH143" s="102"/>
      <c r="CI143" s="102"/>
      <c r="CJ143" s="102"/>
      <c r="CK143" s="102"/>
      <c r="CL143" s="102"/>
      <c r="CM143" s="102"/>
      <c r="CN143" s="102"/>
      <c r="CO143" s="102"/>
      <c r="CP143" s="102"/>
      <c r="CQ143" s="102"/>
      <c r="CR143" s="102"/>
      <c r="CS143" s="102"/>
      <c r="CT143" s="102"/>
      <c r="CU143" s="102"/>
      <c r="CV143" s="102"/>
      <c r="CW143" s="102"/>
      <c r="CX143" s="102"/>
      <c r="CY143" s="102"/>
      <c r="CZ143" s="102">
        <f t="shared" si="41"/>
        <v>1</v>
      </c>
      <c r="DA143" s="102" t="str">
        <f t="shared" si="42"/>
        <v>Y</v>
      </c>
      <c r="DB143" s="58"/>
      <c r="DC143" s="101">
        <v>1</v>
      </c>
      <c r="DD143" s="101"/>
      <c r="DE143" s="101"/>
      <c r="DF143" s="101"/>
      <c r="DG143" s="101"/>
      <c r="DH143" s="101"/>
      <c r="DI143" s="101"/>
      <c r="DJ143" s="101"/>
      <c r="DK143" s="101"/>
      <c r="DL143" s="101"/>
      <c r="DM143" s="101"/>
      <c r="DN143" s="101"/>
      <c r="DO143" s="101"/>
      <c r="DP143" s="101"/>
      <c r="DQ143" s="101"/>
      <c r="DR143" s="101"/>
      <c r="DS143" s="101"/>
      <c r="DT143" s="101"/>
      <c r="DU143" s="101"/>
      <c r="DV143" s="101">
        <f t="shared" si="43"/>
        <v>1</v>
      </c>
      <c r="DW143" s="101" t="str">
        <f t="shared" si="47"/>
        <v>Y</v>
      </c>
      <c r="DX143" s="103"/>
      <c r="DY143" s="104">
        <v>1</v>
      </c>
      <c r="DZ143" s="104"/>
      <c r="EA143" s="104"/>
      <c r="EB143" s="104"/>
      <c r="EC143" s="104"/>
      <c r="ED143" s="104"/>
      <c r="EE143" s="104"/>
      <c r="EF143" s="104"/>
      <c r="EG143" s="104"/>
      <c r="EH143" s="104"/>
      <c r="EI143" s="104"/>
      <c r="EJ143" s="104"/>
      <c r="EK143" s="104">
        <f t="shared" si="45"/>
        <v>1</v>
      </c>
      <c r="EL143" s="104" t="str">
        <f t="shared" si="46"/>
        <v>Y</v>
      </c>
      <c r="EM143" s="62"/>
      <c r="EN143" s="6"/>
      <c r="EO143" s="6"/>
      <c r="EP143" s="6"/>
      <c r="EQ143" s="6"/>
      <c r="ER143" s="6"/>
    </row>
    <row r="144" spans="1:148" ht="13.5" thickBot="1" x14ac:dyDescent="0.25">
      <c r="A144" s="143"/>
      <c r="B144" s="1145"/>
      <c r="C144" s="1142"/>
      <c r="D144" s="1136"/>
      <c r="E144" s="1143"/>
      <c r="F144" s="1080"/>
      <c r="G144" s="1078"/>
      <c r="H144" s="1078"/>
      <c r="I144" s="1078"/>
      <c r="J144" s="1080"/>
      <c r="K144" s="1078"/>
      <c r="L144" s="180"/>
      <c r="M144" s="186"/>
      <c r="N144" s="177"/>
      <c r="O144" s="177"/>
      <c r="P144" s="172"/>
      <c r="Q144" s="173"/>
      <c r="R144" s="173"/>
      <c r="S144" s="173"/>
      <c r="T144" s="173"/>
      <c r="U144" s="173"/>
      <c r="V144" s="174"/>
      <c r="W144" s="175"/>
      <c r="X144" s="1100"/>
      <c r="Y144" s="1081"/>
      <c r="Z144" s="1081"/>
      <c r="AA144" s="1081"/>
      <c r="AB144" s="1081"/>
      <c r="AC144" s="1081"/>
      <c r="AD144" s="1081"/>
      <c r="AE144" s="1081"/>
      <c r="AF144" s="1081"/>
      <c r="AG144" s="1081"/>
      <c r="AH144" s="1081"/>
      <c r="AI144" s="1081"/>
      <c r="AJ144" s="1081"/>
      <c r="AK144" s="1082"/>
      <c r="AL144" s="1082"/>
      <c r="AM144" s="1082"/>
      <c r="AN144" s="1082"/>
      <c r="AO144" s="1081"/>
      <c r="AP144" s="1081"/>
      <c r="AQ144" s="95">
        <v>1</v>
      </c>
      <c r="AR144" s="95"/>
      <c r="AS144" s="95"/>
      <c r="AT144" s="95"/>
      <c r="AU144" s="95"/>
      <c r="AV144" s="95"/>
      <c r="AW144" s="95"/>
      <c r="AX144" s="95"/>
      <c r="AY144" s="95"/>
      <c r="AZ144" s="95"/>
      <c r="BA144" s="95"/>
      <c r="BB144" s="95"/>
      <c r="BC144" s="95"/>
      <c r="BD144" s="95"/>
      <c r="BE144" s="95">
        <f t="shared" si="33"/>
        <v>1</v>
      </c>
      <c r="BF144" s="96" t="str">
        <f t="shared" si="34"/>
        <v>Y</v>
      </c>
      <c r="BG144" s="97"/>
      <c r="BH144" s="98">
        <v>1</v>
      </c>
      <c r="BI144" s="98"/>
      <c r="BJ144" s="98"/>
      <c r="BK144" s="98"/>
      <c r="BL144" s="111"/>
      <c r="BM144" s="98">
        <f t="shared" si="35"/>
        <v>1</v>
      </c>
      <c r="BN144" s="98" t="str">
        <f t="shared" si="36"/>
        <v>Y</v>
      </c>
      <c r="BO144" s="115"/>
      <c r="BP144" s="100">
        <v>1</v>
      </c>
      <c r="BQ144" s="100"/>
      <c r="BR144" s="100"/>
      <c r="BS144" s="100">
        <f t="shared" si="37"/>
        <v>1</v>
      </c>
      <c r="BT144" s="100" t="str">
        <f t="shared" si="38"/>
        <v>Y</v>
      </c>
      <c r="BU144" s="50"/>
      <c r="BV144" s="101">
        <v>1</v>
      </c>
      <c r="BW144" s="101"/>
      <c r="BX144" s="101"/>
      <c r="BY144" s="101"/>
      <c r="BZ144" s="101"/>
      <c r="CA144" s="101"/>
      <c r="CB144" s="101"/>
      <c r="CC144" s="101"/>
      <c r="CD144" s="101">
        <f t="shared" si="39"/>
        <v>1</v>
      </c>
      <c r="CE144" s="101" t="str">
        <f t="shared" si="40"/>
        <v>Y</v>
      </c>
      <c r="CF144" s="54"/>
      <c r="CG144" s="102">
        <v>1</v>
      </c>
      <c r="CH144" s="102"/>
      <c r="CI144" s="102"/>
      <c r="CJ144" s="102"/>
      <c r="CK144" s="102"/>
      <c r="CL144" s="102"/>
      <c r="CM144" s="102"/>
      <c r="CN144" s="102"/>
      <c r="CO144" s="102"/>
      <c r="CP144" s="102"/>
      <c r="CQ144" s="102"/>
      <c r="CR144" s="102"/>
      <c r="CS144" s="102"/>
      <c r="CT144" s="102"/>
      <c r="CU144" s="102"/>
      <c r="CV144" s="102"/>
      <c r="CW144" s="102"/>
      <c r="CX144" s="102"/>
      <c r="CY144" s="102"/>
      <c r="CZ144" s="102">
        <f t="shared" si="41"/>
        <v>1</v>
      </c>
      <c r="DA144" s="102" t="str">
        <f t="shared" si="42"/>
        <v>Y</v>
      </c>
      <c r="DB144" s="58"/>
      <c r="DC144" s="101">
        <v>1</v>
      </c>
      <c r="DD144" s="101"/>
      <c r="DE144" s="101"/>
      <c r="DF144" s="101"/>
      <c r="DG144" s="101"/>
      <c r="DH144" s="101"/>
      <c r="DI144" s="101"/>
      <c r="DJ144" s="101"/>
      <c r="DK144" s="101"/>
      <c r="DL144" s="101"/>
      <c r="DM144" s="101"/>
      <c r="DN144" s="101"/>
      <c r="DO144" s="101"/>
      <c r="DP144" s="101"/>
      <c r="DQ144" s="101"/>
      <c r="DR144" s="101"/>
      <c r="DS144" s="101"/>
      <c r="DT144" s="101"/>
      <c r="DU144" s="101"/>
      <c r="DV144" s="101">
        <f t="shared" si="43"/>
        <v>1</v>
      </c>
      <c r="DW144" s="101" t="str">
        <f t="shared" si="47"/>
        <v>Y</v>
      </c>
      <c r="DX144" s="103"/>
      <c r="DY144" s="104">
        <v>1</v>
      </c>
      <c r="DZ144" s="104"/>
      <c r="EA144" s="104"/>
      <c r="EB144" s="104"/>
      <c r="EC144" s="104"/>
      <c r="ED144" s="104"/>
      <c r="EE144" s="104"/>
      <c r="EF144" s="104"/>
      <c r="EG144" s="104"/>
      <c r="EH144" s="104"/>
      <c r="EI144" s="104"/>
      <c r="EJ144" s="104"/>
      <c r="EK144" s="104">
        <f t="shared" si="45"/>
        <v>1</v>
      </c>
      <c r="EL144" s="104" t="str">
        <f t="shared" si="46"/>
        <v>Y</v>
      </c>
      <c r="EM144" s="62"/>
      <c r="EN144" s="6"/>
      <c r="EO144" s="6"/>
      <c r="EP144" s="6"/>
      <c r="EQ144" s="6"/>
      <c r="ER144" s="6"/>
    </row>
    <row r="145" spans="1:148" x14ac:dyDescent="0.2">
      <c r="A145" s="143"/>
      <c r="B145" s="1139" t="s">
        <v>92</v>
      </c>
      <c r="C145" s="1141" t="s">
        <v>91</v>
      </c>
      <c r="D145" s="1133"/>
      <c r="E145" s="1085"/>
      <c r="F145" s="1144"/>
      <c r="G145" s="1076" t="s">
        <v>349</v>
      </c>
      <c r="H145" s="1076" t="s">
        <v>324</v>
      </c>
      <c r="I145" s="1076"/>
      <c r="J145" s="1079">
        <f>Y145+AA145+AC145+AE145+AG145+AI145+AK145+AM145+AO145</f>
        <v>1</v>
      </c>
      <c r="K145" s="1076"/>
      <c r="L145" s="180"/>
      <c r="M145" s="186"/>
      <c r="N145" s="177"/>
      <c r="O145" s="177"/>
      <c r="P145" s="172"/>
      <c r="Q145" s="173"/>
      <c r="R145" s="173"/>
      <c r="S145" s="173"/>
      <c r="T145" s="173"/>
      <c r="U145" s="173"/>
      <c r="V145" s="174"/>
      <c r="W145" s="175"/>
      <c r="X145" s="1098" t="s">
        <v>324</v>
      </c>
      <c r="Y145" s="1081">
        <f>IF(HC="Y",IF(BF145="Y",Z145,0),0)</f>
        <v>0</v>
      </c>
      <c r="Z145" s="1081">
        <v>1</v>
      </c>
      <c r="AA145" s="1081">
        <f>IF(OFF="Y",IF(BN145="Y",AB145,0),0)</f>
        <v>1</v>
      </c>
      <c r="AB145" s="1081">
        <v>1</v>
      </c>
      <c r="AC145" s="1081">
        <f>IF(COURTS="Y",IF(BT145="Y",AD145,0),0)</f>
        <v>0</v>
      </c>
      <c r="AD145" s="1081">
        <v>1</v>
      </c>
      <c r="AE145" s="1081">
        <f>IF(PRISONS="Y",IF(CE145="Y",AF145,0),0)</f>
        <v>0</v>
      </c>
      <c r="AF145" s="1081">
        <v>1</v>
      </c>
      <c r="AG145" s="1081">
        <f>IF(RET="Y",IF(DA145="Y",AH145,0),0)</f>
        <v>0</v>
      </c>
      <c r="AH145" s="1081">
        <v>1</v>
      </c>
      <c r="AI145" s="1081">
        <f>IF(SCHOOLS="y",IF(DW145="y",AJ145,0),0)</f>
        <v>0</v>
      </c>
      <c r="AJ145" s="1081">
        <v>1</v>
      </c>
      <c r="AK145" s="1082">
        <f>IF(FE="y",IF(DW145="y",AL145,0),0)</f>
        <v>0</v>
      </c>
      <c r="AL145" s="1082">
        <v>1</v>
      </c>
      <c r="AM145" s="1082">
        <f>IF(HE="Y",IF(DW145="Y",AN145,0),0)</f>
        <v>0</v>
      </c>
      <c r="AN145" s="1082">
        <v>1</v>
      </c>
      <c r="AO145" s="1081">
        <f>IF(INDUSTRIAL="Y",IF(EL145="Y",AP145,0),0)</f>
        <v>0</v>
      </c>
      <c r="AP145" s="1081">
        <v>1</v>
      </c>
      <c r="AQ145" s="95">
        <v>1</v>
      </c>
      <c r="AR145" s="95"/>
      <c r="AS145" s="95"/>
      <c r="AT145" s="95"/>
      <c r="AU145" s="95"/>
      <c r="AV145" s="95"/>
      <c r="AW145" s="95"/>
      <c r="AX145" s="95"/>
      <c r="AY145" s="95"/>
      <c r="AZ145" s="95"/>
      <c r="BA145" s="95"/>
      <c r="BB145" s="95"/>
      <c r="BC145" s="95"/>
      <c r="BD145" s="95"/>
      <c r="BE145" s="95">
        <f t="shared" si="33"/>
        <v>1</v>
      </c>
      <c r="BF145" s="96" t="str">
        <f t="shared" si="34"/>
        <v>Y</v>
      </c>
      <c r="BG145" s="97"/>
      <c r="BH145" s="98">
        <v>1</v>
      </c>
      <c r="BI145" s="98"/>
      <c r="BJ145" s="98"/>
      <c r="BK145" s="98"/>
      <c r="BL145" s="111"/>
      <c r="BM145" s="98">
        <f t="shared" si="35"/>
        <v>1</v>
      </c>
      <c r="BN145" s="98" t="str">
        <f t="shared" si="36"/>
        <v>Y</v>
      </c>
      <c r="BO145" s="115"/>
      <c r="BP145" s="100">
        <v>1</v>
      </c>
      <c r="BQ145" s="100"/>
      <c r="BR145" s="100"/>
      <c r="BS145" s="100">
        <f t="shared" si="37"/>
        <v>1</v>
      </c>
      <c r="BT145" s="100" t="str">
        <f t="shared" si="38"/>
        <v>Y</v>
      </c>
      <c r="BU145" s="50"/>
      <c r="BV145" s="101">
        <v>1</v>
      </c>
      <c r="BW145" s="101"/>
      <c r="BX145" s="101"/>
      <c r="BY145" s="101"/>
      <c r="BZ145" s="101"/>
      <c r="CA145" s="101"/>
      <c r="CB145" s="101"/>
      <c r="CC145" s="101"/>
      <c r="CD145" s="101">
        <f t="shared" si="39"/>
        <v>1</v>
      </c>
      <c r="CE145" s="101" t="str">
        <f t="shared" si="40"/>
        <v>Y</v>
      </c>
      <c r="CF145" s="54"/>
      <c r="CG145" s="102">
        <v>1</v>
      </c>
      <c r="CH145" s="102"/>
      <c r="CI145" s="102"/>
      <c r="CJ145" s="102"/>
      <c r="CK145" s="102"/>
      <c r="CL145" s="102"/>
      <c r="CM145" s="102"/>
      <c r="CN145" s="102"/>
      <c r="CO145" s="102"/>
      <c r="CP145" s="102"/>
      <c r="CQ145" s="102"/>
      <c r="CR145" s="102"/>
      <c r="CS145" s="102"/>
      <c r="CT145" s="102"/>
      <c r="CU145" s="102"/>
      <c r="CV145" s="102"/>
      <c r="CW145" s="102"/>
      <c r="CX145" s="102"/>
      <c r="CY145" s="102"/>
      <c r="CZ145" s="102">
        <f t="shared" si="41"/>
        <v>1</v>
      </c>
      <c r="DA145" s="102" t="str">
        <f t="shared" si="42"/>
        <v>Y</v>
      </c>
      <c r="DB145" s="58"/>
      <c r="DC145" s="101">
        <v>1</v>
      </c>
      <c r="DD145" s="101"/>
      <c r="DE145" s="101"/>
      <c r="DF145" s="101"/>
      <c r="DG145" s="101"/>
      <c r="DH145" s="101"/>
      <c r="DI145" s="101"/>
      <c r="DJ145" s="101"/>
      <c r="DK145" s="101"/>
      <c r="DL145" s="101"/>
      <c r="DM145" s="101"/>
      <c r="DN145" s="101"/>
      <c r="DO145" s="101"/>
      <c r="DP145" s="101"/>
      <c r="DQ145" s="101"/>
      <c r="DR145" s="101"/>
      <c r="DS145" s="101"/>
      <c r="DT145" s="101"/>
      <c r="DU145" s="101"/>
      <c r="DV145" s="101">
        <f t="shared" si="43"/>
        <v>1</v>
      </c>
      <c r="DW145" s="101" t="str">
        <f t="shared" si="47"/>
        <v>Y</v>
      </c>
      <c r="DX145" s="103"/>
      <c r="DY145" s="104">
        <v>1</v>
      </c>
      <c r="DZ145" s="104"/>
      <c r="EA145" s="104"/>
      <c r="EB145" s="104"/>
      <c r="EC145" s="104"/>
      <c r="ED145" s="104"/>
      <c r="EE145" s="104"/>
      <c r="EF145" s="104"/>
      <c r="EG145" s="104"/>
      <c r="EH145" s="104"/>
      <c r="EI145" s="104"/>
      <c r="EJ145" s="104"/>
      <c r="EK145" s="104">
        <f t="shared" si="45"/>
        <v>1</v>
      </c>
      <c r="EL145" s="104" t="str">
        <f t="shared" si="46"/>
        <v>Y</v>
      </c>
      <c r="EM145" s="62"/>
      <c r="EN145" s="6"/>
      <c r="EO145" s="6"/>
      <c r="EP145" s="6"/>
      <c r="EQ145" s="6"/>
      <c r="ER145" s="6"/>
    </row>
    <row r="146" spans="1:148" x14ac:dyDescent="0.2">
      <c r="A146" s="143"/>
      <c r="B146" s="1139"/>
      <c r="C146" s="1141"/>
      <c r="D146" s="1134"/>
      <c r="E146" s="1086"/>
      <c r="F146" s="1079"/>
      <c r="G146" s="1077"/>
      <c r="H146" s="1077"/>
      <c r="I146" s="1077"/>
      <c r="J146" s="1079"/>
      <c r="K146" s="1077"/>
      <c r="L146" s="181"/>
      <c r="M146" s="186"/>
      <c r="N146" s="177"/>
      <c r="O146" s="177"/>
      <c r="P146" s="172"/>
      <c r="Q146" s="173"/>
      <c r="R146" s="173"/>
      <c r="S146" s="173"/>
      <c r="T146" s="173"/>
      <c r="U146" s="173"/>
      <c r="V146" s="174"/>
      <c r="W146" s="175"/>
      <c r="X146" s="1099"/>
      <c r="Y146" s="1081"/>
      <c r="Z146" s="1081"/>
      <c r="AA146" s="1081"/>
      <c r="AB146" s="1081"/>
      <c r="AC146" s="1081"/>
      <c r="AD146" s="1081"/>
      <c r="AE146" s="1081"/>
      <c r="AF146" s="1081"/>
      <c r="AG146" s="1081"/>
      <c r="AH146" s="1081"/>
      <c r="AI146" s="1081"/>
      <c r="AJ146" s="1081"/>
      <c r="AK146" s="1082"/>
      <c r="AL146" s="1082"/>
      <c r="AM146" s="1082"/>
      <c r="AN146" s="1082"/>
      <c r="AO146" s="1081"/>
      <c r="AP146" s="1081"/>
      <c r="AQ146" s="95">
        <v>1</v>
      </c>
      <c r="AR146" s="95"/>
      <c r="AS146" s="95"/>
      <c r="AT146" s="95"/>
      <c r="AU146" s="95"/>
      <c r="AV146" s="95"/>
      <c r="AW146" s="95"/>
      <c r="AX146" s="95"/>
      <c r="AY146" s="95"/>
      <c r="AZ146" s="95"/>
      <c r="BA146" s="95"/>
      <c r="BB146" s="95"/>
      <c r="BC146" s="95"/>
      <c r="BD146" s="95"/>
      <c r="BE146" s="95">
        <f t="shared" si="33"/>
        <v>1</v>
      </c>
      <c r="BF146" s="96" t="str">
        <f t="shared" si="34"/>
        <v>Y</v>
      </c>
      <c r="BG146" s="97"/>
      <c r="BH146" s="98">
        <v>1</v>
      </c>
      <c r="BI146" s="98"/>
      <c r="BJ146" s="98"/>
      <c r="BK146" s="98"/>
      <c r="BL146" s="111"/>
      <c r="BM146" s="98">
        <f t="shared" si="35"/>
        <v>1</v>
      </c>
      <c r="BN146" s="98" t="str">
        <f t="shared" si="36"/>
        <v>Y</v>
      </c>
      <c r="BO146" s="115"/>
      <c r="BP146" s="100">
        <v>1</v>
      </c>
      <c r="BQ146" s="100"/>
      <c r="BR146" s="100"/>
      <c r="BS146" s="100">
        <f t="shared" si="37"/>
        <v>1</v>
      </c>
      <c r="BT146" s="100" t="str">
        <f t="shared" si="38"/>
        <v>Y</v>
      </c>
      <c r="BU146" s="50"/>
      <c r="BV146" s="101">
        <v>1</v>
      </c>
      <c r="BW146" s="101"/>
      <c r="BX146" s="101"/>
      <c r="BY146" s="101"/>
      <c r="BZ146" s="101"/>
      <c r="CA146" s="101"/>
      <c r="CB146" s="101"/>
      <c r="CC146" s="101"/>
      <c r="CD146" s="101">
        <f t="shared" si="39"/>
        <v>1</v>
      </c>
      <c r="CE146" s="101" t="str">
        <f t="shared" si="40"/>
        <v>Y</v>
      </c>
      <c r="CF146" s="54"/>
      <c r="CG146" s="102">
        <v>1</v>
      </c>
      <c r="CH146" s="102"/>
      <c r="CI146" s="102"/>
      <c r="CJ146" s="102"/>
      <c r="CK146" s="102"/>
      <c r="CL146" s="102"/>
      <c r="CM146" s="102"/>
      <c r="CN146" s="102"/>
      <c r="CO146" s="102"/>
      <c r="CP146" s="102"/>
      <c r="CQ146" s="102"/>
      <c r="CR146" s="102"/>
      <c r="CS146" s="102"/>
      <c r="CT146" s="102"/>
      <c r="CU146" s="102"/>
      <c r="CV146" s="102"/>
      <c r="CW146" s="102"/>
      <c r="CX146" s="102"/>
      <c r="CY146" s="102"/>
      <c r="CZ146" s="102">
        <f t="shared" si="41"/>
        <v>1</v>
      </c>
      <c r="DA146" s="102" t="str">
        <f t="shared" si="42"/>
        <v>Y</v>
      </c>
      <c r="DB146" s="58"/>
      <c r="DC146" s="101">
        <v>1</v>
      </c>
      <c r="DD146" s="101"/>
      <c r="DE146" s="101"/>
      <c r="DF146" s="101"/>
      <c r="DG146" s="101"/>
      <c r="DH146" s="101"/>
      <c r="DI146" s="101"/>
      <c r="DJ146" s="101"/>
      <c r="DK146" s="101"/>
      <c r="DL146" s="101"/>
      <c r="DM146" s="101"/>
      <c r="DN146" s="101"/>
      <c r="DO146" s="101"/>
      <c r="DP146" s="101"/>
      <c r="DQ146" s="101"/>
      <c r="DR146" s="101"/>
      <c r="DS146" s="101"/>
      <c r="DT146" s="101"/>
      <c r="DU146" s="101"/>
      <c r="DV146" s="101">
        <f t="shared" si="43"/>
        <v>1</v>
      </c>
      <c r="DW146" s="101" t="str">
        <f t="shared" si="47"/>
        <v>Y</v>
      </c>
      <c r="DX146" s="103"/>
      <c r="DY146" s="104">
        <v>1</v>
      </c>
      <c r="DZ146" s="104"/>
      <c r="EA146" s="104"/>
      <c r="EB146" s="104"/>
      <c r="EC146" s="104"/>
      <c r="ED146" s="104"/>
      <c r="EE146" s="104"/>
      <c r="EF146" s="104"/>
      <c r="EG146" s="104"/>
      <c r="EH146" s="104"/>
      <c r="EI146" s="104"/>
      <c r="EJ146" s="104"/>
      <c r="EK146" s="104">
        <f t="shared" si="45"/>
        <v>1</v>
      </c>
      <c r="EL146" s="104" t="str">
        <f t="shared" si="46"/>
        <v>Y</v>
      </c>
      <c r="EM146" s="62"/>
      <c r="EN146" s="6"/>
      <c r="EO146" s="6"/>
      <c r="EP146" s="6"/>
      <c r="EQ146" s="6"/>
      <c r="ER146" s="6"/>
    </row>
    <row r="147" spans="1:148" ht="13.5" thickBot="1" x14ac:dyDescent="0.25">
      <c r="A147" s="143"/>
      <c r="B147" s="1145"/>
      <c r="C147" s="1142"/>
      <c r="D147" s="1136"/>
      <c r="E147" s="1143"/>
      <c r="F147" s="1080"/>
      <c r="G147" s="1078"/>
      <c r="H147" s="1078"/>
      <c r="I147" s="1078"/>
      <c r="J147" s="1080"/>
      <c r="K147" s="1078"/>
      <c r="L147" s="180"/>
      <c r="M147" s="186"/>
      <c r="N147" s="177"/>
      <c r="O147" s="177"/>
      <c r="P147" s="172"/>
      <c r="Q147" s="173"/>
      <c r="R147" s="173"/>
      <c r="S147" s="173"/>
      <c r="T147" s="173"/>
      <c r="U147" s="173"/>
      <c r="V147" s="174"/>
      <c r="W147" s="175"/>
      <c r="X147" s="1100"/>
      <c r="Y147" s="1081"/>
      <c r="Z147" s="1081"/>
      <c r="AA147" s="1081"/>
      <c r="AB147" s="1081"/>
      <c r="AC147" s="1081"/>
      <c r="AD147" s="1081"/>
      <c r="AE147" s="1081"/>
      <c r="AF147" s="1081"/>
      <c r="AG147" s="1081"/>
      <c r="AH147" s="1081"/>
      <c r="AI147" s="1081"/>
      <c r="AJ147" s="1081"/>
      <c r="AK147" s="1082"/>
      <c r="AL147" s="1082"/>
      <c r="AM147" s="1082"/>
      <c r="AN147" s="1082"/>
      <c r="AO147" s="1081"/>
      <c r="AP147" s="1081"/>
      <c r="AQ147" s="95">
        <v>1</v>
      </c>
      <c r="AR147" s="95"/>
      <c r="AS147" s="95"/>
      <c r="AT147" s="95"/>
      <c r="AU147" s="95"/>
      <c r="AV147" s="95"/>
      <c r="AW147" s="95"/>
      <c r="AX147" s="95"/>
      <c r="AY147" s="95"/>
      <c r="AZ147" s="95"/>
      <c r="BA147" s="95"/>
      <c r="BB147" s="95"/>
      <c r="BC147" s="95"/>
      <c r="BD147" s="95"/>
      <c r="BE147" s="95">
        <f t="shared" si="33"/>
        <v>1</v>
      </c>
      <c r="BF147" s="96" t="str">
        <f t="shared" si="34"/>
        <v>Y</v>
      </c>
      <c r="BG147" s="97"/>
      <c r="BH147" s="98">
        <v>1</v>
      </c>
      <c r="BI147" s="98"/>
      <c r="BJ147" s="98"/>
      <c r="BK147" s="98"/>
      <c r="BL147" s="111"/>
      <c r="BM147" s="98">
        <f t="shared" si="35"/>
        <v>1</v>
      </c>
      <c r="BN147" s="98" t="str">
        <f t="shared" si="36"/>
        <v>Y</v>
      </c>
      <c r="BO147" s="115"/>
      <c r="BP147" s="100">
        <v>1</v>
      </c>
      <c r="BQ147" s="100"/>
      <c r="BR147" s="100"/>
      <c r="BS147" s="100">
        <f t="shared" si="37"/>
        <v>1</v>
      </c>
      <c r="BT147" s="100" t="str">
        <f t="shared" si="38"/>
        <v>Y</v>
      </c>
      <c r="BU147" s="50"/>
      <c r="BV147" s="101">
        <v>1</v>
      </c>
      <c r="BW147" s="101"/>
      <c r="BX147" s="101"/>
      <c r="BY147" s="101"/>
      <c r="BZ147" s="101"/>
      <c r="CA147" s="101"/>
      <c r="CB147" s="101"/>
      <c r="CC147" s="101"/>
      <c r="CD147" s="101">
        <f t="shared" si="39"/>
        <v>1</v>
      </c>
      <c r="CE147" s="101" t="str">
        <f t="shared" si="40"/>
        <v>Y</v>
      </c>
      <c r="CF147" s="54"/>
      <c r="CG147" s="102">
        <v>1</v>
      </c>
      <c r="CH147" s="102"/>
      <c r="CI147" s="102"/>
      <c r="CJ147" s="102"/>
      <c r="CK147" s="102"/>
      <c r="CL147" s="102"/>
      <c r="CM147" s="102"/>
      <c r="CN147" s="102"/>
      <c r="CO147" s="102"/>
      <c r="CP147" s="102"/>
      <c r="CQ147" s="102"/>
      <c r="CR147" s="102"/>
      <c r="CS147" s="102"/>
      <c r="CT147" s="102"/>
      <c r="CU147" s="102"/>
      <c r="CV147" s="102"/>
      <c r="CW147" s="102"/>
      <c r="CX147" s="102"/>
      <c r="CY147" s="102"/>
      <c r="CZ147" s="102">
        <f t="shared" si="41"/>
        <v>1</v>
      </c>
      <c r="DA147" s="102" t="str">
        <f t="shared" si="42"/>
        <v>Y</v>
      </c>
      <c r="DB147" s="58"/>
      <c r="DC147" s="101">
        <v>1</v>
      </c>
      <c r="DD147" s="101"/>
      <c r="DE147" s="101"/>
      <c r="DF147" s="101"/>
      <c r="DG147" s="101"/>
      <c r="DH147" s="101"/>
      <c r="DI147" s="101"/>
      <c r="DJ147" s="101"/>
      <c r="DK147" s="101"/>
      <c r="DL147" s="101"/>
      <c r="DM147" s="101"/>
      <c r="DN147" s="101"/>
      <c r="DO147" s="101"/>
      <c r="DP147" s="101"/>
      <c r="DQ147" s="101"/>
      <c r="DR147" s="101"/>
      <c r="DS147" s="101"/>
      <c r="DT147" s="101"/>
      <c r="DU147" s="101"/>
      <c r="DV147" s="101">
        <f t="shared" si="43"/>
        <v>1</v>
      </c>
      <c r="DW147" s="101" t="str">
        <f t="shared" si="47"/>
        <v>Y</v>
      </c>
      <c r="DX147" s="103"/>
      <c r="DY147" s="104">
        <v>1</v>
      </c>
      <c r="DZ147" s="104"/>
      <c r="EA147" s="104"/>
      <c r="EB147" s="104"/>
      <c r="EC147" s="104"/>
      <c r="ED147" s="104"/>
      <c r="EE147" s="104"/>
      <c r="EF147" s="104"/>
      <c r="EG147" s="104"/>
      <c r="EH147" s="104"/>
      <c r="EI147" s="104"/>
      <c r="EJ147" s="104"/>
      <c r="EK147" s="104">
        <f t="shared" si="45"/>
        <v>1</v>
      </c>
      <c r="EL147" s="104" t="str">
        <f t="shared" si="46"/>
        <v>Y</v>
      </c>
      <c r="EM147" s="62"/>
      <c r="EN147" s="6"/>
      <c r="EO147" s="6"/>
      <c r="EP147" s="6"/>
      <c r="EQ147" s="6"/>
      <c r="ER147" s="6"/>
    </row>
    <row r="148" spans="1:148" x14ac:dyDescent="0.2">
      <c r="A148" s="143"/>
      <c r="B148" s="1139" t="s">
        <v>90</v>
      </c>
      <c r="C148" s="1141" t="s">
        <v>89</v>
      </c>
      <c r="D148" s="1133"/>
      <c r="E148" s="1085"/>
      <c r="F148" s="1144"/>
      <c r="G148" s="1076" t="s">
        <v>349</v>
      </c>
      <c r="H148" s="1076" t="s">
        <v>341</v>
      </c>
      <c r="I148" s="1076"/>
      <c r="J148" s="1079">
        <f>Y148+AA148+AC148+AE148+AG148+AI148+AK148+AM148+AO148</f>
        <v>1</v>
      </c>
      <c r="K148" s="1076"/>
      <c r="L148" s="180"/>
      <c r="M148" s="186"/>
      <c r="N148" s="177"/>
      <c r="O148" s="177"/>
      <c r="P148" s="172"/>
      <c r="Q148" s="173"/>
      <c r="R148" s="173"/>
      <c r="S148" s="173"/>
      <c r="T148" s="173"/>
      <c r="U148" s="173"/>
      <c r="V148" s="174"/>
      <c r="W148" s="175"/>
      <c r="X148" s="1098" t="s">
        <v>341</v>
      </c>
      <c r="Y148" s="1081">
        <f>IF(HC="Y",IF(BF148="Y",Z148,0),0)</f>
        <v>0</v>
      </c>
      <c r="Z148" s="1081">
        <v>1</v>
      </c>
      <c r="AA148" s="1081">
        <f>IF(OFF="Y",IF(BN148="Y",AB148,0),0)</f>
        <v>1</v>
      </c>
      <c r="AB148" s="1081">
        <v>1</v>
      </c>
      <c r="AC148" s="1081">
        <f>IF(COURTS="Y",IF(BT148="Y",AD148,0),0)</f>
        <v>0</v>
      </c>
      <c r="AD148" s="1081">
        <v>1</v>
      </c>
      <c r="AE148" s="1081">
        <f>IF(PRISONS="Y",IF(CE148="Y",AF148,0),0)</f>
        <v>0</v>
      </c>
      <c r="AF148" s="1081">
        <v>1</v>
      </c>
      <c r="AG148" s="1081">
        <f>IF(RET="Y",IF(DA148="Y",AH148,0),0)</f>
        <v>0</v>
      </c>
      <c r="AH148" s="1081">
        <v>1</v>
      </c>
      <c r="AI148" s="1081">
        <f>IF(SCHOOLS="y",IF(DW148="y",AJ148,0),0)</f>
        <v>0</v>
      </c>
      <c r="AJ148" s="1081">
        <v>1</v>
      </c>
      <c r="AK148" s="1082">
        <f>IF(FE="y",IF(DW148="y",AL148,0),0)</f>
        <v>0</v>
      </c>
      <c r="AL148" s="1082">
        <v>1</v>
      </c>
      <c r="AM148" s="1082">
        <f>IF(HE="Y",IF(DW148="Y",AN148,0),0)</f>
        <v>0</v>
      </c>
      <c r="AN148" s="1082">
        <v>1</v>
      </c>
      <c r="AO148" s="1081">
        <f>IF(INDUSTRIAL="Y",IF(EL148="Y",AP148,0),0)</f>
        <v>0</v>
      </c>
      <c r="AP148" s="1081">
        <v>1</v>
      </c>
      <c r="AQ148" s="95">
        <v>1</v>
      </c>
      <c r="AR148" s="95"/>
      <c r="AS148" s="95"/>
      <c r="AT148" s="95"/>
      <c r="AU148" s="95"/>
      <c r="AV148" s="95"/>
      <c r="AW148" s="95"/>
      <c r="AX148" s="95"/>
      <c r="AY148" s="95"/>
      <c r="AZ148" s="95"/>
      <c r="BA148" s="95"/>
      <c r="BB148" s="95"/>
      <c r="BC148" s="95"/>
      <c r="BD148" s="95"/>
      <c r="BE148" s="95">
        <f t="shared" si="33"/>
        <v>1</v>
      </c>
      <c r="BF148" s="96" t="str">
        <f t="shared" si="34"/>
        <v>Y</v>
      </c>
      <c r="BG148" s="97"/>
      <c r="BH148" s="98">
        <v>1</v>
      </c>
      <c r="BI148" s="98"/>
      <c r="BJ148" s="98"/>
      <c r="BK148" s="98"/>
      <c r="BL148" s="111"/>
      <c r="BM148" s="98">
        <f t="shared" si="35"/>
        <v>1</v>
      </c>
      <c r="BN148" s="98" t="str">
        <f t="shared" si="36"/>
        <v>Y</v>
      </c>
      <c r="BO148" s="115"/>
      <c r="BP148" s="100">
        <v>1</v>
      </c>
      <c r="BQ148" s="100"/>
      <c r="BR148" s="100"/>
      <c r="BS148" s="100">
        <f t="shared" si="37"/>
        <v>1</v>
      </c>
      <c r="BT148" s="100" t="str">
        <f t="shared" si="38"/>
        <v>Y</v>
      </c>
      <c r="BU148" s="50"/>
      <c r="BV148" s="101">
        <v>1</v>
      </c>
      <c r="BW148" s="101"/>
      <c r="BX148" s="101"/>
      <c r="BY148" s="101"/>
      <c r="BZ148" s="101"/>
      <c r="CA148" s="101"/>
      <c r="CB148" s="101"/>
      <c r="CC148" s="101"/>
      <c r="CD148" s="101">
        <f t="shared" si="39"/>
        <v>1</v>
      </c>
      <c r="CE148" s="101" t="str">
        <f t="shared" si="40"/>
        <v>Y</v>
      </c>
      <c r="CF148" s="54"/>
      <c r="CG148" s="102">
        <v>1</v>
      </c>
      <c r="CH148" s="102"/>
      <c r="CI148" s="102"/>
      <c r="CJ148" s="102"/>
      <c r="CK148" s="102"/>
      <c r="CL148" s="102"/>
      <c r="CM148" s="102"/>
      <c r="CN148" s="102"/>
      <c r="CO148" s="102"/>
      <c r="CP148" s="102"/>
      <c r="CQ148" s="102"/>
      <c r="CR148" s="102"/>
      <c r="CS148" s="102"/>
      <c r="CT148" s="102"/>
      <c r="CU148" s="102"/>
      <c r="CV148" s="102"/>
      <c r="CW148" s="102"/>
      <c r="CX148" s="102"/>
      <c r="CY148" s="102"/>
      <c r="CZ148" s="102">
        <f t="shared" si="41"/>
        <v>1</v>
      </c>
      <c r="DA148" s="102" t="str">
        <f t="shared" si="42"/>
        <v>Y</v>
      </c>
      <c r="DB148" s="58"/>
      <c r="DC148" s="101">
        <v>1</v>
      </c>
      <c r="DD148" s="101"/>
      <c r="DE148" s="101"/>
      <c r="DF148" s="101"/>
      <c r="DG148" s="101"/>
      <c r="DH148" s="101"/>
      <c r="DI148" s="101"/>
      <c r="DJ148" s="101"/>
      <c r="DK148" s="101"/>
      <c r="DL148" s="101"/>
      <c r="DM148" s="101"/>
      <c r="DN148" s="101"/>
      <c r="DO148" s="101"/>
      <c r="DP148" s="101"/>
      <c r="DQ148" s="101"/>
      <c r="DR148" s="101"/>
      <c r="DS148" s="101"/>
      <c r="DT148" s="101"/>
      <c r="DU148" s="101"/>
      <c r="DV148" s="101">
        <f t="shared" si="43"/>
        <v>1</v>
      </c>
      <c r="DW148" s="101" t="str">
        <f t="shared" si="47"/>
        <v>Y</v>
      </c>
      <c r="DX148" s="103"/>
      <c r="DY148" s="104">
        <v>1</v>
      </c>
      <c r="DZ148" s="104"/>
      <c r="EA148" s="104"/>
      <c r="EB148" s="104"/>
      <c r="EC148" s="104"/>
      <c r="ED148" s="104"/>
      <c r="EE148" s="104"/>
      <c r="EF148" s="104"/>
      <c r="EG148" s="104"/>
      <c r="EH148" s="104"/>
      <c r="EI148" s="104"/>
      <c r="EJ148" s="104"/>
      <c r="EK148" s="104">
        <f t="shared" si="45"/>
        <v>1</v>
      </c>
      <c r="EL148" s="104" t="str">
        <f t="shared" si="46"/>
        <v>Y</v>
      </c>
      <c r="EM148" s="62"/>
      <c r="EN148" s="6"/>
      <c r="EO148" s="6"/>
      <c r="EP148" s="6"/>
      <c r="EQ148" s="6"/>
      <c r="ER148" s="6"/>
    </row>
    <row r="149" spans="1:148" x14ac:dyDescent="0.2">
      <c r="A149" s="143"/>
      <c r="B149" s="1139"/>
      <c r="C149" s="1141"/>
      <c r="D149" s="1134"/>
      <c r="E149" s="1086"/>
      <c r="F149" s="1079"/>
      <c r="G149" s="1077"/>
      <c r="H149" s="1077"/>
      <c r="I149" s="1077"/>
      <c r="J149" s="1079"/>
      <c r="K149" s="1077"/>
      <c r="L149" s="181"/>
      <c r="M149" s="186"/>
      <c r="N149" s="177"/>
      <c r="O149" s="177"/>
      <c r="P149" s="172"/>
      <c r="Q149" s="173"/>
      <c r="R149" s="173"/>
      <c r="S149" s="173"/>
      <c r="T149" s="173"/>
      <c r="U149" s="173"/>
      <c r="V149" s="174"/>
      <c r="W149" s="175"/>
      <c r="X149" s="1099"/>
      <c r="Y149" s="1081"/>
      <c r="Z149" s="1081"/>
      <c r="AA149" s="1081"/>
      <c r="AB149" s="1081"/>
      <c r="AC149" s="1081"/>
      <c r="AD149" s="1081"/>
      <c r="AE149" s="1081"/>
      <c r="AF149" s="1081"/>
      <c r="AG149" s="1081"/>
      <c r="AH149" s="1081"/>
      <c r="AI149" s="1081"/>
      <c r="AJ149" s="1081"/>
      <c r="AK149" s="1082"/>
      <c r="AL149" s="1082"/>
      <c r="AM149" s="1082"/>
      <c r="AN149" s="1082"/>
      <c r="AO149" s="1081"/>
      <c r="AP149" s="1081"/>
      <c r="AQ149" s="95">
        <v>1</v>
      </c>
      <c r="AR149" s="95"/>
      <c r="AS149" s="95"/>
      <c r="AT149" s="95"/>
      <c r="AU149" s="95"/>
      <c r="AV149" s="95"/>
      <c r="AW149" s="95"/>
      <c r="AX149" s="95"/>
      <c r="AY149" s="95"/>
      <c r="AZ149" s="95"/>
      <c r="BA149" s="95"/>
      <c r="BB149" s="95"/>
      <c r="BC149" s="95"/>
      <c r="BD149" s="95"/>
      <c r="BE149" s="95">
        <f t="shared" si="33"/>
        <v>1</v>
      </c>
      <c r="BF149" s="96" t="str">
        <f t="shared" si="34"/>
        <v>Y</v>
      </c>
      <c r="BG149" s="97"/>
      <c r="BH149" s="98">
        <v>1</v>
      </c>
      <c r="BI149" s="98"/>
      <c r="BJ149" s="98"/>
      <c r="BK149" s="98"/>
      <c r="BL149" s="111"/>
      <c r="BM149" s="98">
        <f t="shared" si="35"/>
        <v>1</v>
      </c>
      <c r="BN149" s="98" t="str">
        <f t="shared" si="36"/>
        <v>Y</v>
      </c>
      <c r="BO149" s="115"/>
      <c r="BP149" s="100">
        <v>1</v>
      </c>
      <c r="BQ149" s="100"/>
      <c r="BR149" s="100"/>
      <c r="BS149" s="100">
        <f t="shared" si="37"/>
        <v>1</v>
      </c>
      <c r="BT149" s="100" t="str">
        <f t="shared" si="38"/>
        <v>Y</v>
      </c>
      <c r="BU149" s="50"/>
      <c r="BV149" s="101">
        <v>1</v>
      </c>
      <c r="BW149" s="101"/>
      <c r="BX149" s="101"/>
      <c r="BY149" s="101"/>
      <c r="BZ149" s="101"/>
      <c r="CA149" s="101"/>
      <c r="CB149" s="101"/>
      <c r="CC149" s="101"/>
      <c r="CD149" s="101">
        <f t="shared" si="39"/>
        <v>1</v>
      </c>
      <c r="CE149" s="101" t="str">
        <f t="shared" si="40"/>
        <v>Y</v>
      </c>
      <c r="CF149" s="54"/>
      <c r="CG149" s="102">
        <v>1</v>
      </c>
      <c r="CH149" s="102"/>
      <c r="CI149" s="102"/>
      <c r="CJ149" s="102"/>
      <c r="CK149" s="102"/>
      <c r="CL149" s="102"/>
      <c r="CM149" s="102"/>
      <c r="CN149" s="102"/>
      <c r="CO149" s="102"/>
      <c r="CP149" s="102"/>
      <c r="CQ149" s="102"/>
      <c r="CR149" s="102"/>
      <c r="CS149" s="102"/>
      <c r="CT149" s="102"/>
      <c r="CU149" s="102"/>
      <c r="CV149" s="102"/>
      <c r="CW149" s="102"/>
      <c r="CX149" s="102"/>
      <c r="CY149" s="102"/>
      <c r="CZ149" s="102">
        <f t="shared" si="41"/>
        <v>1</v>
      </c>
      <c r="DA149" s="102" t="str">
        <f t="shared" si="42"/>
        <v>Y</v>
      </c>
      <c r="DB149" s="58"/>
      <c r="DC149" s="101">
        <v>1</v>
      </c>
      <c r="DD149" s="101"/>
      <c r="DE149" s="101"/>
      <c r="DF149" s="101"/>
      <c r="DG149" s="101"/>
      <c r="DH149" s="101"/>
      <c r="DI149" s="101"/>
      <c r="DJ149" s="101"/>
      <c r="DK149" s="101"/>
      <c r="DL149" s="101"/>
      <c r="DM149" s="101"/>
      <c r="DN149" s="101"/>
      <c r="DO149" s="101"/>
      <c r="DP149" s="101"/>
      <c r="DQ149" s="101"/>
      <c r="DR149" s="101"/>
      <c r="DS149" s="101"/>
      <c r="DT149" s="101"/>
      <c r="DU149" s="101"/>
      <c r="DV149" s="101">
        <f t="shared" si="43"/>
        <v>1</v>
      </c>
      <c r="DW149" s="101" t="str">
        <f t="shared" si="47"/>
        <v>Y</v>
      </c>
      <c r="DX149" s="103"/>
      <c r="DY149" s="104">
        <v>1</v>
      </c>
      <c r="DZ149" s="104"/>
      <c r="EA149" s="104"/>
      <c r="EB149" s="104"/>
      <c r="EC149" s="104"/>
      <c r="ED149" s="104"/>
      <c r="EE149" s="104"/>
      <c r="EF149" s="104"/>
      <c r="EG149" s="104"/>
      <c r="EH149" s="104"/>
      <c r="EI149" s="104"/>
      <c r="EJ149" s="104"/>
      <c r="EK149" s="104">
        <f t="shared" si="45"/>
        <v>1</v>
      </c>
      <c r="EL149" s="104" t="str">
        <f t="shared" si="46"/>
        <v>Y</v>
      </c>
      <c r="EM149" s="62"/>
      <c r="EN149" s="6"/>
      <c r="EO149" s="6"/>
      <c r="EP149" s="6"/>
      <c r="EQ149" s="6"/>
      <c r="ER149" s="6"/>
    </row>
    <row r="150" spans="1:148" ht="13.5" thickBot="1" x14ac:dyDescent="0.25">
      <c r="A150" s="143"/>
      <c r="B150" s="1139"/>
      <c r="C150" s="1141"/>
      <c r="D150" s="1136"/>
      <c r="E150" s="1143"/>
      <c r="F150" s="1080"/>
      <c r="G150" s="1078"/>
      <c r="H150" s="1078"/>
      <c r="I150" s="1078"/>
      <c r="J150" s="1080"/>
      <c r="K150" s="1078"/>
      <c r="L150" s="180"/>
      <c r="M150" s="186"/>
      <c r="N150" s="177"/>
      <c r="O150" s="177"/>
      <c r="P150" s="172"/>
      <c r="Q150" s="173"/>
      <c r="R150" s="173"/>
      <c r="S150" s="173"/>
      <c r="T150" s="173"/>
      <c r="U150" s="173"/>
      <c r="V150" s="174"/>
      <c r="W150" s="175"/>
      <c r="X150" s="1100"/>
      <c r="Y150" s="1081"/>
      <c r="Z150" s="1081"/>
      <c r="AA150" s="1081"/>
      <c r="AB150" s="1081"/>
      <c r="AC150" s="1081"/>
      <c r="AD150" s="1081"/>
      <c r="AE150" s="1081"/>
      <c r="AF150" s="1081"/>
      <c r="AG150" s="1081"/>
      <c r="AH150" s="1081"/>
      <c r="AI150" s="1081"/>
      <c r="AJ150" s="1081"/>
      <c r="AK150" s="1082"/>
      <c r="AL150" s="1082"/>
      <c r="AM150" s="1082"/>
      <c r="AN150" s="1082"/>
      <c r="AO150" s="1081"/>
      <c r="AP150" s="1081"/>
      <c r="AQ150" s="95">
        <v>1</v>
      </c>
      <c r="AR150" s="95"/>
      <c r="AS150" s="95"/>
      <c r="AT150" s="95"/>
      <c r="AU150" s="95"/>
      <c r="AV150" s="95"/>
      <c r="AW150" s="95"/>
      <c r="AX150" s="95"/>
      <c r="AY150" s="95"/>
      <c r="AZ150" s="95"/>
      <c r="BA150" s="95"/>
      <c r="BB150" s="95"/>
      <c r="BC150" s="95"/>
      <c r="BD150" s="95"/>
      <c r="BE150" s="95">
        <f t="shared" si="33"/>
        <v>1</v>
      </c>
      <c r="BF150" s="96" t="str">
        <f t="shared" si="34"/>
        <v>Y</v>
      </c>
      <c r="BG150" s="97"/>
      <c r="BH150" s="98">
        <v>1</v>
      </c>
      <c r="BI150" s="98"/>
      <c r="BJ150" s="98"/>
      <c r="BK150" s="98"/>
      <c r="BL150" s="111"/>
      <c r="BM150" s="98">
        <f t="shared" si="35"/>
        <v>1</v>
      </c>
      <c r="BN150" s="98" t="str">
        <f t="shared" si="36"/>
        <v>Y</v>
      </c>
      <c r="BO150" s="115"/>
      <c r="BP150" s="100">
        <v>1</v>
      </c>
      <c r="BQ150" s="100"/>
      <c r="BR150" s="100"/>
      <c r="BS150" s="100">
        <f t="shared" si="37"/>
        <v>1</v>
      </c>
      <c r="BT150" s="100" t="str">
        <f t="shared" si="38"/>
        <v>Y</v>
      </c>
      <c r="BU150" s="50"/>
      <c r="BV150" s="101">
        <v>1</v>
      </c>
      <c r="BW150" s="101"/>
      <c r="BX150" s="101"/>
      <c r="BY150" s="101"/>
      <c r="BZ150" s="101"/>
      <c r="CA150" s="101"/>
      <c r="CB150" s="101"/>
      <c r="CC150" s="101"/>
      <c r="CD150" s="101">
        <f t="shared" si="39"/>
        <v>1</v>
      </c>
      <c r="CE150" s="101" t="str">
        <f t="shared" si="40"/>
        <v>Y</v>
      </c>
      <c r="CF150" s="54"/>
      <c r="CG150" s="102">
        <v>1</v>
      </c>
      <c r="CH150" s="102"/>
      <c r="CI150" s="102"/>
      <c r="CJ150" s="102"/>
      <c r="CK150" s="102"/>
      <c r="CL150" s="102"/>
      <c r="CM150" s="102"/>
      <c r="CN150" s="102"/>
      <c r="CO150" s="102"/>
      <c r="CP150" s="102"/>
      <c r="CQ150" s="102"/>
      <c r="CR150" s="102"/>
      <c r="CS150" s="102"/>
      <c r="CT150" s="102"/>
      <c r="CU150" s="102"/>
      <c r="CV150" s="102"/>
      <c r="CW150" s="102"/>
      <c r="CX150" s="102"/>
      <c r="CY150" s="102"/>
      <c r="CZ150" s="102">
        <f t="shared" si="41"/>
        <v>1</v>
      </c>
      <c r="DA150" s="102" t="str">
        <f t="shared" si="42"/>
        <v>Y</v>
      </c>
      <c r="DB150" s="58"/>
      <c r="DC150" s="101">
        <v>1</v>
      </c>
      <c r="DD150" s="101"/>
      <c r="DE150" s="101"/>
      <c r="DF150" s="101"/>
      <c r="DG150" s="101"/>
      <c r="DH150" s="101"/>
      <c r="DI150" s="101"/>
      <c r="DJ150" s="101"/>
      <c r="DK150" s="101"/>
      <c r="DL150" s="101"/>
      <c r="DM150" s="101"/>
      <c r="DN150" s="101"/>
      <c r="DO150" s="101"/>
      <c r="DP150" s="101"/>
      <c r="DQ150" s="101"/>
      <c r="DR150" s="101"/>
      <c r="DS150" s="101"/>
      <c r="DT150" s="101"/>
      <c r="DU150" s="101"/>
      <c r="DV150" s="101">
        <f t="shared" si="43"/>
        <v>1</v>
      </c>
      <c r="DW150" s="101" t="str">
        <f t="shared" si="47"/>
        <v>Y</v>
      </c>
      <c r="DX150" s="103"/>
      <c r="DY150" s="104">
        <v>1</v>
      </c>
      <c r="DZ150" s="104"/>
      <c r="EA150" s="104"/>
      <c r="EB150" s="104"/>
      <c r="EC150" s="104"/>
      <c r="ED150" s="104"/>
      <c r="EE150" s="104"/>
      <c r="EF150" s="104"/>
      <c r="EG150" s="104"/>
      <c r="EH150" s="104"/>
      <c r="EI150" s="104"/>
      <c r="EJ150" s="104"/>
      <c r="EK150" s="104">
        <f t="shared" si="45"/>
        <v>1</v>
      </c>
      <c r="EL150" s="104" t="str">
        <f t="shared" si="46"/>
        <v>Y</v>
      </c>
      <c r="EM150" s="62"/>
      <c r="EN150" s="6"/>
      <c r="EO150" s="6"/>
      <c r="EP150" s="6"/>
      <c r="EQ150" s="6"/>
      <c r="ER150" s="6"/>
    </row>
    <row r="151" spans="1:148" x14ac:dyDescent="0.2">
      <c r="A151" s="1146" t="s">
        <v>88</v>
      </c>
      <c r="B151" s="1138" t="s">
        <v>87</v>
      </c>
      <c r="C151" s="1140" t="s">
        <v>86</v>
      </c>
      <c r="D151" s="1133"/>
      <c r="E151" s="1085"/>
      <c r="F151" s="1144"/>
      <c r="G151" s="1076" t="s">
        <v>349</v>
      </c>
      <c r="H151" s="1076" t="s">
        <v>341</v>
      </c>
      <c r="I151" s="1076"/>
      <c r="J151" s="1079">
        <f>Y151+AA151+AC151+AE151+AG151+AI151+AK151+AM151+AO151</f>
        <v>1</v>
      </c>
      <c r="K151" s="1076"/>
      <c r="L151" s="176"/>
      <c r="M151" s="186"/>
      <c r="N151" s="177"/>
      <c r="O151" s="177"/>
      <c r="P151" s="172"/>
      <c r="Q151" s="173"/>
      <c r="R151" s="173"/>
      <c r="S151" s="173"/>
      <c r="T151" s="173"/>
      <c r="U151" s="173"/>
      <c r="V151" s="174"/>
      <c r="W151" s="175"/>
      <c r="X151" s="1098" t="s">
        <v>341</v>
      </c>
      <c r="Y151" s="1081">
        <f>IF(HC="Y",IF(BF151="Y",Z151,0),0)</f>
        <v>0</v>
      </c>
      <c r="Z151" s="1081">
        <v>1</v>
      </c>
      <c r="AA151" s="1081">
        <f>IF(OFF="Y",IF(BN151="Y",AB151,0),0)</f>
        <v>1</v>
      </c>
      <c r="AB151" s="1081">
        <v>1</v>
      </c>
      <c r="AC151" s="1081">
        <f>IF(COURTS="Y",IF(BT151="Y",AD151,0),0)</f>
        <v>0</v>
      </c>
      <c r="AD151" s="1081">
        <v>1</v>
      </c>
      <c r="AE151" s="1081">
        <f>IF(PRISONS="Y",IF(CE151="Y",AF151,0),0)</f>
        <v>0</v>
      </c>
      <c r="AF151" s="1081">
        <v>1</v>
      </c>
      <c r="AG151" s="1081">
        <f>IF(RET="Y",IF(DA151="Y",AH151,0),0)</f>
        <v>0</v>
      </c>
      <c r="AH151" s="1081">
        <v>1</v>
      </c>
      <c r="AI151" s="1081">
        <f>IF(SCHOOLS="y",IF(DW151="y",AJ151,0),0)</f>
        <v>0</v>
      </c>
      <c r="AJ151" s="1081">
        <v>1</v>
      </c>
      <c r="AK151" s="1082">
        <f>IF(FE="y",IF(DW151="y",AL151,0),0)</f>
        <v>0</v>
      </c>
      <c r="AL151" s="1082">
        <v>1</v>
      </c>
      <c r="AM151" s="1082">
        <f>IF(HE="Y",IF(DW151="Y",AN151,0),0)</f>
        <v>0</v>
      </c>
      <c r="AN151" s="1082">
        <v>1</v>
      </c>
      <c r="AO151" s="1081">
        <f>IF(INDUSTRIAL="Y",IF(EL151="Y",AP151,0),0)</f>
        <v>0</v>
      </c>
      <c r="AP151" s="1081">
        <v>1</v>
      </c>
      <c r="AQ151" s="95">
        <v>1</v>
      </c>
      <c r="AR151" s="95"/>
      <c r="AS151" s="95"/>
      <c r="AT151" s="95"/>
      <c r="AU151" s="95"/>
      <c r="AV151" s="95"/>
      <c r="AW151" s="95"/>
      <c r="AX151" s="95"/>
      <c r="AY151" s="95"/>
      <c r="AZ151" s="95"/>
      <c r="BA151" s="95"/>
      <c r="BB151" s="95"/>
      <c r="BC151" s="95"/>
      <c r="BD151" s="95"/>
      <c r="BE151" s="95">
        <f t="shared" ref="BE151:BE211" si="48">SUM(AQ151:BD151)</f>
        <v>1</v>
      </c>
      <c r="BF151" s="96" t="str">
        <f t="shared" ref="BF151:BF211" si="49">IF(BE151&gt;=0.1,"Y","N")</f>
        <v>Y</v>
      </c>
      <c r="BG151" s="97"/>
      <c r="BH151" s="98">
        <v>1</v>
      </c>
      <c r="BI151" s="98"/>
      <c r="BJ151" s="98"/>
      <c r="BK151" s="98"/>
      <c r="BL151" s="111"/>
      <c r="BM151" s="98">
        <f t="shared" ref="BM151:BM211" si="50">SUM(BH151:BL151)</f>
        <v>1</v>
      </c>
      <c r="BN151" s="98" t="str">
        <f t="shared" ref="BN151:BN211" si="51">IF(BM151&gt;=0.1,"Y","N")</f>
        <v>Y</v>
      </c>
      <c r="BO151" s="115"/>
      <c r="BP151" s="100">
        <v>1</v>
      </c>
      <c r="BQ151" s="100"/>
      <c r="BR151" s="100"/>
      <c r="BS151" s="100">
        <f t="shared" ref="BS151:BS211" si="52">SUM(BP151:BR151)</f>
        <v>1</v>
      </c>
      <c r="BT151" s="100" t="str">
        <f t="shared" ref="BT151:BT211" si="53">IF(BS151&gt;=0.1,"Y","N")</f>
        <v>Y</v>
      </c>
      <c r="BU151" s="50"/>
      <c r="BV151" s="101">
        <v>1</v>
      </c>
      <c r="BW151" s="101"/>
      <c r="BX151" s="101"/>
      <c r="BY151" s="101"/>
      <c r="BZ151" s="101"/>
      <c r="CA151" s="101"/>
      <c r="CB151" s="101"/>
      <c r="CC151" s="101"/>
      <c r="CD151" s="101">
        <f t="shared" ref="CD151:CD211" si="54">SUM(BV151:CC151)</f>
        <v>1</v>
      </c>
      <c r="CE151" s="101" t="str">
        <f t="shared" ref="CE151:CE211" si="55">IF(CD151&gt;=0.1,"Y","N")</f>
        <v>Y</v>
      </c>
      <c r="CF151" s="54"/>
      <c r="CG151" s="102">
        <v>1</v>
      </c>
      <c r="CH151" s="102"/>
      <c r="CI151" s="102"/>
      <c r="CJ151" s="102"/>
      <c r="CK151" s="102"/>
      <c r="CL151" s="102"/>
      <c r="CM151" s="102"/>
      <c r="CN151" s="102"/>
      <c r="CO151" s="102"/>
      <c r="CP151" s="102"/>
      <c r="CQ151" s="102"/>
      <c r="CR151" s="102"/>
      <c r="CS151" s="102"/>
      <c r="CT151" s="102"/>
      <c r="CU151" s="102"/>
      <c r="CV151" s="102"/>
      <c r="CW151" s="102"/>
      <c r="CX151" s="102"/>
      <c r="CY151" s="102"/>
      <c r="CZ151" s="102">
        <f t="shared" ref="CZ151:CZ211" si="56">SUM(CG151:CY151)</f>
        <v>1</v>
      </c>
      <c r="DA151" s="102" t="str">
        <f t="shared" ref="DA151:DA211" si="57">IF(CZ151&gt;=0.1,"Y","N")</f>
        <v>Y</v>
      </c>
      <c r="DB151" s="58"/>
      <c r="DC151" s="101">
        <v>1</v>
      </c>
      <c r="DD151" s="101"/>
      <c r="DE151" s="101"/>
      <c r="DF151" s="101"/>
      <c r="DG151" s="101"/>
      <c r="DH151" s="101"/>
      <c r="DI151" s="101"/>
      <c r="DJ151" s="101"/>
      <c r="DK151" s="101"/>
      <c r="DL151" s="101"/>
      <c r="DM151" s="101"/>
      <c r="DN151" s="101"/>
      <c r="DO151" s="101"/>
      <c r="DP151" s="101"/>
      <c r="DQ151" s="101"/>
      <c r="DR151" s="101"/>
      <c r="DS151" s="101"/>
      <c r="DT151" s="101"/>
      <c r="DU151" s="101"/>
      <c r="DV151" s="101">
        <f t="shared" ref="DV151:DV211" si="58">SUM(DC151:DU151)</f>
        <v>1</v>
      </c>
      <c r="DW151" s="101" t="str">
        <f t="shared" si="47"/>
        <v>Y</v>
      </c>
      <c r="DX151" s="103"/>
      <c r="DY151" s="104">
        <v>1</v>
      </c>
      <c r="DZ151" s="104"/>
      <c r="EA151" s="104"/>
      <c r="EB151" s="104"/>
      <c r="EC151" s="104"/>
      <c r="ED151" s="104"/>
      <c r="EE151" s="104"/>
      <c r="EF151" s="104"/>
      <c r="EG151" s="104"/>
      <c r="EH151" s="104"/>
      <c r="EI151" s="104"/>
      <c r="EJ151" s="104"/>
      <c r="EK151" s="104">
        <f t="shared" ref="EK151:EK211" si="59">SUM(DY151:EJ151)</f>
        <v>1</v>
      </c>
      <c r="EL151" s="104" t="str">
        <f t="shared" ref="EL151:EL211" si="60">IF(EK151&gt;=0.1,"Y","N")</f>
        <v>Y</v>
      </c>
      <c r="EM151" s="62"/>
      <c r="EN151" s="6"/>
      <c r="EO151" s="6"/>
      <c r="EP151" s="6"/>
      <c r="EQ151" s="6"/>
      <c r="ER151" s="6"/>
    </row>
    <row r="152" spans="1:148" x14ac:dyDescent="0.2">
      <c r="A152" s="1147"/>
      <c r="B152" s="1139"/>
      <c r="C152" s="1141"/>
      <c r="D152" s="1134"/>
      <c r="E152" s="1086"/>
      <c r="F152" s="1079"/>
      <c r="G152" s="1077"/>
      <c r="H152" s="1077"/>
      <c r="I152" s="1077"/>
      <c r="J152" s="1079"/>
      <c r="K152" s="1077"/>
      <c r="L152" s="181"/>
      <c r="M152" s="186"/>
      <c r="N152" s="177"/>
      <c r="O152" s="177"/>
      <c r="P152" s="172"/>
      <c r="Q152" s="173"/>
      <c r="R152" s="173"/>
      <c r="S152" s="173"/>
      <c r="T152" s="173"/>
      <c r="U152" s="173"/>
      <c r="V152" s="174"/>
      <c r="W152" s="175"/>
      <c r="X152" s="1099"/>
      <c r="Y152" s="1081"/>
      <c r="Z152" s="1081"/>
      <c r="AA152" s="1081"/>
      <c r="AB152" s="1081"/>
      <c r="AC152" s="1081"/>
      <c r="AD152" s="1081"/>
      <c r="AE152" s="1081"/>
      <c r="AF152" s="1081"/>
      <c r="AG152" s="1081"/>
      <c r="AH152" s="1081"/>
      <c r="AI152" s="1081"/>
      <c r="AJ152" s="1081"/>
      <c r="AK152" s="1082"/>
      <c r="AL152" s="1082"/>
      <c r="AM152" s="1082"/>
      <c r="AN152" s="1082"/>
      <c r="AO152" s="1081"/>
      <c r="AP152" s="1081"/>
      <c r="AQ152" s="95">
        <v>1</v>
      </c>
      <c r="AR152" s="95"/>
      <c r="AS152" s="95"/>
      <c r="AT152" s="95"/>
      <c r="AU152" s="95"/>
      <c r="AV152" s="95"/>
      <c r="AW152" s="95"/>
      <c r="AX152" s="95"/>
      <c r="AY152" s="95"/>
      <c r="AZ152" s="95"/>
      <c r="BA152" s="95"/>
      <c r="BB152" s="95"/>
      <c r="BC152" s="95"/>
      <c r="BD152" s="95"/>
      <c r="BE152" s="95">
        <f t="shared" si="48"/>
        <v>1</v>
      </c>
      <c r="BF152" s="96" t="str">
        <f t="shared" si="49"/>
        <v>Y</v>
      </c>
      <c r="BG152" s="97"/>
      <c r="BH152" s="98">
        <v>1</v>
      </c>
      <c r="BI152" s="98"/>
      <c r="BJ152" s="98"/>
      <c r="BK152" s="98"/>
      <c r="BL152" s="111"/>
      <c r="BM152" s="98">
        <f t="shared" si="50"/>
        <v>1</v>
      </c>
      <c r="BN152" s="98" t="str">
        <f t="shared" si="51"/>
        <v>Y</v>
      </c>
      <c r="BO152" s="115"/>
      <c r="BP152" s="100">
        <v>1</v>
      </c>
      <c r="BQ152" s="100"/>
      <c r="BR152" s="100"/>
      <c r="BS152" s="100">
        <f t="shared" si="52"/>
        <v>1</v>
      </c>
      <c r="BT152" s="100" t="str">
        <f t="shared" si="53"/>
        <v>Y</v>
      </c>
      <c r="BU152" s="50"/>
      <c r="BV152" s="101">
        <v>1</v>
      </c>
      <c r="BW152" s="101"/>
      <c r="BX152" s="101"/>
      <c r="BY152" s="101"/>
      <c r="BZ152" s="101"/>
      <c r="CA152" s="101"/>
      <c r="CB152" s="101"/>
      <c r="CC152" s="101"/>
      <c r="CD152" s="101">
        <f t="shared" si="54"/>
        <v>1</v>
      </c>
      <c r="CE152" s="101" t="str">
        <f t="shared" si="55"/>
        <v>Y</v>
      </c>
      <c r="CF152" s="54"/>
      <c r="CG152" s="102">
        <v>1</v>
      </c>
      <c r="CH152" s="102"/>
      <c r="CI152" s="102"/>
      <c r="CJ152" s="102"/>
      <c r="CK152" s="102"/>
      <c r="CL152" s="102"/>
      <c r="CM152" s="102"/>
      <c r="CN152" s="102"/>
      <c r="CO152" s="102"/>
      <c r="CP152" s="102"/>
      <c r="CQ152" s="102"/>
      <c r="CR152" s="102"/>
      <c r="CS152" s="102"/>
      <c r="CT152" s="102"/>
      <c r="CU152" s="102"/>
      <c r="CV152" s="102"/>
      <c r="CW152" s="102"/>
      <c r="CX152" s="102"/>
      <c r="CY152" s="102"/>
      <c r="CZ152" s="102">
        <f t="shared" si="56"/>
        <v>1</v>
      </c>
      <c r="DA152" s="102" t="str">
        <f t="shared" si="57"/>
        <v>Y</v>
      </c>
      <c r="DB152" s="58"/>
      <c r="DC152" s="101">
        <v>1</v>
      </c>
      <c r="DD152" s="101"/>
      <c r="DE152" s="101"/>
      <c r="DF152" s="101"/>
      <c r="DG152" s="101"/>
      <c r="DH152" s="101"/>
      <c r="DI152" s="101"/>
      <c r="DJ152" s="101"/>
      <c r="DK152" s="101"/>
      <c r="DL152" s="101"/>
      <c r="DM152" s="101"/>
      <c r="DN152" s="101"/>
      <c r="DO152" s="101"/>
      <c r="DP152" s="101"/>
      <c r="DQ152" s="101"/>
      <c r="DR152" s="101"/>
      <c r="DS152" s="101"/>
      <c r="DT152" s="101"/>
      <c r="DU152" s="101"/>
      <c r="DV152" s="101">
        <f t="shared" si="58"/>
        <v>1</v>
      </c>
      <c r="DW152" s="101" t="str">
        <f t="shared" si="47"/>
        <v>Y</v>
      </c>
      <c r="DX152" s="103"/>
      <c r="DY152" s="104">
        <v>1</v>
      </c>
      <c r="DZ152" s="104"/>
      <c r="EA152" s="104"/>
      <c r="EB152" s="104"/>
      <c r="EC152" s="104"/>
      <c r="ED152" s="104"/>
      <c r="EE152" s="104"/>
      <c r="EF152" s="104"/>
      <c r="EG152" s="104"/>
      <c r="EH152" s="104"/>
      <c r="EI152" s="104"/>
      <c r="EJ152" s="104"/>
      <c r="EK152" s="104">
        <f t="shared" si="59"/>
        <v>1</v>
      </c>
      <c r="EL152" s="104" t="str">
        <f t="shared" si="60"/>
        <v>Y</v>
      </c>
      <c r="EM152" s="62"/>
      <c r="EN152" s="6"/>
      <c r="EO152" s="6"/>
      <c r="EP152" s="6"/>
      <c r="EQ152" s="6"/>
      <c r="ER152" s="6"/>
    </row>
    <row r="153" spans="1:148" ht="13.5" thickBot="1" x14ac:dyDescent="0.25">
      <c r="A153" s="1147"/>
      <c r="B153" s="1145"/>
      <c r="C153" s="1142"/>
      <c r="D153" s="1136"/>
      <c r="E153" s="1143"/>
      <c r="F153" s="1080"/>
      <c r="G153" s="1078"/>
      <c r="H153" s="1078"/>
      <c r="I153" s="1078"/>
      <c r="J153" s="1080"/>
      <c r="K153" s="1078"/>
      <c r="L153" s="180"/>
      <c r="M153" s="186"/>
      <c r="N153" s="177"/>
      <c r="O153" s="177"/>
      <c r="P153" s="172"/>
      <c r="Q153" s="173"/>
      <c r="R153" s="173"/>
      <c r="S153" s="173"/>
      <c r="T153" s="173"/>
      <c r="U153" s="173"/>
      <c r="V153" s="174"/>
      <c r="W153" s="175"/>
      <c r="X153" s="1100"/>
      <c r="Y153" s="1081"/>
      <c r="Z153" s="1081"/>
      <c r="AA153" s="1081"/>
      <c r="AB153" s="1081"/>
      <c r="AC153" s="1081"/>
      <c r="AD153" s="1081"/>
      <c r="AE153" s="1081"/>
      <c r="AF153" s="1081"/>
      <c r="AG153" s="1081"/>
      <c r="AH153" s="1081"/>
      <c r="AI153" s="1081"/>
      <c r="AJ153" s="1081"/>
      <c r="AK153" s="1082"/>
      <c r="AL153" s="1082"/>
      <c r="AM153" s="1082"/>
      <c r="AN153" s="1082"/>
      <c r="AO153" s="1081"/>
      <c r="AP153" s="1081"/>
      <c r="AQ153" s="95">
        <v>1</v>
      </c>
      <c r="AR153" s="95"/>
      <c r="AS153" s="95"/>
      <c r="AT153" s="95"/>
      <c r="AU153" s="95"/>
      <c r="AV153" s="95"/>
      <c r="AW153" s="95"/>
      <c r="AX153" s="95"/>
      <c r="AY153" s="95"/>
      <c r="AZ153" s="95"/>
      <c r="BA153" s="95"/>
      <c r="BB153" s="95"/>
      <c r="BC153" s="95"/>
      <c r="BD153" s="95"/>
      <c r="BE153" s="95">
        <f t="shared" si="48"/>
        <v>1</v>
      </c>
      <c r="BF153" s="96" t="str">
        <f t="shared" si="49"/>
        <v>Y</v>
      </c>
      <c r="BG153" s="97"/>
      <c r="BH153" s="98">
        <v>1</v>
      </c>
      <c r="BI153" s="98"/>
      <c r="BJ153" s="98"/>
      <c r="BK153" s="98"/>
      <c r="BL153" s="111"/>
      <c r="BM153" s="98">
        <f t="shared" si="50"/>
        <v>1</v>
      </c>
      <c r="BN153" s="98" t="str">
        <f t="shared" si="51"/>
        <v>Y</v>
      </c>
      <c r="BO153" s="115"/>
      <c r="BP153" s="100">
        <v>1</v>
      </c>
      <c r="BQ153" s="100"/>
      <c r="BR153" s="100"/>
      <c r="BS153" s="100">
        <f t="shared" si="52"/>
        <v>1</v>
      </c>
      <c r="BT153" s="100" t="str">
        <f t="shared" si="53"/>
        <v>Y</v>
      </c>
      <c r="BU153" s="50"/>
      <c r="BV153" s="101">
        <v>1</v>
      </c>
      <c r="BW153" s="101"/>
      <c r="BX153" s="101"/>
      <c r="BY153" s="101"/>
      <c r="BZ153" s="101"/>
      <c r="CA153" s="101"/>
      <c r="CB153" s="101"/>
      <c r="CC153" s="101"/>
      <c r="CD153" s="101">
        <f t="shared" si="54"/>
        <v>1</v>
      </c>
      <c r="CE153" s="101" t="str">
        <f t="shared" si="55"/>
        <v>Y</v>
      </c>
      <c r="CF153" s="54"/>
      <c r="CG153" s="102">
        <v>1</v>
      </c>
      <c r="CH153" s="102"/>
      <c r="CI153" s="102"/>
      <c r="CJ153" s="102"/>
      <c r="CK153" s="102"/>
      <c r="CL153" s="102"/>
      <c r="CM153" s="102"/>
      <c r="CN153" s="102"/>
      <c r="CO153" s="102"/>
      <c r="CP153" s="102"/>
      <c r="CQ153" s="102"/>
      <c r="CR153" s="102"/>
      <c r="CS153" s="102"/>
      <c r="CT153" s="102"/>
      <c r="CU153" s="102"/>
      <c r="CV153" s="102"/>
      <c r="CW153" s="102"/>
      <c r="CX153" s="102"/>
      <c r="CY153" s="102"/>
      <c r="CZ153" s="102">
        <f t="shared" si="56"/>
        <v>1</v>
      </c>
      <c r="DA153" s="102" t="str">
        <f t="shared" si="57"/>
        <v>Y</v>
      </c>
      <c r="DB153" s="58"/>
      <c r="DC153" s="101">
        <v>1</v>
      </c>
      <c r="DD153" s="101"/>
      <c r="DE153" s="101"/>
      <c r="DF153" s="101"/>
      <c r="DG153" s="101"/>
      <c r="DH153" s="101"/>
      <c r="DI153" s="101"/>
      <c r="DJ153" s="101"/>
      <c r="DK153" s="101"/>
      <c r="DL153" s="101"/>
      <c r="DM153" s="101"/>
      <c r="DN153" s="101"/>
      <c r="DO153" s="101"/>
      <c r="DP153" s="101"/>
      <c r="DQ153" s="101"/>
      <c r="DR153" s="101"/>
      <c r="DS153" s="101"/>
      <c r="DT153" s="101"/>
      <c r="DU153" s="101"/>
      <c r="DV153" s="101">
        <f t="shared" si="58"/>
        <v>1</v>
      </c>
      <c r="DW153" s="101" t="str">
        <f t="shared" si="47"/>
        <v>Y</v>
      </c>
      <c r="DX153" s="103"/>
      <c r="DY153" s="104">
        <v>1</v>
      </c>
      <c r="DZ153" s="104"/>
      <c r="EA153" s="104"/>
      <c r="EB153" s="104"/>
      <c r="EC153" s="104"/>
      <c r="ED153" s="104"/>
      <c r="EE153" s="104"/>
      <c r="EF153" s="104"/>
      <c r="EG153" s="104"/>
      <c r="EH153" s="104"/>
      <c r="EI153" s="104"/>
      <c r="EJ153" s="104"/>
      <c r="EK153" s="104">
        <f t="shared" si="59"/>
        <v>1</v>
      </c>
      <c r="EL153" s="104" t="str">
        <f t="shared" si="60"/>
        <v>Y</v>
      </c>
      <c r="EM153" s="62"/>
      <c r="EN153" s="6"/>
      <c r="EO153" s="6"/>
      <c r="EP153" s="6"/>
      <c r="EQ153" s="6"/>
      <c r="ER153" s="6"/>
    </row>
    <row r="154" spans="1:148" x14ac:dyDescent="0.2">
      <c r="A154" s="1147"/>
      <c r="B154" s="1138" t="s">
        <v>85</v>
      </c>
      <c r="C154" s="1140" t="s">
        <v>84</v>
      </c>
      <c r="D154" s="1133"/>
      <c r="E154" s="1085"/>
      <c r="F154" s="1144"/>
      <c r="G154" s="1076" t="s">
        <v>349</v>
      </c>
      <c r="H154" s="1076" t="s">
        <v>341</v>
      </c>
      <c r="I154" s="1076"/>
      <c r="J154" s="1079">
        <f>Y154+AA154+AC154+AE154+AG154+AI154+AK154+AM154+AO154</f>
        <v>2</v>
      </c>
      <c r="K154" s="1076"/>
      <c r="L154" s="180"/>
      <c r="M154" s="186"/>
      <c r="N154" s="177"/>
      <c r="O154" s="177"/>
      <c r="P154" s="172"/>
      <c r="Q154" s="173"/>
      <c r="R154" s="173"/>
      <c r="S154" s="173"/>
      <c r="T154" s="173"/>
      <c r="U154" s="173"/>
      <c r="V154" s="174"/>
      <c r="W154" s="175"/>
      <c r="X154" s="1098" t="s">
        <v>341</v>
      </c>
      <c r="Y154" s="1081">
        <f>IF(HC="Y",IF(BF154="Y",Z154,0),0)</f>
        <v>0</v>
      </c>
      <c r="Z154" s="1081">
        <v>2</v>
      </c>
      <c r="AA154" s="1081">
        <f>IF(OFF="Y",IF(BN154="Y",AB154,0),0)</f>
        <v>2</v>
      </c>
      <c r="AB154" s="1081">
        <v>2</v>
      </c>
      <c r="AC154" s="1081">
        <f>IF(COURTS="Y",IF(BT154="Y",AD154,0),0)</f>
        <v>0</v>
      </c>
      <c r="AD154" s="1081">
        <v>2</v>
      </c>
      <c r="AE154" s="1081">
        <f>IF(PRISONS="Y",IF(CE154="Y",AF154,0),0)</f>
        <v>0</v>
      </c>
      <c r="AF154" s="1081">
        <v>1</v>
      </c>
      <c r="AG154" s="1081">
        <f>IF(RET="Y",IF(DA154="Y",AH154,0),0)</f>
        <v>0</v>
      </c>
      <c r="AH154" s="1081">
        <v>2</v>
      </c>
      <c r="AI154" s="1081">
        <f>IF(SCHOOLS="y",IF(DW154="y",AJ154,0),0)</f>
        <v>0</v>
      </c>
      <c r="AJ154" s="1081">
        <v>1</v>
      </c>
      <c r="AK154" s="1082">
        <f>IF(FE="y",IF(DW154="y",AL154,0),0)</f>
        <v>0</v>
      </c>
      <c r="AL154" s="1082">
        <v>1</v>
      </c>
      <c r="AM154" s="1082">
        <f>IF(HE="Y",IF(DW154="Y",AN154,0),0)</f>
        <v>0</v>
      </c>
      <c r="AN154" s="1082">
        <v>1</v>
      </c>
      <c r="AO154" s="1081">
        <f>IF(INDUSTRIAL="Y",IF(EL154="Y",AP154,0),0)</f>
        <v>0</v>
      </c>
      <c r="AP154" s="1081">
        <v>1</v>
      </c>
      <c r="AQ154" s="95">
        <v>1</v>
      </c>
      <c r="AR154" s="95"/>
      <c r="AS154" s="95"/>
      <c r="AT154" s="95"/>
      <c r="AU154" s="95"/>
      <c r="AV154" s="95"/>
      <c r="AW154" s="95"/>
      <c r="AX154" s="95"/>
      <c r="AY154" s="95"/>
      <c r="AZ154" s="95"/>
      <c r="BA154" s="95"/>
      <c r="BB154" s="95"/>
      <c r="BC154" s="95"/>
      <c r="BD154" s="95"/>
      <c r="BE154" s="95">
        <f t="shared" si="48"/>
        <v>1</v>
      </c>
      <c r="BF154" s="96" t="str">
        <f t="shared" si="49"/>
        <v>Y</v>
      </c>
      <c r="BG154" s="97"/>
      <c r="BH154" s="98">
        <v>1</v>
      </c>
      <c r="BI154" s="98"/>
      <c r="BJ154" s="98"/>
      <c r="BK154" s="98"/>
      <c r="BL154" s="111"/>
      <c r="BM154" s="98">
        <f t="shared" si="50"/>
        <v>1</v>
      </c>
      <c r="BN154" s="98" t="str">
        <f t="shared" si="51"/>
        <v>Y</v>
      </c>
      <c r="BO154" s="115"/>
      <c r="BP154" s="100">
        <v>1</v>
      </c>
      <c r="BQ154" s="100"/>
      <c r="BR154" s="100"/>
      <c r="BS154" s="100">
        <f t="shared" si="52"/>
        <v>1</v>
      </c>
      <c r="BT154" s="100" t="str">
        <f t="shared" si="53"/>
        <v>Y</v>
      </c>
      <c r="BU154" s="50"/>
      <c r="BV154" s="101">
        <v>1</v>
      </c>
      <c r="BW154" s="101"/>
      <c r="BX154" s="101"/>
      <c r="BY154" s="101"/>
      <c r="BZ154" s="101"/>
      <c r="CA154" s="101"/>
      <c r="CB154" s="101"/>
      <c r="CC154" s="101"/>
      <c r="CD154" s="101">
        <f t="shared" si="54"/>
        <v>1</v>
      </c>
      <c r="CE154" s="101" t="str">
        <f t="shared" si="55"/>
        <v>Y</v>
      </c>
      <c r="CF154" s="54"/>
      <c r="CG154" s="102">
        <v>1</v>
      </c>
      <c r="CH154" s="102"/>
      <c r="CI154" s="102"/>
      <c r="CJ154" s="102"/>
      <c r="CK154" s="102"/>
      <c r="CL154" s="102"/>
      <c r="CM154" s="102"/>
      <c r="CN154" s="102"/>
      <c r="CO154" s="102"/>
      <c r="CP154" s="102"/>
      <c r="CQ154" s="102"/>
      <c r="CR154" s="102"/>
      <c r="CS154" s="102"/>
      <c r="CT154" s="102"/>
      <c r="CU154" s="102"/>
      <c r="CV154" s="102"/>
      <c r="CW154" s="102"/>
      <c r="CX154" s="102"/>
      <c r="CY154" s="102"/>
      <c r="CZ154" s="102">
        <f t="shared" si="56"/>
        <v>1</v>
      </c>
      <c r="DA154" s="102" t="str">
        <f t="shared" si="57"/>
        <v>Y</v>
      </c>
      <c r="DB154" s="58"/>
      <c r="DC154" s="101">
        <v>1</v>
      </c>
      <c r="DD154" s="101"/>
      <c r="DE154" s="101"/>
      <c r="DF154" s="101"/>
      <c r="DG154" s="101"/>
      <c r="DH154" s="101"/>
      <c r="DI154" s="101"/>
      <c r="DJ154" s="101"/>
      <c r="DK154" s="101"/>
      <c r="DL154" s="101"/>
      <c r="DM154" s="101"/>
      <c r="DN154" s="101"/>
      <c r="DO154" s="101"/>
      <c r="DP154" s="101"/>
      <c r="DQ154" s="101"/>
      <c r="DR154" s="101"/>
      <c r="DS154" s="101"/>
      <c r="DT154" s="101"/>
      <c r="DU154" s="101"/>
      <c r="DV154" s="101">
        <f t="shared" si="58"/>
        <v>1</v>
      </c>
      <c r="DW154" s="101" t="str">
        <f t="shared" si="47"/>
        <v>Y</v>
      </c>
      <c r="DX154" s="103"/>
      <c r="DY154" s="104">
        <v>1</v>
      </c>
      <c r="DZ154" s="104"/>
      <c r="EA154" s="104"/>
      <c r="EB154" s="104"/>
      <c r="EC154" s="104"/>
      <c r="ED154" s="104"/>
      <c r="EE154" s="104"/>
      <c r="EF154" s="104"/>
      <c r="EG154" s="104"/>
      <c r="EH154" s="104"/>
      <c r="EI154" s="104"/>
      <c r="EJ154" s="104"/>
      <c r="EK154" s="104">
        <f t="shared" si="59"/>
        <v>1</v>
      </c>
      <c r="EL154" s="104" t="str">
        <f t="shared" si="60"/>
        <v>Y</v>
      </c>
      <c r="EM154" s="62"/>
      <c r="EN154" s="6"/>
      <c r="EO154" s="6"/>
      <c r="EP154" s="6"/>
      <c r="EQ154" s="6"/>
      <c r="ER154" s="6"/>
    </row>
    <row r="155" spans="1:148" x14ac:dyDescent="0.2">
      <c r="A155" s="1147"/>
      <c r="B155" s="1139"/>
      <c r="C155" s="1141"/>
      <c r="D155" s="1134"/>
      <c r="E155" s="1086"/>
      <c r="F155" s="1079"/>
      <c r="G155" s="1077"/>
      <c r="H155" s="1077"/>
      <c r="I155" s="1077"/>
      <c r="J155" s="1079"/>
      <c r="K155" s="1077"/>
      <c r="L155" s="181"/>
      <c r="M155" s="186"/>
      <c r="N155" s="177"/>
      <c r="O155" s="177"/>
      <c r="P155" s="172"/>
      <c r="Q155" s="173"/>
      <c r="R155" s="173"/>
      <c r="S155" s="173"/>
      <c r="T155" s="173"/>
      <c r="U155" s="173"/>
      <c r="V155" s="174"/>
      <c r="W155" s="175"/>
      <c r="X155" s="1099"/>
      <c r="Y155" s="1081"/>
      <c r="Z155" s="1081"/>
      <c r="AA155" s="1081"/>
      <c r="AB155" s="1081"/>
      <c r="AC155" s="1081"/>
      <c r="AD155" s="1081"/>
      <c r="AE155" s="1081"/>
      <c r="AF155" s="1081"/>
      <c r="AG155" s="1081"/>
      <c r="AH155" s="1081"/>
      <c r="AI155" s="1081"/>
      <c r="AJ155" s="1081"/>
      <c r="AK155" s="1082"/>
      <c r="AL155" s="1082"/>
      <c r="AM155" s="1082"/>
      <c r="AN155" s="1082"/>
      <c r="AO155" s="1081"/>
      <c r="AP155" s="1081"/>
      <c r="AQ155" s="95">
        <v>1</v>
      </c>
      <c r="AR155" s="95"/>
      <c r="AS155" s="95"/>
      <c r="AT155" s="95"/>
      <c r="AU155" s="95"/>
      <c r="AV155" s="95"/>
      <c r="AW155" s="95"/>
      <c r="AX155" s="95"/>
      <c r="AY155" s="95"/>
      <c r="AZ155" s="95"/>
      <c r="BA155" s="95"/>
      <c r="BB155" s="95"/>
      <c r="BC155" s="95"/>
      <c r="BD155" s="95"/>
      <c r="BE155" s="95">
        <f t="shared" si="48"/>
        <v>1</v>
      </c>
      <c r="BF155" s="96" t="str">
        <f t="shared" si="49"/>
        <v>Y</v>
      </c>
      <c r="BG155" s="97"/>
      <c r="BH155" s="98">
        <v>1</v>
      </c>
      <c r="BI155" s="98"/>
      <c r="BJ155" s="98"/>
      <c r="BK155" s="98"/>
      <c r="BL155" s="111"/>
      <c r="BM155" s="98">
        <f t="shared" si="50"/>
        <v>1</v>
      </c>
      <c r="BN155" s="98" t="str">
        <f t="shared" si="51"/>
        <v>Y</v>
      </c>
      <c r="BO155" s="115"/>
      <c r="BP155" s="100">
        <v>1</v>
      </c>
      <c r="BQ155" s="100"/>
      <c r="BR155" s="100"/>
      <c r="BS155" s="100">
        <f t="shared" si="52"/>
        <v>1</v>
      </c>
      <c r="BT155" s="100" t="str">
        <f t="shared" si="53"/>
        <v>Y</v>
      </c>
      <c r="BU155" s="50"/>
      <c r="BV155" s="101">
        <v>1</v>
      </c>
      <c r="BW155" s="101"/>
      <c r="BX155" s="101"/>
      <c r="BY155" s="101"/>
      <c r="BZ155" s="101"/>
      <c r="CA155" s="101"/>
      <c r="CB155" s="101"/>
      <c r="CC155" s="101"/>
      <c r="CD155" s="101">
        <f t="shared" si="54"/>
        <v>1</v>
      </c>
      <c r="CE155" s="101" t="str">
        <f t="shared" si="55"/>
        <v>Y</v>
      </c>
      <c r="CF155" s="54"/>
      <c r="CG155" s="102">
        <v>1</v>
      </c>
      <c r="CH155" s="102"/>
      <c r="CI155" s="102"/>
      <c r="CJ155" s="102"/>
      <c r="CK155" s="102"/>
      <c r="CL155" s="102"/>
      <c r="CM155" s="102"/>
      <c r="CN155" s="102"/>
      <c r="CO155" s="102"/>
      <c r="CP155" s="102"/>
      <c r="CQ155" s="102"/>
      <c r="CR155" s="102"/>
      <c r="CS155" s="102"/>
      <c r="CT155" s="102"/>
      <c r="CU155" s="102"/>
      <c r="CV155" s="102"/>
      <c r="CW155" s="102"/>
      <c r="CX155" s="102"/>
      <c r="CY155" s="102"/>
      <c r="CZ155" s="102">
        <f t="shared" si="56"/>
        <v>1</v>
      </c>
      <c r="DA155" s="102" t="str">
        <f t="shared" si="57"/>
        <v>Y</v>
      </c>
      <c r="DB155" s="58"/>
      <c r="DC155" s="101">
        <v>1</v>
      </c>
      <c r="DD155" s="101"/>
      <c r="DE155" s="101"/>
      <c r="DF155" s="101"/>
      <c r="DG155" s="101"/>
      <c r="DH155" s="101"/>
      <c r="DI155" s="101"/>
      <c r="DJ155" s="101"/>
      <c r="DK155" s="101"/>
      <c r="DL155" s="101"/>
      <c r="DM155" s="101"/>
      <c r="DN155" s="101"/>
      <c r="DO155" s="101"/>
      <c r="DP155" s="101"/>
      <c r="DQ155" s="101"/>
      <c r="DR155" s="101"/>
      <c r="DS155" s="101"/>
      <c r="DT155" s="101"/>
      <c r="DU155" s="101"/>
      <c r="DV155" s="101">
        <f t="shared" si="58"/>
        <v>1</v>
      </c>
      <c r="DW155" s="101" t="str">
        <f t="shared" si="47"/>
        <v>Y</v>
      </c>
      <c r="DX155" s="103"/>
      <c r="DY155" s="104">
        <v>1</v>
      </c>
      <c r="DZ155" s="104"/>
      <c r="EA155" s="104"/>
      <c r="EB155" s="104"/>
      <c r="EC155" s="104"/>
      <c r="ED155" s="104"/>
      <c r="EE155" s="104"/>
      <c r="EF155" s="104"/>
      <c r="EG155" s="104"/>
      <c r="EH155" s="104"/>
      <c r="EI155" s="104"/>
      <c r="EJ155" s="104"/>
      <c r="EK155" s="104">
        <f t="shared" si="59"/>
        <v>1</v>
      </c>
      <c r="EL155" s="104" t="str">
        <f t="shared" si="60"/>
        <v>Y</v>
      </c>
      <c r="EM155" s="62"/>
      <c r="EN155" s="6"/>
      <c r="EO155" s="6"/>
      <c r="EP155" s="6"/>
      <c r="EQ155" s="6"/>
      <c r="ER155" s="6"/>
    </row>
    <row r="156" spans="1:148" ht="13.5" thickBot="1" x14ac:dyDescent="0.25">
      <c r="A156" s="1147"/>
      <c r="B156" s="1145"/>
      <c r="C156" s="1142"/>
      <c r="D156" s="1136"/>
      <c r="E156" s="1143"/>
      <c r="F156" s="1080"/>
      <c r="G156" s="1078"/>
      <c r="H156" s="1078"/>
      <c r="I156" s="1078"/>
      <c r="J156" s="1080"/>
      <c r="K156" s="1078"/>
      <c r="L156" s="180"/>
      <c r="M156" s="186"/>
      <c r="N156" s="177"/>
      <c r="O156" s="177"/>
      <c r="P156" s="172"/>
      <c r="Q156" s="173"/>
      <c r="R156" s="173"/>
      <c r="S156" s="173"/>
      <c r="T156" s="173"/>
      <c r="U156" s="173"/>
      <c r="V156" s="174"/>
      <c r="W156" s="175"/>
      <c r="X156" s="1100"/>
      <c r="Y156" s="1081"/>
      <c r="Z156" s="1081"/>
      <c r="AA156" s="1081"/>
      <c r="AB156" s="1081"/>
      <c r="AC156" s="1081"/>
      <c r="AD156" s="1081"/>
      <c r="AE156" s="1081"/>
      <c r="AF156" s="1081"/>
      <c r="AG156" s="1081"/>
      <c r="AH156" s="1081"/>
      <c r="AI156" s="1081"/>
      <c r="AJ156" s="1081"/>
      <c r="AK156" s="1082"/>
      <c r="AL156" s="1082"/>
      <c r="AM156" s="1082"/>
      <c r="AN156" s="1082"/>
      <c r="AO156" s="1081"/>
      <c r="AP156" s="1081"/>
      <c r="AQ156" s="95">
        <v>1</v>
      </c>
      <c r="AR156" s="95"/>
      <c r="AS156" s="95"/>
      <c r="AT156" s="95"/>
      <c r="AU156" s="95"/>
      <c r="AV156" s="95"/>
      <c r="AW156" s="95"/>
      <c r="AX156" s="95"/>
      <c r="AY156" s="95"/>
      <c r="AZ156" s="95"/>
      <c r="BA156" s="95"/>
      <c r="BB156" s="95"/>
      <c r="BC156" s="95"/>
      <c r="BD156" s="95"/>
      <c r="BE156" s="95">
        <f t="shared" si="48"/>
        <v>1</v>
      </c>
      <c r="BF156" s="96" t="str">
        <f t="shared" si="49"/>
        <v>Y</v>
      </c>
      <c r="BG156" s="97"/>
      <c r="BH156" s="98">
        <v>1</v>
      </c>
      <c r="BI156" s="98"/>
      <c r="BJ156" s="98"/>
      <c r="BK156" s="98"/>
      <c r="BL156" s="111"/>
      <c r="BM156" s="98">
        <f t="shared" si="50"/>
        <v>1</v>
      </c>
      <c r="BN156" s="98" t="str">
        <f t="shared" si="51"/>
        <v>Y</v>
      </c>
      <c r="BO156" s="115"/>
      <c r="BP156" s="100">
        <v>1</v>
      </c>
      <c r="BQ156" s="100"/>
      <c r="BR156" s="100"/>
      <c r="BS156" s="100">
        <f t="shared" si="52"/>
        <v>1</v>
      </c>
      <c r="BT156" s="100" t="str">
        <f t="shared" si="53"/>
        <v>Y</v>
      </c>
      <c r="BU156" s="50"/>
      <c r="BV156" s="101">
        <v>1</v>
      </c>
      <c r="BW156" s="101"/>
      <c r="BX156" s="101"/>
      <c r="BY156" s="101"/>
      <c r="BZ156" s="101"/>
      <c r="CA156" s="101"/>
      <c r="CB156" s="101"/>
      <c r="CC156" s="101"/>
      <c r="CD156" s="101">
        <f t="shared" si="54"/>
        <v>1</v>
      </c>
      <c r="CE156" s="101" t="str">
        <f t="shared" si="55"/>
        <v>Y</v>
      </c>
      <c r="CF156" s="54"/>
      <c r="CG156" s="102">
        <v>1</v>
      </c>
      <c r="CH156" s="102"/>
      <c r="CI156" s="102"/>
      <c r="CJ156" s="102"/>
      <c r="CK156" s="102"/>
      <c r="CL156" s="102"/>
      <c r="CM156" s="102"/>
      <c r="CN156" s="102"/>
      <c r="CO156" s="102"/>
      <c r="CP156" s="102"/>
      <c r="CQ156" s="102"/>
      <c r="CR156" s="102"/>
      <c r="CS156" s="102"/>
      <c r="CT156" s="102"/>
      <c r="CU156" s="102"/>
      <c r="CV156" s="102"/>
      <c r="CW156" s="102"/>
      <c r="CX156" s="102"/>
      <c r="CY156" s="102"/>
      <c r="CZ156" s="102">
        <f t="shared" si="56"/>
        <v>1</v>
      </c>
      <c r="DA156" s="102" t="str">
        <f t="shared" si="57"/>
        <v>Y</v>
      </c>
      <c r="DB156" s="58"/>
      <c r="DC156" s="101">
        <v>1</v>
      </c>
      <c r="DD156" s="101"/>
      <c r="DE156" s="101"/>
      <c r="DF156" s="101"/>
      <c r="DG156" s="101"/>
      <c r="DH156" s="101"/>
      <c r="DI156" s="101"/>
      <c r="DJ156" s="101"/>
      <c r="DK156" s="101"/>
      <c r="DL156" s="101"/>
      <c r="DM156" s="101"/>
      <c r="DN156" s="101"/>
      <c r="DO156" s="101"/>
      <c r="DP156" s="101"/>
      <c r="DQ156" s="101"/>
      <c r="DR156" s="101"/>
      <c r="DS156" s="101"/>
      <c r="DT156" s="101"/>
      <c r="DU156" s="101"/>
      <c r="DV156" s="101">
        <f t="shared" si="58"/>
        <v>1</v>
      </c>
      <c r="DW156" s="101" t="str">
        <f t="shared" ref="DW156:DW187" si="61">IF(DV156&gt;=0.1,"Y","N")</f>
        <v>Y</v>
      </c>
      <c r="DX156" s="103"/>
      <c r="DY156" s="104">
        <v>1</v>
      </c>
      <c r="DZ156" s="104"/>
      <c r="EA156" s="104"/>
      <c r="EB156" s="104"/>
      <c r="EC156" s="104"/>
      <c r="ED156" s="104"/>
      <c r="EE156" s="104"/>
      <c r="EF156" s="104"/>
      <c r="EG156" s="104"/>
      <c r="EH156" s="104"/>
      <c r="EI156" s="104"/>
      <c r="EJ156" s="104"/>
      <c r="EK156" s="104">
        <f t="shared" si="59"/>
        <v>1</v>
      </c>
      <c r="EL156" s="104" t="str">
        <f t="shared" si="60"/>
        <v>Y</v>
      </c>
      <c r="EM156" s="62"/>
      <c r="EN156" s="6"/>
      <c r="EO156" s="6"/>
      <c r="EP156" s="6"/>
      <c r="EQ156" s="6"/>
      <c r="ER156" s="6"/>
    </row>
    <row r="157" spans="1:148" x14ac:dyDescent="0.2">
      <c r="A157" s="1147"/>
      <c r="B157" s="1138" t="s">
        <v>361</v>
      </c>
      <c r="C157" s="1140" t="s">
        <v>266</v>
      </c>
      <c r="D157" s="1133"/>
      <c r="E157" s="1085"/>
      <c r="F157" s="1144"/>
      <c r="G157" s="1076" t="s">
        <v>349</v>
      </c>
      <c r="H157" s="1076" t="s">
        <v>341</v>
      </c>
      <c r="I157" s="1076"/>
      <c r="J157" s="1079">
        <v>1</v>
      </c>
      <c r="K157" s="1076"/>
      <c r="L157" s="180"/>
      <c r="M157" s="186"/>
      <c r="N157" s="177"/>
      <c r="O157" s="177"/>
      <c r="P157" s="172"/>
      <c r="Q157" s="173"/>
      <c r="R157" s="173"/>
      <c r="S157" s="173"/>
      <c r="T157" s="173"/>
      <c r="U157" s="173"/>
      <c r="V157" s="174"/>
      <c r="W157" s="175"/>
      <c r="X157" s="1197" t="s">
        <v>341</v>
      </c>
      <c r="Y157" s="116"/>
      <c r="Z157" s="116"/>
      <c r="AA157" s="116"/>
      <c r="AB157" s="116"/>
      <c r="AC157" s="116"/>
      <c r="AD157" s="116"/>
      <c r="AE157" s="116"/>
      <c r="AF157" s="116"/>
      <c r="AG157" s="116"/>
      <c r="AH157" s="116"/>
      <c r="AI157" s="116"/>
      <c r="AJ157" s="116"/>
      <c r="AK157" s="117"/>
      <c r="AL157" s="117"/>
      <c r="AM157" s="117"/>
      <c r="AN157" s="117"/>
      <c r="AO157" s="116"/>
      <c r="AP157" s="116"/>
      <c r="AQ157" s="95"/>
      <c r="AR157" s="95"/>
      <c r="AS157" s="95"/>
      <c r="AT157" s="95"/>
      <c r="AU157" s="95"/>
      <c r="AV157" s="95"/>
      <c r="AW157" s="95"/>
      <c r="AX157" s="95"/>
      <c r="AY157" s="95"/>
      <c r="AZ157" s="95"/>
      <c r="BA157" s="95"/>
      <c r="BB157" s="95"/>
      <c r="BC157" s="95"/>
      <c r="BD157" s="95"/>
      <c r="BE157" s="95"/>
      <c r="BF157" s="96"/>
      <c r="BG157" s="97"/>
      <c r="BH157" s="98"/>
      <c r="BI157" s="98"/>
      <c r="BJ157" s="98"/>
      <c r="BK157" s="98"/>
      <c r="BL157" s="111"/>
      <c r="BM157" s="98"/>
      <c r="BN157" s="98"/>
      <c r="BO157" s="115"/>
      <c r="BP157" s="100"/>
      <c r="BQ157" s="100"/>
      <c r="BR157" s="100"/>
      <c r="BS157" s="100"/>
      <c r="BT157" s="100"/>
      <c r="BU157" s="50"/>
      <c r="BV157" s="101"/>
      <c r="BW157" s="101"/>
      <c r="BX157" s="101"/>
      <c r="BY157" s="101"/>
      <c r="BZ157" s="101"/>
      <c r="CA157" s="101"/>
      <c r="CB157" s="101"/>
      <c r="CC157" s="101"/>
      <c r="CD157" s="101"/>
      <c r="CE157" s="101"/>
      <c r="CF157" s="54"/>
      <c r="CG157" s="102"/>
      <c r="CH157" s="102"/>
      <c r="CI157" s="102"/>
      <c r="CJ157" s="102"/>
      <c r="CK157" s="102"/>
      <c r="CL157" s="102"/>
      <c r="CM157" s="102"/>
      <c r="CN157" s="102"/>
      <c r="CO157" s="102"/>
      <c r="CP157" s="102"/>
      <c r="CQ157" s="102"/>
      <c r="CR157" s="102"/>
      <c r="CS157" s="102"/>
      <c r="CT157" s="102"/>
      <c r="CU157" s="102"/>
      <c r="CV157" s="102"/>
      <c r="CW157" s="102"/>
      <c r="CX157" s="102"/>
      <c r="CY157" s="102"/>
      <c r="CZ157" s="102"/>
      <c r="DA157" s="102"/>
      <c r="DB157" s="58"/>
      <c r="DC157" s="101"/>
      <c r="DD157" s="101"/>
      <c r="DE157" s="101"/>
      <c r="DF157" s="101"/>
      <c r="DG157" s="101"/>
      <c r="DH157" s="101"/>
      <c r="DI157" s="101"/>
      <c r="DJ157" s="101"/>
      <c r="DK157" s="101"/>
      <c r="DL157" s="101"/>
      <c r="DM157" s="101"/>
      <c r="DN157" s="101"/>
      <c r="DO157" s="101"/>
      <c r="DP157" s="101"/>
      <c r="DQ157" s="101"/>
      <c r="DR157" s="101"/>
      <c r="DS157" s="101"/>
      <c r="DT157" s="101"/>
      <c r="DU157" s="101"/>
      <c r="DV157" s="101"/>
      <c r="DW157" s="101"/>
      <c r="DX157" s="103"/>
      <c r="DY157" s="104"/>
      <c r="DZ157" s="104"/>
      <c r="EA157" s="104"/>
      <c r="EB157" s="104"/>
      <c r="EC157" s="104"/>
      <c r="ED157" s="104"/>
      <c r="EE157" s="104"/>
      <c r="EF157" s="104"/>
      <c r="EG157" s="104"/>
      <c r="EH157" s="104"/>
      <c r="EI157" s="104"/>
      <c r="EJ157" s="104"/>
      <c r="EK157" s="104"/>
      <c r="EL157" s="104"/>
      <c r="EM157" s="62"/>
      <c r="EN157" s="6"/>
      <c r="EO157" s="6"/>
      <c r="EP157" s="6"/>
      <c r="EQ157" s="6"/>
      <c r="ER157" s="6"/>
    </row>
    <row r="158" spans="1:148" x14ac:dyDescent="0.2">
      <c r="A158" s="1147"/>
      <c r="B158" s="1139"/>
      <c r="C158" s="1141"/>
      <c r="D158" s="1134"/>
      <c r="E158" s="1086"/>
      <c r="F158" s="1079"/>
      <c r="G158" s="1077"/>
      <c r="H158" s="1204"/>
      <c r="I158" s="1077"/>
      <c r="J158" s="1079"/>
      <c r="K158" s="1077"/>
      <c r="L158" s="181"/>
      <c r="M158" s="186"/>
      <c r="N158" s="177"/>
      <c r="O158" s="177"/>
      <c r="P158" s="172"/>
      <c r="Q158" s="173"/>
      <c r="R158" s="173"/>
      <c r="S158" s="173"/>
      <c r="T158" s="173"/>
      <c r="U158" s="173"/>
      <c r="V158" s="174"/>
      <c r="W158" s="175"/>
      <c r="X158" s="1198"/>
      <c r="Y158" s="116"/>
      <c r="Z158" s="116"/>
      <c r="AA158" s="116"/>
      <c r="AB158" s="116"/>
      <c r="AC158" s="116"/>
      <c r="AD158" s="116"/>
      <c r="AE158" s="116"/>
      <c r="AF158" s="116"/>
      <c r="AG158" s="116"/>
      <c r="AH158" s="116"/>
      <c r="AI158" s="116"/>
      <c r="AJ158" s="116"/>
      <c r="AK158" s="117"/>
      <c r="AL158" s="117"/>
      <c r="AM158" s="117"/>
      <c r="AN158" s="117"/>
      <c r="AO158" s="116"/>
      <c r="AP158" s="116"/>
      <c r="AQ158" s="95"/>
      <c r="AR158" s="95"/>
      <c r="AS158" s="95"/>
      <c r="AT158" s="95"/>
      <c r="AU158" s="95"/>
      <c r="AV158" s="95"/>
      <c r="AW158" s="95"/>
      <c r="AX158" s="95"/>
      <c r="AY158" s="95"/>
      <c r="AZ158" s="95"/>
      <c r="BA158" s="95"/>
      <c r="BB158" s="95"/>
      <c r="BC158" s="95"/>
      <c r="BD158" s="95"/>
      <c r="BE158" s="95"/>
      <c r="BF158" s="96"/>
      <c r="BG158" s="97"/>
      <c r="BH158" s="98"/>
      <c r="BI158" s="98"/>
      <c r="BJ158" s="98"/>
      <c r="BK158" s="98"/>
      <c r="BL158" s="111"/>
      <c r="BM158" s="98"/>
      <c r="BN158" s="98"/>
      <c r="BO158" s="115"/>
      <c r="BP158" s="100"/>
      <c r="BQ158" s="100"/>
      <c r="BR158" s="100"/>
      <c r="BS158" s="100"/>
      <c r="BT158" s="100"/>
      <c r="BU158" s="50"/>
      <c r="BV158" s="101"/>
      <c r="BW158" s="101"/>
      <c r="BX158" s="101"/>
      <c r="BY158" s="101"/>
      <c r="BZ158" s="101"/>
      <c r="CA158" s="101"/>
      <c r="CB158" s="101"/>
      <c r="CC158" s="101"/>
      <c r="CD158" s="101"/>
      <c r="CE158" s="101"/>
      <c r="CF158" s="54"/>
      <c r="CG158" s="102"/>
      <c r="CH158" s="102"/>
      <c r="CI158" s="102"/>
      <c r="CJ158" s="102"/>
      <c r="CK158" s="102"/>
      <c r="CL158" s="102"/>
      <c r="CM158" s="102"/>
      <c r="CN158" s="102"/>
      <c r="CO158" s="102"/>
      <c r="CP158" s="102"/>
      <c r="CQ158" s="102"/>
      <c r="CR158" s="102"/>
      <c r="CS158" s="102"/>
      <c r="CT158" s="102"/>
      <c r="CU158" s="102"/>
      <c r="CV158" s="102"/>
      <c r="CW158" s="102"/>
      <c r="CX158" s="102"/>
      <c r="CY158" s="102"/>
      <c r="CZ158" s="102"/>
      <c r="DA158" s="102"/>
      <c r="DB158" s="58"/>
      <c r="DC158" s="101"/>
      <c r="DD158" s="101"/>
      <c r="DE158" s="101"/>
      <c r="DF158" s="101"/>
      <c r="DG158" s="101"/>
      <c r="DH158" s="101"/>
      <c r="DI158" s="101"/>
      <c r="DJ158" s="101"/>
      <c r="DK158" s="101"/>
      <c r="DL158" s="101"/>
      <c r="DM158" s="101"/>
      <c r="DN158" s="101"/>
      <c r="DO158" s="101"/>
      <c r="DP158" s="101"/>
      <c r="DQ158" s="101"/>
      <c r="DR158" s="101"/>
      <c r="DS158" s="101"/>
      <c r="DT158" s="101"/>
      <c r="DU158" s="101"/>
      <c r="DV158" s="101"/>
      <c r="DW158" s="101"/>
      <c r="DX158" s="103"/>
      <c r="DY158" s="104"/>
      <c r="DZ158" s="104"/>
      <c r="EA158" s="104"/>
      <c r="EB158" s="104"/>
      <c r="EC158" s="104"/>
      <c r="ED158" s="104"/>
      <c r="EE158" s="104"/>
      <c r="EF158" s="104"/>
      <c r="EG158" s="104"/>
      <c r="EH158" s="104"/>
      <c r="EI158" s="104"/>
      <c r="EJ158" s="104"/>
      <c r="EK158" s="104"/>
      <c r="EL158" s="104"/>
      <c r="EM158" s="62"/>
      <c r="EN158" s="6"/>
      <c r="EO158" s="6"/>
      <c r="EP158" s="6"/>
      <c r="EQ158" s="6"/>
      <c r="ER158" s="6"/>
    </row>
    <row r="159" spans="1:148" ht="13.5" thickBot="1" x14ac:dyDescent="0.25">
      <c r="A159" s="1147"/>
      <c r="B159" s="1145"/>
      <c r="C159" s="1142"/>
      <c r="D159" s="1136"/>
      <c r="E159" s="1143"/>
      <c r="F159" s="1080"/>
      <c r="G159" s="1078"/>
      <c r="H159" s="1205"/>
      <c r="I159" s="1078"/>
      <c r="J159" s="1080"/>
      <c r="K159" s="1078"/>
      <c r="L159" s="180"/>
      <c r="M159" s="186"/>
      <c r="N159" s="177"/>
      <c r="O159" s="177"/>
      <c r="P159" s="172"/>
      <c r="Q159" s="173"/>
      <c r="R159" s="173"/>
      <c r="S159" s="173"/>
      <c r="T159" s="173"/>
      <c r="U159" s="173"/>
      <c r="V159" s="174"/>
      <c r="W159" s="175"/>
      <c r="X159" s="1199"/>
      <c r="Y159" s="116"/>
      <c r="Z159" s="116"/>
      <c r="AA159" s="116"/>
      <c r="AB159" s="116"/>
      <c r="AC159" s="116"/>
      <c r="AD159" s="116"/>
      <c r="AE159" s="116"/>
      <c r="AF159" s="116"/>
      <c r="AG159" s="116"/>
      <c r="AH159" s="116"/>
      <c r="AI159" s="116"/>
      <c r="AJ159" s="116"/>
      <c r="AK159" s="117"/>
      <c r="AL159" s="117"/>
      <c r="AM159" s="117"/>
      <c r="AN159" s="117"/>
      <c r="AO159" s="116"/>
      <c r="AP159" s="116"/>
      <c r="AQ159" s="95"/>
      <c r="AR159" s="95"/>
      <c r="AS159" s="95"/>
      <c r="AT159" s="95"/>
      <c r="AU159" s="95"/>
      <c r="AV159" s="95"/>
      <c r="AW159" s="95"/>
      <c r="AX159" s="95"/>
      <c r="AY159" s="95"/>
      <c r="AZ159" s="95"/>
      <c r="BA159" s="95"/>
      <c r="BB159" s="95"/>
      <c r="BC159" s="95"/>
      <c r="BD159" s="95"/>
      <c r="BE159" s="95"/>
      <c r="BF159" s="96"/>
      <c r="BG159" s="97"/>
      <c r="BH159" s="98"/>
      <c r="BI159" s="98"/>
      <c r="BJ159" s="98"/>
      <c r="BK159" s="98"/>
      <c r="BL159" s="111"/>
      <c r="BM159" s="98"/>
      <c r="BN159" s="98"/>
      <c r="BO159" s="115"/>
      <c r="BP159" s="100"/>
      <c r="BQ159" s="100"/>
      <c r="BR159" s="100"/>
      <c r="BS159" s="100"/>
      <c r="BT159" s="100"/>
      <c r="BU159" s="50"/>
      <c r="BV159" s="101"/>
      <c r="BW159" s="101"/>
      <c r="BX159" s="101"/>
      <c r="BY159" s="101"/>
      <c r="BZ159" s="101"/>
      <c r="CA159" s="101"/>
      <c r="CB159" s="101"/>
      <c r="CC159" s="101"/>
      <c r="CD159" s="101"/>
      <c r="CE159" s="101"/>
      <c r="CF159" s="54"/>
      <c r="CG159" s="102"/>
      <c r="CH159" s="102"/>
      <c r="CI159" s="102"/>
      <c r="CJ159" s="102"/>
      <c r="CK159" s="102"/>
      <c r="CL159" s="102"/>
      <c r="CM159" s="102"/>
      <c r="CN159" s="102"/>
      <c r="CO159" s="102"/>
      <c r="CP159" s="102"/>
      <c r="CQ159" s="102"/>
      <c r="CR159" s="102"/>
      <c r="CS159" s="102"/>
      <c r="CT159" s="102"/>
      <c r="CU159" s="102"/>
      <c r="CV159" s="102"/>
      <c r="CW159" s="102"/>
      <c r="CX159" s="102"/>
      <c r="CY159" s="102"/>
      <c r="CZ159" s="102"/>
      <c r="DA159" s="102"/>
      <c r="DB159" s="58"/>
      <c r="DC159" s="101"/>
      <c r="DD159" s="101"/>
      <c r="DE159" s="101"/>
      <c r="DF159" s="101"/>
      <c r="DG159" s="101"/>
      <c r="DH159" s="101"/>
      <c r="DI159" s="101"/>
      <c r="DJ159" s="101"/>
      <c r="DK159" s="101"/>
      <c r="DL159" s="101"/>
      <c r="DM159" s="101"/>
      <c r="DN159" s="101"/>
      <c r="DO159" s="101"/>
      <c r="DP159" s="101"/>
      <c r="DQ159" s="101"/>
      <c r="DR159" s="101"/>
      <c r="DS159" s="101"/>
      <c r="DT159" s="101"/>
      <c r="DU159" s="101"/>
      <c r="DV159" s="101"/>
      <c r="DW159" s="101"/>
      <c r="DX159" s="103"/>
      <c r="DY159" s="104"/>
      <c r="DZ159" s="104"/>
      <c r="EA159" s="104"/>
      <c r="EB159" s="104"/>
      <c r="EC159" s="104"/>
      <c r="ED159" s="104"/>
      <c r="EE159" s="104"/>
      <c r="EF159" s="104"/>
      <c r="EG159" s="104"/>
      <c r="EH159" s="104"/>
      <c r="EI159" s="104"/>
      <c r="EJ159" s="104"/>
      <c r="EK159" s="104"/>
      <c r="EL159" s="104"/>
      <c r="EM159" s="62"/>
      <c r="EN159" s="6"/>
      <c r="EO159" s="6"/>
      <c r="EP159" s="6"/>
      <c r="EQ159" s="6"/>
      <c r="ER159" s="6"/>
    </row>
    <row r="160" spans="1:148" x14ac:dyDescent="0.2">
      <c r="A160" s="1147"/>
      <c r="B160" s="1138" t="s">
        <v>83</v>
      </c>
      <c r="C160" s="1140" t="s">
        <v>82</v>
      </c>
      <c r="D160" s="1133" t="s">
        <v>179</v>
      </c>
      <c r="E160" s="1085"/>
      <c r="F160" s="1144"/>
      <c r="G160" s="1076" t="s">
        <v>349</v>
      </c>
      <c r="H160" s="1076" t="s">
        <v>278</v>
      </c>
      <c r="I160" s="1076"/>
      <c r="J160" s="1079">
        <f>Y160+AA160+AC160+AE160+AG160+AI160+AK160+AM160+AO160</f>
        <v>3</v>
      </c>
      <c r="K160" s="1076"/>
      <c r="L160" s="180"/>
      <c r="M160" s="186"/>
      <c r="N160" s="177"/>
      <c r="O160" s="177"/>
      <c r="P160" s="172"/>
      <c r="Q160" s="173"/>
      <c r="R160" s="173"/>
      <c r="S160" s="173"/>
      <c r="T160" s="173"/>
      <c r="U160" s="173"/>
      <c r="V160" s="174"/>
      <c r="W160" s="175"/>
      <c r="X160" s="1098" t="s">
        <v>381</v>
      </c>
      <c r="Y160" s="1081">
        <f>IF(HC="Y",IF(BF160="Y",Z160,0),0)</f>
        <v>0</v>
      </c>
      <c r="Z160" s="1081">
        <v>3</v>
      </c>
      <c r="AA160" s="1081">
        <f>IF(OFF="Y",IF(BN160="Y",AB160,0),0)</f>
        <v>3</v>
      </c>
      <c r="AB160" s="1081">
        <v>3</v>
      </c>
      <c r="AC160" s="1081">
        <f>IF(COURTS="Y",IF(BT160="Y",AD160,0),0)</f>
        <v>0</v>
      </c>
      <c r="AD160" s="1081">
        <v>3</v>
      </c>
      <c r="AE160" s="1081">
        <f>IF(PRISONS="Y",IF(CE160="Y",AF160,0),0)</f>
        <v>0</v>
      </c>
      <c r="AF160" s="1081">
        <v>3</v>
      </c>
      <c r="AG160" s="1081">
        <f>IF(RET="Y",IF(DA160="Y",AH160,0),0)</f>
        <v>0</v>
      </c>
      <c r="AH160" s="1081">
        <v>3</v>
      </c>
      <c r="AI160" s="1081">
        <f>IF(SCHOOLS="y",IF(DW160="y",AJ160,0),0)</f>
        <v>0</v>
      </c>
      <c r="AJ160" s="1081">
        <v>3</v>
      </c>
      <c r="AK160" s="1082">
        <f>IF(FE="y",IF(DW160="y",AL160,0),0)</f>
        <v>0</v>
      </c>
      <c r="AL160" s="1082">
        <v>3</v>
      </c>
      <c r="AM160" s="1082">
        <f>IF(HE="Y",IF(DW160="Y",AN160,0),0)</f>
        <v>0</v>
      </c>
      <c r="AN160" s="1082">
        <v>3</v>
      </c>
      <c r="AO160" s="1081">
        <f>IF(INDUSTRIAL="Y",IF(EL160="Y",AP160,0),0)</f>
        <v>0</v>
      </c>
      <c r="AP160" s="1081">
        <v>1</v>
      </c>
      <c r="AQ160" s="95">
        <v>1</v>
      </c>
      <c r="AR160" s="95"/>
      <c r="AS160" s="95"/>
      <c r="AT160" s="95"/>
      <c r="AU160" s="95"/>
      <c r="AV160" s="95"/>
      <c r="AW160" s="95"/>
      <c r="AX160" s="95"/>
      <c r="AY160" s="95"/>
      <c r="AZ160" s="95"/>
      <c r="BA160" s="95"/>
      <c r="BB160" s="95"/>
      <c r="BC160" s="95"/>
      <c r="BD160" s="95"/>
      <c r="BE160" s="95">
        <f t="shared" si="48"/>
        <v>1</v>
      </c>
      <c r="BF160" s="96" t="str">
        <f t="shared" si="49"/>
        <v>Y</v>
      </c>
      <c r="BG160" s="97"/>
      <c r="BH160" s="98">
        <v>1</v>
      </c>
      <c r="BI160" s="98"/>
      <c r="BJ160" s="98"/>
      <c r="BK160" s="98"/>
      <c r="BL160" s="111"/>
      <c r="BM160" s="98">
        <f t="shared" si="50"/>
        <v>1</v>
      </c>
      <c r="BN160" s="98" t="str">
        <f t="shared" si="51"/>
        <v>Y</v>
      </c>
      <c r="BO160" s="115"/>
      <c r="BP160" s="100">
        <v>1</v>
      </c>
      <c r="BQ160" s="100"/>
      <c r="BR160" s="100"/>
      <c r="BS160" s="100">
        <f t="shared" si="52"/>
        <v>1</v>
      </c>
      <c r="BT160" s="100" t="str">
        <f t="shared" si="53"/>
        <v>Y</v>
      </c>
      <c r="BU160" s="50"/>
      <c r="BV160" s="101">
        <v>1</v>
      </c>
      <c r="BW160" s="101"/>
      <c r="BX160" s="101"/>
      <c r="BY160" s="101"/>
      <c r="BZ160" s="101"/>
      <c r="CA160" s="101"/>
      <c r="CB160" s="101"/>
      <c r="CC160" s="101"/>
      <c r="CD160" s="101">
        <f t="shared" si="54"/>
        <v>1</v>
      </c>
      <c r="CE160" s="101" t="str">
        <f t="shared" si="55"/>
        <v>Y</v>
      </c>
      <c r="CF160" s="54"/>
      <c r="CG160" s="102">
        <v>1</v>
      </c>
      <c r="CH160" s="102"/>
      <c r="CI160" s="102"/>
      <c r="CJ160" s="102"/>
      <c r="CK160" s="102"/>
      <c r="CL160" s="102"/>
      <c r="CM160" s="102"/>
      <c r="CN160" s="102"/>
      <c r="CO160" s="102"/>
      <c r="CP160" s="102"/>
      <c r="CQ160" s="102"/>
      <c r="CR160" s="102"/>
      <c r="CS160" s="102"/>
      <c r="CT160" s="102"/>
      <c r="CU160" s="102"/>
      <c r="CV160" s="102"/>
      <c r="CW160" s="102"/>
      <c r="CX160" s="102"/>
      <c r="CY160" s="102"/>
      <c r="CZ160" s="102">
        <f t="shared" si="56"/>
        <v>1</v>
      </c>
      <c r="DA160" s="102" t="str">
        <f t="shared" si="57"/>
        <v>Y</v>
      </c>
      <c r="DB160" s="58"/>
      <c r="DC160" s="101">
        <v>1</v>
      </c>
      <c r="DD160" s="101"/>
      <c r="DE160" s="101"/>
      <c r="DF160" s="101"/>
      <c r="DG160" s="101"/>
      <c r="DH160" s="101"/>
      <c r="DI160" s="101"/>
      <c r="DJ160" s="101"/>
      <c r="DK160" s="101"/>
      <c r="DL160" s="101"/>
      <c r="DM160" s="101"/>
      <c r="DN160" s="101"/>
      <c r="DO160" s="101"/>
      <c r="DP160" s="101"/>
      <c r="DQ160" s="101"/>
      <c r="DR160" s="101"/>
      <c r="DS160" s="101"/>
      <c r="DT160" s="101"/>
      <c r="DU160" s="101"/>
      <c r="DV160" s="101">
        <f t="shared" si="58"/>
        <v>1</v>
      </c>
      <c r="DW160" s="101" t="str">
        <f t="shared" si="61"/>
        <v>Y</v>
      </c>
      <c r="DX160" s="103"/>
      <c r="DY160" s="104"/>
      <c r="DZ160" s="104"/>
      <c r="EA160" s="104"/>
      <c r="EB160" s="104"/>
      <c r="EC160" s="104"/>
      <c r="ED160" s="104" t="e">
        <v>#REF!</v>
      </c>
      <c r="EE160" s="104" t="e">
        <v>#REF!</v>
      </c>
      <c r="EF160" s="104" t="e">
        <v>#REF!</v>
      </c>
      <c r="EG160" s="104"/>
      <c r="EH160" s="104"/>
      <c r="EI160" s="104"/>
      <c r="EJ160" s="104"/>
      <c r="EK160" s="104" t="e">
        <f t="shared" si="59"/>
        <v>#REF!</v>
      </c>
      <c r="EL160" s="104" t="e">
        <f t="shared" si="60"/>
        <v>#REF!</v>
      </c>
      <c r="EM160" s="62"/>
      <c r="EN160" s="6"/>
      <c r="EO160" s="6"/>
      <c r="EP160" s="6"/>
      <c r="EQ160" s="6"/>
      <c r="ER160" s="6"/>
    </row>
    <row r="161" spans="1:162" x14ac:dyDescent="0.2">
      <c r="A161" s="1147"/>
      <c r="B161" s="1139"/>
      <c r="C161" s="1141"/>
      <c r="D161" s="1134"/>
      <c r="E161" s="1086"/>
      <c r="F161" s="1079"/>
      <c r="G161" s="1077"/>
      <c r="H161" s="1077"/>
      <c r="I161" s="1077"/>
      <c r="J161" s="1079"/>
      <c r="K161" s="1077"/>
      <c r="L161" s="181"/>
      <c r="M161" s="186"/>
      <c r="N161" s="177"/>
      <c r="O161" s="177"/>
      <c r="P161" s="172"/>
      <c r="Q161" s="173"/>
      <c r="R161" s="173"/>
      <c r="S161" s="173"/>
      <c r="T161" s="173"/>
      <c r="U161" s="173"/>
      <c r="V161" s="174"/>
      <c r="W161" s="175"/>
      <c r="X161" s="1099"/>
      <c r="Y161" s="1081"/>
      <c r="Z161" s="1081"/>
      <c r="AA161" s="1081"/>
      <c r="AB161" s="1081"/>
      <c r="AC161" s="1081"/>
      <c r="AD161" s="1081"/>
      <c r="AE161" s="1081"/>
      <c r="AF161" s="1081"/>
      <c r="AG161" s="1081"/>
      <c r="AH161" s="1081"/>
      <c r="AI161" s="1081"/>
      <c r="AJ161" s="1081"/>
      <c r="AK161" s="1082"/>
      <c r="AL161" s="1082"/>
      <c r="AM161" s="1082"/>
      <c r="AN161" s="1082"/>
      <c r="AO161" s="1081"/>
      <c r="AP161" s="1081"/>
      <c r="AQ161" s="95">
        <v>1</v>
      </c>
      <c r="AR161" s="95"/>
      <c r="AS161" s="95"/>
      <c r="AT161" s="95"/>
      <c r="AU161" s="95"/>
      <c r="AV161" s="95"/>
      <c r="AW161" s="95"/>
      <c r="AX161" s="95"/>
      <c r="AY161" s="95"/>
      <c r="AZ161" s="95"/>
      <c r="BA161" s="95"/>
      <c r="BB161" s="95"/>
      <c r="BC161" s="95"/>
      <c r="BD161" s="95"/>
      <c r="BE161" s="95">
        <f t="shared" si="48"/>
        <v>1</v>
      </c>
      <c r="BF161" s="96" t="str">
        <f t="shared" si="49"/>
        <v>Y</v>
      </c>
      <c r="BG161" s="97"/>
      <c r="BH161" s="98">
        <v>1</v>
      </c>
      <c r="BI161" s="98"/>
      <c r="BJ161" s="98"/>
      <c r="BK161" s="98"/>
      <c r="BL161" s="111"/>
      <c r="BM161" s="98">
        <f t="shared" si="50"/>
        <v>1</v>
      </c>
      <c r="BN161" s="98" t="str">
        <f t="shared" si="51"/>
        <v>Y</v>
      </c>
      <c r="BO161" s="115"/>
      <c r="BP161" s="100">
        <v>1</v>
      </c>
      <c r="BQ161" s="100"/>
      <c r="BR161" s="100"/>
      <c r="BS161" s="100">
        <f t="shared" si="52"/>
        <v>1</v>
      </c>
      <c r="BT161" s="100" t="str">
        <f t="shared" si="53"/>
        <v>Y</v>
      </c>
      <c r="BU161" s="50"/>
      <c r="BV161" s="101">
        <v>1</v>
      </c>
      <c r="BW161" s="101"/>
      <c r="BX161" s="101"/>
      <c r="BY161" s="101"/>
      <c r="BZ161" s="101"/>
      <c r="CA161" s="101"/>
      <c r="CB161" s="101"/>
      <c r="CC161" s="101"/>
      <c r="CD161" s="101">
        <f t="shared" si="54"/>
        <v>1</v>
      </c>
      <c r="CE161" s="101" t="str">
        <f t="shared" si="55"/>
        <v>Y</v>
      </c>
      <c r="CF161" s="54"/>
      <c r="CG161" s="102">
        <v>1</v>
      </c>
      <c r="CH161" s="102"/>
      <c r="CI161" s="102"/>
      <c r="CJ161" s="102"/>
      <c r="CK161" s="102"/>
      <c r="CL161" s="102"/>
      <c r="CM161" s="102"/>
      <c r="CN161" s="102"/>
      <c r="CO161" s="102"/>
      <c r="CP161" s="102"/>
      <c r="CQ161" s="102"/>
      <c r="CR161" s="102"/>
      <c r="CS161" s="102"/>
      <c r="CT161" s="102"/>
      <c r="CU161" s="102"/>
      <c r="CV161" s="102"/>
      <c r="CW161" s="102"/>
      <c r="CX161" s="102"/>
      <c r="CY161" s="102"/>
      <c r="CZ161" s="102">
        <f t="shared" si="56"/>
        <v>1</v>
      </c>
      <c r="DA161" s="102" t="str">
        <f t="shared" si="57"/>
        <v>Y</v>
      </c>
      <c r="DB161" s="58"/>
      <c r="DC161" s="101">
        <v>1</v>
      </c>
      <c r="DD161" s="101"/>
      <c r="DE161" s="101"/>
      <c r="DF161" s="101"/>
      <c r="DG161" s="101"/>
      <c r="DH161" s="101"/>
      <c r="DI161" s="101"/>
      <c r="DJ161" s="101"/>
      <c r="DK161" s="101"/>
      <c r="DL161" s="101"/>
      <c r="DM161" s="101"/>
      <c r="DN161" s="101"/>
      <c r="DO161" s="101"/>
      <c r="DP161" s="101"/>
      <c r="DQ161" s="101"/>
      <c r="DR161" s="101"/>
      <c r="DS161" s="101"/>
      <c r="DT161" s="101"/>
      <c r="DU161" s="101"/>
      <c r="DV161" s="101">
        <f t="shared" si="58"/>
        <v>1</v>
      </c>
      <c r="DW161" s="101" t="str">
        <f t="shared" si="61"/>
        <v>Y</v>
      </c>
      <c r="DX161" s="103"/>
      <c r="DY161" s="104"/>
      <c r="DZ161" s="104"/>
      <c r="EA161" s="104"/>
      <c r="EB161" s="104"/>
      <c r="EC161" s="104"/>
      <c r="ED161" s="104" t="e">
        <v>#REF!</v>
      </c>
      <c r="EE161" s="104" t="e">
        <v>#REF!</v>
      </c>
      <c r="EF161" s="104" t="e">
        <v>#REF!</v>
      </c>
      <c r="EG161" s="104"/>
      <c r="EH161" s="104"/>
      <c r="EI161" s="104"/>
      <c r="EJ161" s="104"/>
      <c r="EK161" s="104" t="e">
        <f t="shared" si="59"/>
        <v>#REF!</v>
      </c>
      <c r="EL161" s="104" t="e">
        <f t="shared" si="60"/>
        <v>#REF!</v>
      </c>
      <c r="EM161" s="62"/>
      <c r="EN161" s="6"/>
      <c r="EO161" s="6"/>
      <c r="EP161" s="6"/>
      <c r="EQ161" s="6"/>
      <c r="ER161" s="6"/>
    </row>
    <row r="162" spans="1:162" ht="13.5" thickBot="1" x14ac:dyDescent="0.25">
      <c r="A162" s="1148"/>
      <c r="B162" s="1145"/>
      <c r="C162" s="1142"/>
      <c r="D162" s="1136"/>
      <c r="E162" s="1143"/>
      <c r="F162" s="1080"/>
      <c r="G162" s="1078"/>
      <c r="H162" s="1078"/>
      <c r="I162" s="1078"/>
      <c r="J162" s="1080"/>
      <c r="K162" s="1078"/>
      <c r="L162" s="180"/>
      <c r="M162" s="186"/>
      <c r="N162" s="177"/>
      <c r="O162" s="177"/>
      <c r="P162" s="172"/>
      <c r="Q162" s="173"/>
      <c r="R162" s="173"/>
      <c r="S162" s="173"/>
      <c r="T162" s="173"/>
      <c r="U162" s="173"/>
      <c r="V162" s="189"/>
      <c r="W162" s="190"/>
      <c r="X162" s="1100"/>
      <c r="Y162" s="1081"/>
      <c r="Z162" s="1081"/>
      <c r="AA162" s="1081"/>
      <c r="AB162" s="1081"/>
      <c r="AC162" s="1081"/>
      <c r="AD162" s="1081"/>
      <c r="AE162" s="1081"/>
      <c r="AF162" s="1081"/>
      <c r="AG162" s="1081"/>
      <c r="AH162" s="1081"/>
      <c r="AI162" s="1081"/>
      <c r="AJ162" s="1081"/>
      <c r="AK162" s="1082"/>
      <c r="AL162" s="1082"/>
      <c r="AM162" s="1082"/>
      <c r="AN162" s="1082"/>
      <c r="AO162" s="1081"/>
      <c r="AP162" s="1081"/>
      <c r="AQ162" s="95">
        <v>1</v>
      </c>
      <c r="AR162" s="95"/>
      <c r="AS162" s="95"/>
      <c r="AT162" s="95"/>
      <c r="AU162" s="95"/>
      <c r="AV162" s="95"/>
      <c r="AW162" s="95"/>
      <c r="AX162" s="95"/>
      <c r="AY162" s="95"/>
      <c r="AZ162" s="95"/>
      <c r="BA162" s="95"/>
      <c r="BB162" s="95"/>
      <c r="BC162" s="95"/>
      <c r="BD162" s="95"/>
      <c r="BE162" s="95">
        <f t="shared" si="48"/>
        <v>1</v>
      </c>
      <c r="BF162" s="96" t="str">
        <f t="shared" si="49"/>
        <v>Y</v>
      </c>
      <c r="BG162" s="97"/>
      <c r="BH162" s="98">
        <v>1</v>
      </c>
      <c r="BI162" s="98"/>
      <c r="BJ162" s="98"/>
      <c r="BK162" s="98"/>
      <c r="BL162" s="111"/>
      <c r="BM162" s="98">
        <f t="shared" si="50"/>
        <v>1</v>
      </c>
      <c r="BN162" s="98" t="str">
        <f t="shared" si="51"/>
        <v>Y</v>
      </c>
      <c r="BO162" s="115"/>
      <c r="BP162" s="100">
        <v>1</v>
      </c>
      <c r="BQ162" s="100"/>
      <c r="BR162" s="100"/>
      <c r="BS162" s="100">
        <f t="shared" si="52"/>
        <v>1</v>
      </c>
      <c r="BT162" s="100" t="str">
        <f t="shared" si="53"/>
        <v>Y</v>
      </c>
      <c r="BU162" s="50"/>
      <c r="BV162" s="101">
        <v>1</v>
      </c>
      <c r="BW162" s="101"/>
      <c r="BX162" s="101"/>
      <c r="BY162" s="101"/>
      <c r="BZ162" s="101"/>
      <c r="CA162" s="101"/>
      <c r="CB162" s="101"/>
      <c r="CC162" s="101"/>
      <c r="CD162" s="101">
        <f t="shared" si="54"/>
        <v>1</v>
      </c>
      <c r="CE162" s="101" t="str">
        <f t="shared" si="55"/>
        <v>Y</v>
      </c>
      <c r="CF162" s="54"/>
      <c r="CG162" s="102">
        <v>1</v>
      </c>
      <c r="CH162" s="102"/>
      <c r="CI162" s="102"/>
      <c r="CJ162" s="102"/>
      <c r="CK162" s="102"/>
      <c r="CL162" s="102"/>
      <c r="CM162" s="102"/>
      <c r="CN162" s="102"/>
      <c r="CO162" s="102"/>
      <c r="CP162" s="102"/>
      <c r="CQ162" s="102"/>
      <c r="CR162" s="102"/>
      <c r="CS162" s="102"/>
      <c r="CT162" s="102"/>
      <c r="CU162" s="102"/>
      <c r="CV162" s="102"/>
      <c r="CW162" s="102"/>
      <c r="CX162" s="102"/>
      <c r="CY162" s="102"/>
      <c r="CZ162" s="102">
        <f t="shared" si="56"/>
        <v>1</v>
      </c>
      <c r="DA162" s="102" t="str">
        <f t="shared" si="57"/>
        <v>Y</v>
      </c>
      <c r="DB162" s="58"/>
      <c r="DC162" s="101">
        <v>1</v>
      </c>
      <c r="DD162" s="101"/>
      <c r="DE162" s="101"/>
      <c r="DF162" s="101"/>
      <c r="DG162" s="101"/>
      <c r="DH162" s="101"/>
      <c r="DI162" s="101"/>
      <c r="DJ162" s="101"/>
      <c r="DK162" s="101"/>
      <c r="DL162" s="101"/>
      <c r="DM162" s="101"/>
      <c r="DN162" s="101"/>
      <c r="DO162" s="101"/>
      <c r="DP162" s="101"/>
      <c r="DQ162" s="101"/>
      <c r="DR162" s="101"/>
      <c r="DS162" s="101"/>
      <c r="DT162" s="101"/>
      <c r="DU162" s="101"/>
      <c r="DV162" s="101">
        <f t="shared" si="58"/>
        <v>1</v>
      </c>
      <c r="DW162" s="101" t="str">
        <f t="shared" si="61"/>
        <v>Y</v>
      </c>
      <c r="DX162" s="103"/>
      <c r="DY162" s="104"/>
      <c r="DZ162" s="104"/>
      <c r="EA162" s="104"/>
      <c r="EB162" s="104"/>
      <c r="EC162" s="104"/>
      <c r="ED162" s="104" t="e">
        <v>#REF!</v>
      </c>
      <c r="EE162" s="104" t="e">
        <v>#REF!</v>
      </c>
      <c r="EF162" s="104" t="e">
        <v>#REF!</v>
      </c>
      <c r="EG162" s="104"/>
      <c r="EH162" s="104"/>
      <c r="EI162" s="104"/>
      <c r="EJ162" s="104"/>
      <c r="EK162" s="104" t="e">
        <f t="shared" si="59"/>
        <v>#REF!</v>
      </c>
      <c r="EL162" s="104" t="e">
        <f t="shared" si="60"/>
        <v>#REF!</v>
      </c>
      <c r="EM162" s="62"/>
      <c r="EN162" s="6"/>
      <c r="EO162" s="6"/>
      <c r="EP162" s="6"/>
      <c r="EQ162" s="6"/>
      <c r="ER162" s="6"/>
    </row>
    <row r="163" spans="1:162" x14ac:dyDescent="0.2">
      <c r="A163" s="143"/>
      <c r="B163" s="1138" t="s">
        <v>81</v>
      </c>
      <c r="C163" s="1140" t="s">
        <v>80</v>
      </c>
      <c r="D163" s="1133"/>
      <c r="E163" s="1085"/>
      <c r="F163" s="1144"/>
      <c r="G163" s="1076" t="s">
        <v>349</v>
      </c>
      <c r="H163" s="1076" t="s">
        <v>341</v>
      </c>
      <c r="I163" s="1076"/>
      <c r="J163" s="1079">
        <f>Y163+AA163+AC163+AE163+AG163+AI163+AK163+AM163+AO163</f>
        <v>1</v>
      </c>
      <c r="K163" s="1076"/>
      <c r="L163" s="180"/>
      <c r="M163" s="186"/>
      <c r="N163" s="177"/>
      <c r="O163" s="177"/>
      <c r="P163" s="172"/>
      <c r="Q163" s="173"/>
      <c r="R163" s="173"/>
      <c r="S163" s="173"/>
      <c r="T163" s="173"/>
      <c r="U163" s="173"/>
      <c r="V163" s="189"/>
      <c r="W163" s="190"/>
      <c r="X163" s="1098" t="s">
        <v>341</v>
      </c>
      <c r="Y163" s="1081">
        <f>IF(HC="Y",IF(BF163="Y",Z163,0),0)</f>
        <v>0</v>
      </c>
      <c r="Z163" s="1081">
        <v>1</v>
      </c>
      <c r="AA163" s="1081">
        <f>IF(OFF="Y",IF(BN163="Y",AB163,0),0)</f>
        <v>1</v>
      </c>
      <c r="AB163" s="1081">
        <v>1</v>
      </c>
      <c r="AC163" s="1081">
        <f>IF(COURTS="Y",IF(BT163="Y",AD163,0),0)</f>
        <v>0</v>
      </c>
      <c r="AD163" s="1081">
        <v>1</v>
      </c>
      <c r="AE163" s="1081">
        <f>IF(PRISONS="Y",IF(CE163="Y",AF163,0),0)</f>
        <v>0</v>
      </c>
      <c r="AF163" s="1081">
        <v>1</v>
      </c>
      <c r="AG163" s="1081">
        <f>IF(RET="Y",IF(DA163="Y",AH163,0),0)</f>
        <v>0</v>
      </c>
      <c r="AH163" s="1081">
        <v>1</v>
      </c>
      <c r="AI163" s="1081">
        <f>IF(SCHOOLS="y",IF(DW163="y",AJ163,0),0)</f>
        <v>0</v>
      </c>
      <c r="AJ163" s="1081">
        <v>1</v>
      </c>
      <c r="AK163" s="1082">
        <f>IF(FE="y",IF(DW163="y",AL163,0),0)</f>
        <v>0</v>
      </c>
      <c r="AL163" s="1082">
        <v>1</v>
      </c>
      <c r="AM163" s="1082">
        <f>IF(HE="Y",IF(DW163="Y",AN163,0),0)</f>
        <v>0</v>
      </c>
      <c r="AN163" s="1082">
        <v>1</v>
      </c>
      <c r="AO163" s="1081">
        <f>IF(INDUSTRIAL="Y",IF(EL163="Y",AP163,0),0)</f>
        <v>0</v>
      </c>
      <c r="AP163" s="1081">
        <v>1</v>
      </c>
      <c r="AQ163" s="95">
        <v>1</v>
      </c>
      <c r="AR163" s="95"/>
      <c r="AS163" s="95"/>
      <c r="AT163" s="95"/>
      <c r="AU163" s="95"/>
      <c r="AV163" s="95"/>
      <c r="AW163" s="95"/>
      <c r="AX163" s="95"/>
      <c r="AY163" s="95"/>
      <c r="AZ163" s="95"/>
      <c r="BA163" s="95"/>
      <c r="BB163" s="95"/>
      <c r="BC163" s="95"/>
      <c r="BD163" s="95"/>
      <c r="BE163" s="95">
        <f t="shared" si="48"/>
        <v>1</v>
      </c>
      <c r="BF163" s="96" t="str">
        <f t="shared" si="49"/>
        <v>Y</v>
      </c>
      <c r="BG163" s="97"/>
      <c r="BH163" s="98">
        <v>1</v>
      </c>
      <c r="BI163" s="98"/>
      <c r="BJ163" s="98"/>
      <c r="BK163" s="98"/>
      <c r="BL163" s="111"/>
      <c r="BM163" s="98">
        <f t="shared" si="50"/>
        <v>1</v>
      </c>
      <c r="BN163" s="98" t="str">
        <f t="shared" si="51"/>
        <v>Y</v>
      </c>
      <c r="BO163" s="115"/>
      <c r="BP163" s="100">
        <v>1</v>
      </c>
      <c r="BQ163" s="100"/>
      <c r="BR163" s="100"/>
      <c r="BS163" s="100">
        <f t="shared" si="52"/>
        <v>1</v>
      </c>
      <c r="BT163" s="100" t="str">
        <f t="shared" si="53"/>
        <v>Y</v>
      </c>
      <c r="BU163" s="50"/>
      <c r="BV163" s="101">
        <v>1</v>
      </c>
      <c r="BW163" s="101"/>
      <c r="BX163" s="101"/>
      <c r="BY163" s="101"/>
      <c r="BZ163" s="101"/>
      <c r="CA163" s="101"/>
      <c r="CB163" s="101"/>
      <c r="CC163" s="101"/>
      <c r="CD163" s="101">
        <f t="shared" si="54"/>
        <v>1</v>
      </c>
      <c r="CE163" s="101" t="str">
        <f t="shared" si="55"/>
        <v>Y</v>
      </c>
      <c r="CF163" s="54"/>
      <c r="CG163" s="102">
        <v>1</v>
      </c>
      <c r="CH163" s="102"/>
      <c r="CI163" s="102"/>
      <c r="CJ163" s="102"/>
      <c r="CK163" s="102"/>
      <c r="CL163" s="102"/>
      <c r="CM163" s="102"/>
      <c r="CN163" s="102"/>
      <c r="CO163" s="102"/>
      <c r="CP163" s="102"/>
      <c r="CQ163" s="102"/>
      <c r="CR163" s="102"/>
      <c r="CS163" s="102"/>
      <c r="CT163" s="102"/>
      <c r="CU163" s="102"/>
      <c r="CV163" s="102"/>
      <c r="CW163" s="102"/>
      <c r="CX163" s="102"/>
      <c r="CY163" s="102"/>
      <c r="CZ163" s="102">
        <f t="shared" si="56"/>
        <v>1</v>
      </c>
      <c r="DA163" s="102" t="str">
        <f t="shared" si="57"/>
        <v>Y</v>
      </c>
      <c r="DB163" s="58"/>
      <c r="DC163" s="101">
        <v>1</v>
      </c>
      <c r="DD163" s="101"/>
      <c r="DE163" s="101"/>
      <c r="DF163" s="101"/>
      <c r="DG163" s="101"/>
      <c r="DH163" s="101"/>
      <c r="DI163" s="101"/>
      <c r="DJ163" s="101"/>
      <c r="DK163" s="101"/>
      <c r="DL163" s="101"/>
      <c r="DM163" s="101"/>
      <c r="DN163" s="101"/>
      <c r="DO163" s="101"/>
      <c r="DP163" s="101"/>
      <c r="DQ163" s="101"/>
      <c r="DR163" s="101"/>
      <c r="DS163" s="101"/>
      <c r="DT163" s="101"/>
      <c r="DU163" s="101"/>
      <c r="DV163" s="101">
        <f t="shared" si="58"/>
        <v>1</v>
      </c>
      <c r="DW163" s="101" t="str">
        <f t="shared" si="61"/>
        <v>Y</v>
      </c>
      <c r="DX163" s="103"/>
      <c r="DY163" s="104">
        <v>1</v>
      </c>
      <c r="DZ163" s="104"/>
      <c r="EA163" s="104"/>
      <c r="EB163" s="104"/>
      <c r="EC163" s="104"/>
      <c r="ED163" s="104"/>
      <c r="EE163" s="104"/>
      <c r="EF163" s="104"/>
      <c r="EG163" s="104"/>
      <c r="EH163" s="104"/>
      <c r="EI163" s="104"/>
      <c r="EJ163" s="104"/>
      <c r="EK163" s="104">
        <f t="shared" si="59"/>
        <v>1</v>
      </c>
      <c r="EL163" s="104" t="str">
        <f t="shared" si="60"/>
        <v>Y</v>
      </c>
      <c r="EM163" s="62"/>
      <c r="EN163" s="6"/>
      <c r="EO163" s="6"/>
      <c r="EP163" s="6"/>
      <c r="EQ163" s="6"/>
      <c r="ER163" s="6"/>
    </row>
    <row r="164" spans="1:162" x14ac:dyDescent="0.2">
      <c r="A164" s="143"/>
      <c r="B164" s="1139"/>
      <c r="C164" s="1141"/>
      <c r="D164" s="1134"/>
      <c r="E164" s="1086"/>
      <c r="F164" s="1079"/>
      <c r="G164" s="1077"/>
      <c r="H164" s="1077"/>
      <c r="I164" s="1077"/>
      <c r="J164" s="1079"/>
      <c r="K164" s="1077"/>
      <c r="L164" s="181"/>
      <c r="M164" s="186"/>
      <c r="N164" s="177"/>
      <c r="O164" s="177"/>
      <c r="P164" s="172"/>
      <c r="Q164" s="173"/>
      <c r="R164" s="173"/>
      <c r="S164" s="173"/>
      <c r="T164" s="173"/>
      <c r="U164" s="173"/>
      <c r="V164" s="189"/>
      <c r="W164" s="190"/>
      <c r="X164" s="1099"/>
      <c r="Y164" s="1081"/>
      <c r="Z164" s="1081"/>
      <c r="AA164" s="1081"/>
      <c r="AB164" s="1081"/>
      <c r="AC164" s="1081"/>
      <c r="AD164" s="1081"/>
      <c r="AE164" s="1081"/>
      <c r="AF164" s="1081"/>
      <c r="AG164" s="1081"/>
      <c r="AH164" s="1081"/>
      <c r="AI164" s="1081"/>
      <c r="AJ164" s="1081"/>
      <c r="AK164" s="1082"/>
      <c r="AL164" s="1082"/>
      <c r="AM164" s="1082"/>
      <c r="AN164" s="1082"/>
      <c r="AO164" s="1081"/>
      <c r="AP164" s="1081"/>
      <c r="AQ164" s="95">
        <v>1</v>
      </c>
      <c r="AR164" s="95"/>
      <c r="AS164" s="95"/>
      <c r="AT164" s="95"/>
      <c r="AU164" s="95"/>
      <c r="AV164" s="95"/>
      <c r="AW164" s="95"/>
      <c r="AX164" s="95"/>
      <c r="AY164" s="95"/>
      <c r="AZ164" s="95"/>
      <c r="BA164" s="95"/>
      <c r="BB164" s="95"/>
      <c r="BC164" s="95"/>
      <c r="BD164" s="95"/>
      <c r="BE164" s="95">
        <f t="shared" si="48"/>
        <v>1</v>
      </c>
      <c r="BF164" s="96" t="str">
        <f t="shared" si="49"/>
        <v>Y</v>
      </c>
      <c r="BG164" s="97"/>
      <c r="BH164" s="98">
        <v>1</v>
      </c>
      <c r="BI164" s="98"/>
      <c r="BJ164" s="98"/>
      <c r="BK164" s="98"/>
      <c r="BL164" s="111"/>
      <c r="BM164" s="98">
        <f t="shared" si="50"/>
        <v>1</v>
      </c>
      <c r="BN164" s="98" t="str">
        <f t="shared" si="51"/>
        <v>Y</v>
      </c>
      <c r="BO164" s="115"/>
      <c r="BP164" s="100">
        <v>1</v>
      </c>
      <c r="BQ164" s="100"/>
      <c r="BR164" s="100"/>
      <c r="BS164" s="100">
        <f t="shared" si="52"/>
        <v>1</v>
      </c>
      <c r="BT164" s="100" t="str">
        <f t="shared" si="53"/>
        <v>Y</v>
      </c>
      <c r="BU164" s="50"/>
      <c r="BV164" s="101">
        <v>1</v>
      </c>
      <c r="BW164" s="101"/>
      <c r="BX164" s="101"/>
      <c r="BY164" s="101"/>
      <c r="BZ164" s="101"/>
      <c r="CA164" s="101"/>
      <c r="CB164" s="101"/>
      <c r="CC164" s="101"/>
      <c r="CD164" s="101">
        <f t="shared" si="54"/>
        <v>1</v>
      </c>
      <c r="CE164" s="101" t="str">
        <f t="shared" si="55"/>
        <v>Y</v>
      </c>
      <c r="CF164" s="54"/>
      <c r="CG164" s="102">
        <v>1</v>
      </c>
      <c r="CH164" s="102"/>
      <c r="CI164" s="102"/>
      <c r="CJ164" s="102"/>
      <c r="CK164" s="102"/>
      <c r="CL164" s="102"/>
      <c r="CM164" s="102"/>
      <c r="CN164" s="102"/>
      <c r="CO164" s="102"/>
      <c r="CP164" s="102"/>
      <c r="CQ164" s="102"/>
      <c r="CR164" s="102"/>
      <c r="CS164" s="102"/>
      <c r="CT164" s="102"/>
      <c r="CU164" s="102"/>
      <c r="CV164" s="102"/>
      <c r="CW164" s="102"/>
      <c r="CX164" s="102"/>
      <c r="CY164" s="102"/>
      <c r="CZ164" s="102">
        <f t="shared" si="56"/>
        <v>1</v>
      </c>
      <c r="DA164" s="102" t="str">
        <f t="shared" si="57"/>
        <v>Y</v>
      </c>
      <c r="DB164" s="58"/>
      <c r="DC164" s="101">
        <v>1</v>
      </c>
      <c r="DD164" s="101"/>
      <c r="DE164" s="101"/>
      <c r="DF164" s="101"/>
      <c r="DG164" s="101"/>
      <c r="DH164" s="101"/>
      <c r="DI164" s="101"/>
      <c r="DJ164" s="101"/>
      <c r="DK164" s="101"/>
      <c r="DL164" s="101"/>
      <c r="DM164" s="101"/>
      <c r="DN164" s="101"/>
      <c r="DO164" s="101"/>
      <c r="DP164" s="101"/>
      <c r="DQ164" s="101"/>
      <c r="DR164" s="101"/>
      <c r="DS164" s="101"/>
      <c r="DT164" s="101"/>
      <c r="DU164" s="101"/>
      <c r="DV164" s="101">
        <f t="shared" si="58"/>
        <v>1</v>
      </c>
      <c r="DW164" s="101" t="str">
        <f t="shared" si="61"/>
        <v>Y</v>
      </c>
      <c r="DX164" s="103"/>
      <c r="DY164" s="104">
        <v>1</v>
      </c>
      <c r="DZ164" s="104"/>
      <c r="EA164" s="104"/>
      <c r="EB164" s="104"/>
      <c r="EC164" s="104"/>
      <c r="ED164" s="104"/>
      <c r="EE164" s="104"/>
      <c r="EF164" s="104"/>
      <c r="EG164" s="104"/>
      <c r="EH164" s="104"/>
      <c r="EI164" s="104"/>
      <c r="EJ164" s="104"/>
      <c r="EK164" s="104">
        <f t="shared" si="59"/>
        <v>1</v>
      </c>
      <c r="EL164" s="104" t="str">
        <f t="shared" si="60"/>
        <v>Y</v>
      </c>
      <c r="EM164" s="62"/>
      <c r="EN164" s="6"/>
      <c r="EO164" s="6"/>
      <c r="EP164" s="6"/>
      <c r="EQ164" s="6"/>
      <c r="ER164" s="6"/>
    </row>
    <row r="165" spans="1:162" ht="13.5" thickBot="1" x14ac:dyDescent="0.25">
      <c r="A165" s="143"/>
      <c r="B165" s="1145"/>
      <c r="C165" s="1142"/>
      <c r="D165" s="1136"/>
      <c r="E165" s="1143"/>
      <c r="F165" s="1080"/>
      <c r="G165" s="1078"/>
      <c r="H165" s="1078"/>
      <c r="I165" s="1078"/>
      <c r="J165" s="1080"/>
      <c r="K165" s="1078"/>
      <c r="L165" s="180"/>
      <c r="M165" s="186"/>
      <c r="N165" s="177"/>
      <c r="O165" s="177"/>
      <c r="P165" s="172"/>
      <c r="Q165" s="173"/>
      <c r="R165" s="173"/>
      <c r="S165" s="173"/>
      <c r="T165" s="173"/>
      <c r="U165" s="173"/>
      <c r="V165" s="174"/>
      <c r="W165" s="175"/>
      <c r="X165" s="1100"/>
      <c r="Y165" s="1081"/>
      <c r="Z165" s="1081"/>
      <c r="AA165" s="1081"/>
      <c r="AB165" s="1081"/>
      <c r="AC165" s="1081"/>
      <c r="AD165" s="1081"/>
      <c r="AE165" s="1081"/>
      <c r="AF165" s="1081"/>
      <c r="AG165" s="1081"/>
      <c r="AH165" s="1081"/>
      <c r="AI165" s="1081"/>
      <c r="AJ165" s="1081"/>
      <c r="AK165" s="1082"/>
      <c r="AL165" s="1082"/>
      <c r="AM165" s="1082"/>
      <c r="AN165" s="1082"/>
      <c r="AO165" s="1081"/>
      <c r="AP165" s="1081"/>
      <c r="AQ165" s="95">
        <v>1</v>
      </c>
      <c r="AR165" s="95"/>
      <c r="AS165" s="95"/>
      <c r="AT165" s="95"/>
      <c r="AU165" s="95"/>
      <c r="AV165" s="95"/>
      <c r="AW165" s="95"/>
      <c r="AX165" s="95"/>
      <c r="AY165" s="95"/>
      <c r="AZ165" s="95"/>
      <c r="BA165" s="95"/>
      <c r="BB165" s="95"/>
      <c r="BC165" s="95"/>
      <c r="BD165" s="95"/>
      <c r="BE165" s="95">
        <f t="shared" si="48"/>
        <v>1</v>
      </c>
      <c r="BF165" s="96" t="str">
        <f t="shared" si="49"/>
        <v>Y</v>
      </c>
      <c r="BG165" s="97"/>
      <c r="BH165" s="98">
        <v>1</v>
      </c>
      <c r="BI165" s="98"/>
      <c r="BJ165" s="98"/>
      <c r="BK165" s="98"/>
      <c r="BL165" s="111"/>
      <c r="BM165" s="98">
        <f t="shared" si="50"/>
        <v>1</v>
      </c>
      <c r="BN165" s="98" t="str">
        <f t="shared" si="51"/>
        <v>Y</v>
      </c>
      <c r="BO165" s="115"/>
      <c r="BP165" s="100">
        <v>1</v>
      </c>
      <c r="BQ165" s="100"/>
      <c r="BR165" s="100"/>
      <c r="BS165" s="100">
        <f t="shared" si="52"/>
        <v>1</v>
      </c>
      <c r="BT165" s="100" t="str">
        <f t="shared" si="53"/>
        <v>Y</v>
      </c>
      <c r="BU165" s="50"/>
      <c r="BV165" s="101">
        <v>1</v>
      </c>
      <c r="BW165" s="101"/>
      <c r="BX165" s="101"/>
      <c r="BY165" s="101"/>
      <c r="BZ165" s="101"/>
      <c r="CA165" s="101"/>
      <c r="CB165" s="101"/>
      <c r="CC165" s="101"/>
      <c r="CD165" s="101">
        <f t="shared" si="54"/>
        <v>1</v>
      </c>
      <c r="CE165" s="101" t="str">
        <f t="shared" si="55"/>
        <v>Y</v>
      </c>
      <c r="CF165" s="54"/>
      <c r="CG165" s="102">
        <v>1</v>
      </c>
      <c r="CH165" s="102"/>
      <c r="CI165" s="102"/>
      <c r="CJ165" s="102"/>
      <c r="CK165" s="102"/>
      <c r="CL165" s="102"/>
      <c r="CM165" s="102"/>
      <c r="CN165" s="102"/>
      <c r="CO165" s="102"/>
      <c r="CP165" s="102"/>
      <c r="CQ165" s="102"/>
      <c r="CR165" s="102"/>
      <c r="CS165" s="102"/>
      <c r="CT165" s="102"/>
      <c r="CU165" s="102"/>
      <c r="CV165" s="102"/>
      <c r="CW165" s="102"/>
      <c r="CX165" s="102"/>
      <c r="CY165" s="102"/>
      <c r="CZ165" s="102">
        <f t="shared" si="56"/>
        <v>1</v>
      </c>
      <c r="DA165" s="102" t="str">
        <f t="shared" si="57"/>
        <v>Y</v>
      </c>
      <c r="DB165" s="58"/>
      <c r="DC165" s="101">
        <v>1</v>
      </c>
      <c r="DD165" s="101"/>
      <c r="DE165" s="101"/>
      <c r="DF165" s="101"/>
      <c r="DG165" s="101"/>
      <c r="DH165" s="101"/>
      <c r="DI165" s="101"/>
      <c r="DJ165" s="101"/>
      <c r="DK165" s="101"/>
      <c r="DL165" s="101"/>
      <c r="DM165" s="101"/>
      <c r="DN165" s="101"/>
      <c r="DO165" s="101"/>
      <c r="DP165" s="101"/>
      <c r="DQ165" s="101"/>
      <c r="DR165" s="101"/>
      <c r="DS165" s="101"/>
      <c r="DT165" s="101"/>
      <c r="DU165" s="101"/>
      <c r="DV165" s="101">
        <f t="shared" si="58"/>
        <v>1</v>
      </c>
      <c r="DW165" s="101" t="str">
        <f t="shared" si="61"/>
        <v>Y</v>
      </c>
      <c r="DX165" s="103"/>
      <c r="DY165" s="104">
        <v>1</v>
      </c>
      <c r="DZ165" s="104"/>
      <c r="EA165" s="104"/>
      <c r="EB165" s="104"/>
      <c r="EC165" s="104"/>
      <c r="ED165" s="104"/>
      <c r="EE165" s="104"/>
      <c r="EF165" s="104"/>
      <c r="EG165" s="104"/>
      <c r="EH165" s="104"/>
      <c r="EI165" s="104"/>
      <c r="EJ165" s="104"/>
      <c r="EK165" s="104">
        <f t="shared" si="59"/>
        <v>1</v>
      </c>
      <c r="EL165" s="104" t="str">
        <f t="shared" si="60"/>
        <v>Y</v>
      </c>
      <c r="EM165" s="62"/>
      <c r="EN165" s="6"/>
      <c r="EO165" s="6"/>
      <c r="EP165" s="6"/>
      <c r="EQ165" s="6"/>
      <c r="ER165" s="6"/>
    </row>
    <row r="166" spans="1:162" s="63" customFormat="1" x14ac:dyDescent="0.2">
      <c r="A166" s="144"/>
      <c r="B166" s="1183" t="s">
        <v>79</v>
      </c>
      <c r="C166" s="1140" t="s">
        <v>78</v>
      </c>
      <c r="D166" s="1133"/>
      <c r="E166" s="1085"/>
      <c r="F166" s="1085"/>
      <c r="G166" s="1076" t="s">
        <v>296</v>
      </c>
      <c r="H166" s="1076" t="s">
        <v>323</v>
      </c>
      <c r="I166" s="1076"/>
      <c r="J166" s="1079">
        <f>Y166+AA166+AC166+AE166+AG166+AI166+AK166+AM166+AO166</f>
        <v>3</v>
      </c>
      <c r="K166" s="1076"/>
      <c r="L166" s="191"/>
      <c r="M166" s="192"/>
      <c r="N166" s="193"/>
      <c r="O166" s="194"/>
      <c r="P166" s="172"/>
      <c r="Q166" s="193"/>
      <c r="R166" s="195"/>
      <c r="S166" s="195"/>
      <c r="T166" s="195"/>
      <c r="U166" s="195"/>
      <c r="V166" s="196"/>
      <c r="W166" s="197"/>
      <c r="X166" s="1098" t="s">
        <v>414</v>
      </c>
      <c r="Y166" s="1081">
        <f>IF(HC="Y",IF(BF166="Y",Z166,0),0)</f>
        <v>0</v>
      </c>
      <c r="Z166" s="1081">
        <v>3</v>
      </c>
      <c r="AA166" s="1081">
        <f>IF(OFF="Y",IF(BN166="Y",AB166,0),0)</f>
        <v>3</v>
      </c>
      <c r="AB166" s="1081">
        <v>3</v>
      </c>
      <c r="AC166" s="1081">
        <f>IF(COURTS="Y",IF(BT166="Y",AD166,0),0)</f>
        <v>0</v>
      </c>
      <c r="AD166" s="1081">
        <v>3</v>
      </c>
      <c r="AE166" s="1081">
        <f>IF(PRISONS="Y",IF(CE166="Y",AF166,0),0)</f>
        <v>0</v>
      </c>
      <c r="AF166" s="1081">
        <v>3</v>
      </c>
      <c r="AG166" s="1081">
        <f>IF(RET="Y",IF(DA166="Y",AH166,0),0)</f>
        <v>0</v>
      </c>
      <c r="AH166" s="1081">
        <v>3</v>
      </c>
      <c r="AI166" s="1081">
        <f>IF(SCHOOLS="y",IF(DW166="y",AJ166,0),0)</f>
        <v>0</v>
      </c>
      <c r="AJ166" s="1081">
        <v>3</v>
      </c>
      <c r="AK166" s="1082">
        <f>IF(FE="y",IF(DW166="y",AL166,0),0)</f>
        <v>0</v>
      </c>
      <c r="AL166" s="1082">
        <v>3</v>
      </c>
      <c r="AM166" s="1082">
        <f>IF(HE="Y",IF(DW166="Y",AN166,0),0)</f>
        <v>0</v>
      </c>
      <c r="AN166" s="1082">
        <v>3</v>
      </c>
      <c r="AO166" s="1081">
        <f>IF(INDUSTRIAL="Y",IF(EL166="Y",AP166,0),0)</f>
        <v>0</v>
      </c>
      <c r="AP166" s="1081">
        <v>3</v>
      </c>
      <c r="AQ166" s="95">
        <v>1</v>
      </c>
      <c r="AR166" s="95"/>
      <c r="AS166" s="95"/>
      <c r="AT166" s="95"/>
      <c r="AU166" s="95"/>
      <c r="AV166" s="95"/>
      <c r="AW166" s="95"/>
      <c r="AX166" s="95"/>
      <c r="AY166" s="95"/>
      <c r="AZ166" s="95"/>
      <c r="BA166" s="95"/>
      <c r="BB166" s="95"/>
      <c r="BC166" s="95"/>
      <c r="BD166" s="95"/>
      <c r="BE166" s="95">
        <f t="shared" si="48"/>
        <v>1</v>
      </c>
      <c r="BF166" s="96" t="str">
        <f t="shared" si="49"/>
        <v>Y</v>
      </c>
      <c r="BG166" s="97"/>
      <c r="BH166" s="98"/>
      <c r="BI166" s="98">
        <f>IF(OFFnewrefurb="y",1,0)</f>
        <v>1</v>
      </c>
      <c r="BJ166" s="98"/>
      <c r="BK166" s="98"/>
      <c r="BL166" s="111"/>
      <c r="BM166" s="98">
        <f t="shared" si="50"/>
        <v>1</v>
      </c>
      <c r="BN166" s="98" t="str">
        <f t="shared" si="51"/>
        <v>Y</v>
      </c>
      <c r="BO166" s="115"/>
      <c r="BP166" s="100">
        <v>1</v>
      </c>
      <c r="BQ166" s="100"/>
      <c r="BR166" s="100"/>
      <c r="BS166" s="100">
        <f t="shared" si="52"/>
        <v>1</v>
      </c>
      <c r="BT166" s="100" t="str">
        <f t="shared" si="53"/>
        <v>Y</v>
      </c>
      <c r="BU166" s="50"/>
      <c r="BV166" s="101">
        <v>1</v>
      </c>
      <c r="BW166" s="101"/>
      <c r="BX166" s="101"/>
      <c r="BY166" s="101"/>
      <c r="BZ166" s="101"/>
      <c r="CA166" s="101"/>
      <c r="CB166" s="101"/>
      <c r="CC166" s="101"/>
      <c r="CD166" s="101">
        <f t="shared" si="54"/>
        <v>1</v>
      </c>
      <c r="CE166" s="101" t="str">
        <f t="shared" si="55"/>
        <v>Y</v>
      </c>
      <c r="CF166" s="54"/>
      <c r="CG166" s="102"/>
      <c r="CH166" s="102">
        <f>IF(RETnewrefurb="y",1,0)</f>
        <v>0</v>
      </c>
      <c r="CI166" s="102"/>
      <c r="CJ166" s="102"/>
      <c r="CK166" s="102"/>
      <c r="CL166" s="102"/>
      <c r="CM166" s="102"/>
      <c r="CN166" s="102"/>
      <c r="CO166" s="102"/>
      <c r="CP166" s="102"/>
      <c r="CQ166" s="102"/>
      <c r="CR166" s="102"/>
      <c r="CS166" s="102"/>
      <c r="CT166" s="102"/>
      <c r="CU166" s="102"/>
      <c r="CV166" s="102"/>
      <c r="CW166" s="102"/>
      <c r="CX166" s="102"/>
      <c r="CY166" s="102"/>
      <c r="CZ166" s="102">
        <f t="shared" si="56"/>
        <v>0</v>
      </c>
      <c r="DA166" s="102" t="str">
        <f t="shared" si="57"/>
        <v>N</v>
      </c>
      <c r="DB166" s="58"/>
      <c r="DC166" s="101">
        <v>1</v>
      </c>
      <c r="DD166" s="101"/>
      <c r="DE166" s="101"/>
      <c r="DF166" s="101"/>
      <c r="DG166" s="101"/>
      <c r="DH166" s="101"/>
      <c r="DI166" s="101"/>
      <c r="DJ166" s="101"/>
      <c r="DK166" s="101"/>
      <c r="DL166" s="101"/>
      <c r="DM166" s="101"/>
      <c r="DN166" s="101"/>
      <c r="DO166" s="101"/>
      <c r="DP166" s="101"/>
      <c r="DQ166" s="101"/>
      <c r="DR166" s="101"/>
      <c r="DS166" s="101"/>
      <c r="DT166" s="101"/>
      <c r="DU166" s="101"/>
      <c r="DV166" s="101">
        <f t="shared" si="58"/>
        <v>1</v>
      </c>
      <c r="DW166" s="101" t="str">
        <f t="shared" si="61"/>
        <v>Y</v>
      </c>
      <c r="DX166" s="103"/>
      <c r="DY166" s="104"/>
      <c r="DZ166" s="104">
        <f>IF(INDnewrefurb="y",1,0)</f>
        <v>0</v>
      </c>
      <c r="EA166" s="104"/>
      <c r="EB166" s="104"/>
      <c r="EC166" s="104"/>
      <c r="ED166" s="104"/>
      <c r="EE166" s="104"/>
      <c r="EF166" s="104"/>
      <c r="EG166" s="104"/>
      <c r="EH166" s="104"/>
      <c r="EI166" s="104"/>
      <c r="EJ166" s="104"/>
      <c r="EK166" s="104">
        <f t="shared" si="59"/>
        <v>0</v>
      </c>
      <c r="EL166" s="104" t="str">
        <f t="shared" si="60"/>
        <v>N</v>
      </c>
      <c r="EM166" s="62"/>
      <c r="EN166" s="89"/>
      <c r="EO166" s="89"/>
      <c r="EP166" s="89"/>
      <c r="EQ166" s="89"/>
      <c r="ER166" s="89"/>
      <c r="ES166" s="89"/>
      <c r="ET166" s="89"/>
      <c r="EU166" s="89"/>
      <c r="EV166" s="89"/>
      <c r="EW166" s="89"/>
      <c r="EX166" s="89"/>
      <c r="EY166" s="89"/>
      <c r="EZ166" s="89"/>
      <c r="FA166" s="89"/>
      <c r="FB166" s="89"/>
      <c r="FC166" s="89"/>
      <c r="FD166" s="89"/>
      <c r="FE166" s="89"/>
      <c r="FF166" s="89"/>
    </row>
    <row r="167" spans="1:162" s="63" customFormat="1" x14ac:dyDescent="0.2">
      <c r="A167" s="144"/>
      <c r="B167" s="1184"/>
      <c r="C167" s="1141"/>
      <c r="D167" s="1134"/>
      <c r="E167" s="1086"/>
      <c r="F167" s="1086"/>
      <c r="G167" s="1077"/>
      <c r="H167" s="1077"/>
      <c r="I167" s="1077"/>
      <c r="J167" s="1079"/>
      <c r="K167" s="1077"/>
      <c r="L167" s="181"/>
      <c r="M167" s="186"/>
      <c r="N167" s="178"/>
      <c r="O167" s="171"/>
      <c r="P167" s="172"/>
      <c r="Q167" s="178"/>
      <c r="R167" s="195"/>
      <c r="S167" s="195"/>
      <c r="T167" s="195"/>
      <c r="U167" s="195"/>
      <c r="V167" s="196"/>
      <c r="W167" s="197"/>
      <c r="X167" s="1099"/>
      <c r="Y167" s="1081"/>
      <c r="Z167" s="1081"/>
      <c r="AA167" s="1081"/>
      <c r="AB167" s="1081"/>
      <c r="AC167" s="1081"/>
      <c r="AD167" s="1081"/>
      <c r="AE167" s="1081"/>
      <c r="AF167" s="1081"/>
      <c r="AG167" s="1081"/>
      <c r="AH167" s="1081"/>
      <c r="AI167" s="1081"/>
      <c r="AJ167" s="1081"/>
      <c r="AK167" s="1082"/>
      <c r="AL167" s="1082"/>
      <c r="AM167" s="1082"/>
      <c r="AN167" s="1082"/>
      <c r="AO167" s="1081"/>
      <c r="AP167" s="1081"/>
      <c r="AQ167" s="95">
        <v>1</v>
      </c>
      <c r="AR167" s="95"/>
      <c r="AS167" s="95"/>
      <c r="AT167" s="95"/>
      <c r="AU167" s="95"/>
      <c r="AV167" s="95"/>
      <c r="AW167" s="95"/>
      <c r="AX167" s="95"/>
      <c r="AY167" s="95"/>
      <c r="AZ167" s="95"/>
      <c r="BA167" s="95"/>
      <c r="BB167" s="95"/>
      <c r="BC167" s="95"/>
      <c r="BD167" s="95"/>
      <c r="BE167" s="95">
        <f t="shared" si="48"/>
        <v>1</v>
      </c>
      <c r="BF167" s="96" t="str">
        <f t="shared" si="49"/>
        <v>Y</v>
      </c>
      <c r="BG167" s="97"/>
      <c r="BH167" s="98"/>
      <c r="BI167" s="98">
        <f>IF(OFFnewrefurb="y",1,0)</f>
        <v>1</v>
      </c>
      <c r="BJ167" s="98"/>
      <c r="BK167" s="98"/>
      <c r="BL167" s="111"/>
      <c r="BM167" s="98">
        <f t="shared" si="50"/>
        <v>1</v>
      </c>
      <c r="BN167" s="98" t="str">
        <f t="shared" si="51"/>
        <v>Y</v>
      </c>
      <c r="BO167" s="115"/>
      <c r="BP167" s="100">
        <v>1</v>
      </c>
      <c r="BQ167" s="100"/>
      <c r="BR167" s="100"/>
      <c r="BS167" s="100">
        <f t="shared" si="52"/>
        <v>1</v>
      </c>
      <c r="BT167" s="100" t="str">
        <f t="shared" si="53"/>
        <v>Y</v>
      </c>
      <c r="BU167" s="50"/>
      <c r="BV167" s="101">
        <v>1</v>
      </c>
      <c r="BW167" s="101"/>
      <c r="BX167" s="101"/>
      <c r="BY167" s="101"/>
      <c r="BZ167" s="101"/>
      <c r="CA167" s="101"/>
      <c r="CB167" s="101"/>
      <c r="CC167" s="101"/>
      <c r="CD167" s="101">
        <f t="shared" si="54"/>
        <v>1</v>
      </c>
      <c r="CE167" s="101" t="str">
        <f t="shared" si="55"/>
        <v>Y</v>
      </c>
      <c r="CF167" s="54"/>
      <c r="CG167" s="102"/>
      <c r="CH167" s="102">
        <f>IF(RETnewrefurb="y",1,0)</f>
        <v>0</v>
      </c>
      <c r="CI167" s="102"/>
      <c r="CJ167" s="102"/>
      <c r="CK167" s="102"/>
      <c r="CL167" s="102"/>
      <c r="CM167" s="102"/>
      <c r="CN167" s="102"/>
      <c r="CO167" s="102"/>
      <c r="CP167" s="102"/>
      <c r="CQ167" s="102"/>
      <c r="CR167" s="102"/>
      <c r="CS167" s="102"/>
      <c r="CT167" s="102"/>
      <c r="CU167" s="102"/>
      <c r="CV167" s="102"/>
      <c r="CW167" s="102"/>
      <c r="CX167" s="102"/>
      <c r="CY167" s="102"/>
      <c r="CZ167" s="102">
        <f t="shared" si="56"/>
        <v>0</v>
      </c>
      <c r="DA167" s="102" t="str">
        <f t="shared" si="57"/>
        <v>N</v>
      </c>
      <c r="DB167" s="58"/>
      <c r="DC167" s="101">
        <v>1</v>
      </c>
      <c r="DD167" s="101"/>
      <c r="DE167" s="101"/>
      <c r="DF167" s="101"/>
      <c r="DG167" s="101"/>
      <c r="DH167" s="101"/>
      <c r="DI167" s="101"/>
      <c r="DJ167" s="101"/>
      <c r="DK167" s="101"/>
      <c r="DL167" s="101"/>
      <c r="DM167" s="101"/>
      <c r="DN167" s="101"/>
      <c r="DO167" s="101"/>
      <c r="DP167" s="101"/>
      <c r="DQ167" s="101"/>
      <c r="DR167" s="101"/>
      <c r="DS167" s="101"/>
      <c r="DT167" s="101"/>
      <c r="DU167" s="101"/>
      <c r="DV167" s="101">
        <f t="shared" si="58"/>
        <v>1</v>
      </c>
      <c r="DW167" s="101" t="str">
        <f t="shared" si="61"/>
        <v>Y</v>
      </c>
      <c r="DX167" s="103"/>
      <c r="DY167" s="104"/>
      <c r="DZ167" s="104">
        <f>IF(INDnewrefurb="y",1,0)</f>
        <v>0</v>
      </c>
      <c r="EA167" s="104"/>
      <c r="EB167" s="104"/>
      <c r="EC167" s="104"/>
      <c r="ED167" s="104"/>
      <c r="EE167" s="104"/>
      <c r="EF167" s="104"/>
      <c r="EG167" s="104"/>
      <c r="EH167" s="104"/>
      <c r="EI167" s="104"/>
      <c r="EJ167" s="104"/>
      <c r="EK167" s="104">
        <f t="shared" si="59"/>
        <v>0</v>
      </c>
      <c r="EL167" s="104" t="str">
        <f t="shared" si="60"/>
        <v>N</v>
      </c>
      <c r="EM167" s="62"/>
      <c r="EN167" s="89"/>
      <c r="EO167" s="89"/>
      <c r="EP167" s="89"/>
      <c r="EQ167" s="89"/>
      <c r="ER167" s="89"/>
      <c r="ES167" s="89"/>
      <c r="ET167" s="89"/>
      <c r="EU167" s="89"/>
      <c r="EV167" s="89"/>
      <c r="EW167" s="89"/>
      <c r="EX167" s="89"/>
      <c r="EY167" s="89"/>
      <c r="EZ167" s="89"/>
      <c r="FA167" s="89"/>
      <c r="FB167" s="89"/>
      <c r="FC167" s="89"/>
      <c r="FD167" s="89"/>
      <c r="FE167" s="89"/>
      <c r="FF167" s="89"/>
    </row>
    <row r="168" spans="1:162" ht="13.5" thickBot="1" x14ac:dyDescent="0.25">
      <c r="A168" s="144"/>
      <c r="B168" s="1185"/>
      <c r="C168" s="1142"/>
      <c r="D168" s="1136"/>
      <c r="E168" s="1143"/>
      <c r="F168" s="1143"/>
      <c r="G168" s="1078"/>
      <c r="H168" s="1078"/>
      <c r="I168" s="1078"/>
      <c r="J168" s="1080"/>
      <c r="K168" s="1078"/>
      <c r="L168" s="176"/>
      <c r="M168" s="186"/>
      <c r="N168" s="172"/>
      <c r="O168" s="177"/>
      <c r="P168" s="172"/>
      <c r="Q168" s="172"/>
      <c r="R168" s="173"/>
      <c r="S168" s="173"/>
      <c r="T168" s="173"/>
      <c r="U168" s="173"/>
      <c r="V168" s="174"/>
      <c r="W168" s="175"/>
      <c r="X168" s="1100"/>
      <c r="Y168" s="1081"/>
      <c r="Z168" s="1081"/>
      <c r="AA168" s="1081"/>
      <c r="AB168" s="1081"/>
      <c r="AC168" s="1081"/>
      <c r="AD168" s="1081"/>
      <c r="AE168" s="1081"/>
      <c r="AF168" s="1081"/>
      <c r="AG168" s="1081"/>
      <c r="AH168" s="1081"/>
      <c r="AI168" s="1081"/>
      <c r="AJ168" s="1081"/>
      <c r="AK168" s="1082"/>
      <c r="AL168" s="1082"/>
      <c r="AM168" s="1082"/>
      <c r="AN168" s="1082"/>
      <c r="AO168" s="1081"/>
      <c r="AP168" s="1081"/>
      <c r="AQ168" s="95">
        <v>1</v>
      </c>
      <c r="AR168" s="95"/>
      <c r="AS168" s="95"/>
      <c r="AT168" s="95"/>
      <c r="AU168" s="95"/>
      <c r="AV168" s="95"/>
      <c r="AW168" s="95"/>
      <c r="AX168" s="95"/>
      <c r="AY168" s="95"/>
      <c r="AZ168" s="95"/>
      <c r="BA168" s="95"/>
      <c r="BB168" s="95"/>
      <c r="BC168" s="95"/>
      <c r="BD168" s="95"/>
      <c r="BE168" s="95">
        <f t="shared" si="48"/>
        <v>1</v>
      </c>
      <c r="BF168" s="96" t="str">
        <f t="shared" si="49"/>
        <v>Y</v>
      </c>
      <c r="BG168" s="97"/>
      <c r="BH168" s="98"/>
      <c r="BI168" s="98">
        <f>IF(OFFnewrefurb="y",1,0)</f>
        <v>1</v>
      </c>
      <c r="BJ168" s="98"/>
      <c r="BK168" s="98"/>
      <c r="BL168" s="111"/>
      <c r="BM168" s="98">
        <f t="shared" si="50"/>
        <v>1</v>
      </c>
      <c r="BN168" s="98" t="str">
        <f t="shared" si="51"/>
        <v>Y</v>
      </c>
      <c r="BO168" s="115"/>
      <c r="BP168" s="100">
        <v>1</v>
      </c>
      <c r="BQ168" s="100"/>
      <c r="BR168" s="100"/>
      <c r="BS168" s="100">
        <f t="shared" si="52"/>
        <v>1</v>
      </c>
      <c r="BT168" s="100" t="str">
        <f t="shared" si="53"/>
        <v>Y</v>
      </c>
      <c r="BU168" s="50"/>
      <c r="BV168" s="101">
        <v>1</v>
      </c>
      <c r="BW168" s="101"/>
      <c r="BX168" s="101"/>
      <c r="BY168" s="101"/>
      <c r="BZ168" s="101"/>
      <c r="CA168" s="101"/>
      <c r="CB168" s="101"/>
      <c r="CC168" s="101"/>
      <c r="CD168" s="101">
        <f t="shared" si="54"/>
        <v>1</v>
      </c>
      <c r="CE168" s="101" t="str">
        <f t="shared" si="55"/>
        <v>Y</v>
      </c>
      <c r="CF168" s="54"/>
      <c r="CG168" s="102"/>
      <c r="CH168" s="102">
        <f>IF(RETnewrefurb="y",1,0)</f>
        <v>0</v>
      </c>
      <c r="CI168" s="102"/>
      <c r="CJ168" s="102"/>
      <c r="CK168" s="102"/>
      <c r="CL168" s="102"/>
      <c r="CM168" s="102"/>
      <c r="CN168" s="102"/>
      <c r="CO168" s="102"/>
      <c r="CP168" s="102"/>
      <c r="CQ168" s="102"/>
      <c r="CR168" s="102"/>
      <c r="CS168" s="102"/>
      <c r="CT168" s="102"/>
      <c r="CU168" s="102"/>
      <c r="CV168" s="102"/>
      <c r="CW168" s="102"/>
      <c r="CX168" s="102"/>
      <c r="CY168" s="102"/>
      <c r="CZ168" s="102">
        <f t="shared" si="56"/>
        <v>0</v>
      </c>
      <c r="DA168" s="102" t="str">
        <f t="shared" si="57"/>
        <v>N</v>
      </c>
      <c r="DB168" s="58"/>
      <c r="DC168" s="101">
        <v>1</v>
      </c>
      <c r="DD168" s="101"/>
      <c r="DE168" s="101"/>
      <c r="DF168" s="101"/>
      <c r="DG168" s="101"/>
      <c r="DH168" s="101"/>
      <c r="DI168" s="101"/>
      <c r="DJ168" s="101"/>
      <c r="DK168" s="101"/>
      <c r="DL168" s="101"/>
      <c r="DM168" s="101"/>
      <c r="DN168" s="101"/>
      <c r="DO168" s="101"/>
      <c r="DP168" s="101"/>
      <c r="DQ168" s="101"/>
      <c r="DR168" s="101"/>
      <c r="DS168" s="101"/>
      <c r="DT168" s="101"/>
      <c r="DU168" s="101"/>
      <c r="DV168" s="101">
        <f t="shared" si="58"/>
        <v>1</v>
      </c>
      <c r="DW168" s="101" t="str">
        <f t="shared" si="61"/>
        <v>Y</v>
      </c>
      <c r="DX168" s="103"/>
      <c r="DY168" s="104"/>
      <c r="DZ168" s="104">
        <f>IF(INDnewrefurb="y",1,0)</f>
        <v>0</v>
      </c>
      <c r="EA168" s="104"/>
      <c r="EB168" s="104"/>
      <c r="EC168" s="104"/>
      <c r="ED168" s="104"/>
      <c r="EE168" s="104"/>
      <c r="EF168" s="104"/>
      <c r="EG168" s="104"/>
      <c r="EH168" s="104"/>
      <c r="EI168" s="104"/>
      <c r="EJ168" s="104"/>
      <c r="EK168" s="104">
        <f t="shared" si="59"/>
        <v>0</v>
      </c>
      <c r="EL168" s="104" t="str">
        <f t="shared" si="60"/>
        <v>N</v>
      </c>
      <c r="EM168" s="62"/>
      <c r="EN168" s="6"/>
      <c r="EO168" s="6"/>
      <c r="EP168" s="6"/>
      <c r="EQ168" s="6"/>
      <c r="ER168" s="6"/>
    </row>
    <row r="169" spans="1:162" x14ac:dyDescent="0.2">
      <c r="A169" s="1146" t="s">
        <v>77</v>
      </c>
      <c r="B169" s="1138" t="s">
        <v>76</v>
      </c>
      <c r="C169" s="1140" t="s">
        <v>267</v>
      </c>
      <c r="D169" s="1133" t="s">
        <v>179</v>
      </c>
      <c r="E169" s="1085"/>
      <c r="F169" s="1085"/>
      <c r="G169" s="1076" t="s">
        <v>349</v>
      </c>
      <c r="H169" s="1076" t="s">
        <v>273</v>
      </c>
      <c r="I169" s="1076"/>
      <c r="J169" s="1079">
        <f>Y169+AA169+AC169+AE169+AG169+AI169+AK169+AM169+AO169</f>
        <v>1</v>
      </c>
      <c r="K169" s="1076"/>
      <c r="L169" s="180"/>
      <c r="M169" s="186"/>
      <c r="N169" s="177"/>
      <c r="O169" s="177"/>
      <c r="P169" s="177"/>
      <c r="Q169" s="172"/>
      <c r="R169" s="173"/>
      <c r="S169" s="173"/>
      <c r="T169" s="173"/>
      <c r="U169" s="173"/>
      <c r="V169" s="174"/>
      <c r="W169" s="175"/>
      <c r="X169" s="1201" t="s">
        <v>363</v>
      </c>
      <c r="Y169" s="1081">
        <f>IF(HC="Y",IF(BF169="Y",Z169,0),0)</f>
        <v>0</v>
      </c>
      <c r="Z169" s="1081">
        <v>2</v>
      </c>
      <c r="AA169" s="1081">
        <f>IF(OFF="Y",IF(BN169="Y",AB169,0),0)</f>
        <v>1</v>
      </c>
      <c r="AB169" s="1081">
        <v>1</v>
      </c>
      <c r="AC169" s="1081">
        <f>IF(COURTS="Y",IF(BT169="Y",AD169,0),0)</f>
        <v>0</v>
      </c>
      <c r="AD169" s="1081">
        <v>1</v>
      </c>
      <c r="AE169" s="1081">
        <f>IF(PRISONS="Y",IF(CE169="Y",AF169,0),0)</f>
        <v>0</v>
      </c>
      <c r="AF169" s="1081">
        <v>2</v>
      </c>
      <c r="AG169" s="1081">
        <f>IF(RET="Y",IF(DA169="Y",AH169,0),0)</f>
        <v>0</v>
      </c>
      <c r="AH169" s="1081">
        <v>2</v>
      </c>
      <c r="AI169" s="1081">
        <f>IF(SCHOOLS="y",IF(DW169="y",AJ169,0),0)</f>
        <v>0</v>
      </c>
      <c r="AJ169" s="1081">
        <v>1</v>
      </c>
      <c r="AK169" s="1082">
        <f>IF(FE="y",IF(DW169="y",AL169,0),0)</f>
        <v>0</v>
      </c>
      <c r="AL169" s="1082">
        <v>1</v>
      </c>
      <c r="AM169" s="1082">
        <f>IF(HE="Y",IF(DW169="Y",AN169,0),0)</f>
        <v>0</v>
      </c>
      <c r="AN169" s="1082">
        <v>2</v>
      </c>
      <c r="AO169" s="1081">
        <f>IF(INDUSTRIAL="Y",IF(EL169="Y",AP169,0),0)</f>
        <v>0</v>
      </c>
      <c r="AP169" s="1081">
        <v>1</v>
      </c>
      <c r="AQ169" s="95">
        <v>1</v>
      </c>
      <c r="AR169" s="95"/>
      <c r="AS169" s="95"/>
      <c r="AT169" s="95"/>
      <c r="AU169" s="95"/>
      <c r="AV169" s="95"/>
      <c r="AW169" s="95"/>
      <c r="AX169" s="95"/>
      <c r="AY169" s="95"/>
      <c r="AZ169" s="95"/>
      <c r="BA169" s="95"/>
      <c r="BB169" s="95"/>
      <c r="BC169" s="95"/>
      <c r="BD169" s="95"/>
      <c r="BE169" s="95">
        <f t="shared" si="48"/>
        <v>1</v>
      </c>
      <c r="BF169" s="96" t="str">
        <f t="shared" si="49"/>
        <v>Y</v>
      </c>
      <c r="BG169" s="97"/>
      <c r="BH169" s="98">
        <v>1</v>
      </c>
      <c r="BI169" s="98"/>
      <c r="BJ169" s="98"/>
      <c r="BK169" s="98"/>
      <c r="BL169" s="111"/>
      <c r="BM169" s="98">
        <f t="shared" si="50"/>
        <v>1</v>
      </c>
      <c r="BN169" s="98" t="str">
        <f t="shared" si="51"/>
        <v>Y</v>
      </c>
      <c r="BO169" s="115"/>
      <c r="BP169" s="100">
        <v>1</v>
      </c>
      <c r="BQ169" s="100"/>
      <c r="BR169" s="100"/>
      <c r="BS169" s="100">
        <f t="shared" si="52"/>
        <v>1</v>
      </c>
      <c r="BT169" s="100" t="str">
        <f t="shared" si="53"/>
        <v>Y</v>
      </c>
      <c r="BU169" s="50"/>
      <c r="BV169" s="101">
        <v>1</v>
      </c>
      <c r="BW169" s="101"/>
      <c r="BX169" s="101"/>
      <c r="BY169" s="101"/>
      <c r="BZ169" s="101"/>
      <c r="CA169" s="101"/>
      <c r="CB169" s="101"/>
      <c r="CC169" s="101"/>
      <c r="CD169" s="101">
        <f t="shared" si="54"/>
        <v>1</v>
      </c>
      <c r="CE169" s="101" t="str">
        <f t="shared" si="55"/>
        <v>Y</v>
      </c>
      <c r="CF169" s="54"/>
      <c r="CG169" s="102">
        <v>1</v>
      </c>
      <c r="CH169" s="102"/>
      <c r="CI169" s="102"/>
      <c r="CJ169" s="102"/>
      <c r="CK169" s="102"/>
      <c r="CL169" s="102"/>
      <c r="CM169" s="102"/>
      <c r="CN169" s="102"/>
      <c r="CO169" s="102"/>
      <c r="CP169" s="102"/>
      <c r="CQ169" s="102"/>
      <c r="CR169" s="102"/>
      <c r="CS169" s="102"/>
      <c r="CT169" s="102"/>
      <c r="CU169" s="102"/>
      <c r="CV169" s="102"/>
      <c r="CW169" s="102"/>
      <c r="CX169" s="102"/>
      <c r="CY169" s="102"/>
      <c r="CZ169" s="102">
        <f t="shared" si="56"/>
        <v>1</v>
      </c>
      <c r="DA169" s="102" t="str">
        <f t="shared" si="57"/>
        <v>Y</v>
      </c>
      <c r="DB169" s="58"/>
      <c r="DC169" s="101">
        <v>1</v>
      </c>
      <c r="DD169" s="101"/>
      <c r="DE169" s="101"/>
      <c r="DF169" s="101"/>
      <c r="DG169" s="101"/>
      <c r="DH169" s="101"/>
      <c r="DI169" s="101"/>
      <c r="DJ169" s="101"/>
      <c r="DK169" s="101"/>
      <c r="DL169" s="101"/>
      <c r="DM169" s="101"/>
      <c r="DN169" s="101"/>
      <c r="DO169" s="101"/>
      <c r="DP169" s="101"/>
      <c r="DQ169" s="101"/>
      <c r="DR169" s="101"/>
      <c r="DS169" s="101"/>
      <c r="DT169" s="101"/>
      <c r="DU169" s="101"/>
      <c r="DV169" s="101">
        <f t="shared" si="58"/>
        <v>1</v>
      </c>
      <c r="DW169" s="101" t="str">
        <f t="shared" si="61"/>
        <v>Y</v>
      </c>
      <c r="DX169" s="103"/>
      <c r="DY169" s="104">
        <v>1</v>
      </c>
      <c r="DZ169" s="104"/>
      <c r="EA169" s="104"/>
      <c r="EB169" s="104"/>
      <c r="EC169" s="104"/>
      <c r="ED169" s="104"/>
      <c r="EE169" s="104"/>
      <c r="EF169" s="104"/>
      <c r="EG169" s="104"/>
      <c r="EH169" s="104"/>
      <c r="EI169" s="104"/>
      <c r="EJ169" s="104"/>
      <c r="EK169" s="104">
        <f t="shared" si="59"/>
        <v>1</v>
      </c>
      <c r="EL169" s="104" t="str">
        <f t="shared" si="60"/>
        <v>Y</v>
      </c>
      <c r="EM169" s="62"/>
      <c r="EN169" s="6"/>
      <c r="EO169" s="6"/>
      <c r="EP169" s="6"/>
      <c r="EQ169" s="6"/>
      <c r="ER169" s="6"/>
    </row>
    <row r="170" spans="1:162" x14ac:dyDescent="0.2">
      <c r="A170" s="1147"/>
      <c r="B170" s="1139"/>
      <c r="C170" s="1141"/>
      <c r="D170" s="1134"/>
      <c r="E170" s="1086"/>
      <c r="F170" s="1086"/>
      <c r="G170" s="1077"/>
      <c r="H170" s="1077"/>
      <c r="I170" s="1077"/>
      <c r="J170" s="1079"/>
      <c r="K170" s="1077"/>
      <c r="L170" s="181"/>
      <c r="M170" s="186"/>
      <c r="N170" s="171"/>
      <c r="O170" s="171"/>
      <c r="P170" s="171"/>
      <c r="Q170" s="178"/>
      <c r="R170" s="173"/>
      <c r="S170" s="173"/>
      <c r="T170" s="173"/>
      <c r="U170" s="173"/>
      <c r="V170" s="174"/>
      <c r="W170" s="175"/>
      <c r="X170" s="1099"/>
      <c r="Y170" s="1081"/>
      <c r="Z170" s="1081"/>
      <c r="AA170" s="1081"/>
      <c r="AB170" s="1081"/>
      <c r="AC170" s="1081"/>
      <c r="AD170" s="1081"/>
      <c r="AE170" s="1081"/>
      <c r="AF170" s="1081"/>
      <c r="AG170" s="1081"/>
      <c r="AH170" s="1081"/>
      <c r="AI170" s="1081"/>
      <c r="AJ170" s="1081"/>
      <c r="AK170" s="1082"/>
      <c r="AL170" s="1082"/>
      <c r="AM170" s="1082"/>
      <c r="AN170" s="1082"/>
      <c r="AO170" s="1081"/>
      <c r="AP170" s="1081"/>
      <c r="AQ170" s="95">
        <v>1</v>
      </c>
      <c r="AR170" s="95"/>
      <c r="AS170" s="95"/>
      <c r="AT170" s="95"/>
      <c r="AU170" s="95"/>
      <c r="AV170" s="95"/>
      <c r="AW170" s="95"/>
      <c r="AX170" s="95"/>
      <c r="AY170" s="95"/>
      <c r="AZ170" s="95"/>
      <c r="BA170" s="95"/>
      <c r="BB170" s="95"/>
      <c r="BC170" s="95"/>
      <c r="BD170" s="95"/>
      <c r="BE170" s="95">
        <f t="shared" si="48"/>
        <v>1</v>
      </c>
      <c r="BF170" s="96" t="str">
        <f t="shared" si="49"/>
        <v>Y</v>
      </c>
      <c r="BG170" s="97"/>
      <c r="BH170" s="98">
        <v>1</v>
      </c>
      <c r="BI170" s="98"/>
      <c r="BJ170" s="98"/>
      <c r="BK170" s="98"/>
      <c r="BL170" s="111"/>
      <c r="BM170" s="98">
        <f t="shared" si="50"/>
        <v>1</v>
      </c>
      <c r="BN170" s="98" t="str">
        <f t="shared" si="51"/>
        <v>Y</v>
      </c>
      <c r="BO170" s="115"/>
      <c r="BP170" s="100">
        <v>1</v>
      </c>
      <c r="BQ170" s="100"/>
      <c r="BR170" s="100"/>
      <c r="BS170" s="100">
        <f t="shared" si="52"/>
        <v>1</v>
      </c>
      <c r="BT170" s="100" t="str">
        <f t="shared" si="53"/>
        <v>Y</v>
      </c>
      <c r="BU170" s="50"/>
      <c r="BV170" s="101">
        <v>1</v>
      </c>
      <c r="BW170" s="101"/>
      <c r="BX170" s="101"/>
      <c r="BY170" s="101"/>
      <c r="BZ170" s="101"/>
      <c r="CA170" s="101"/>
      <c r="CB170" s="101"/>
      <c r="CC170" s="101"/>
      <c r="CD170" s="101">
        <f t="shared" si="54"/>
        <v>1</v>
      </c>
      <c r="CE170" s="101" t="str">
        <f t="shared" si="55"/>
        <v>Y</v>
      </c>
      <c r="CF170" s="54"/>
      <c r="CG170" s="102">
        <v>1</v>
      </c>
      <c r="CH170" s="102"/>
      <c r="CI170" s="102"/>
      <c r="CJ170" s="102"/>
      <c r="CK170" s="102"/>
      <c r="CL170" s="102"/>
      <c r="CM170" s="102"/>
      <c r="CN170" s="102"/>
      <c r="CO170" s="102"/>
      <c r="CP170" s="102"/>
      <c r="CQ170" s="102"/>
      <c r="CR170" s="102"/>
      <c r="CS170" s="102"/>
      <c r="CT170" s="102"/>
      <c r="CU170" s="102"/>
      <c r="CV170" s="102"/>
      <c r="CW170" s="102"/>
      <c r="CX170" s="102"/>
      <c r="CY170" s="102"/>
      <c r="CZ170" s="102">
        <f t="shared" si="56"/>
        <v>1</v>
      </c>
      <c r="DA170" s="102" t="str">
        <f t="shared" si="57"/>
        <v>Y</v>
      </c>
      <c r="DB170" s="58"/>
      <c r="DC170" s="101">
        <v>1</v>
      </c>
      <c r="DD170" s="101"/>
      <c r="DE170" s="101"/>
      <c r="DF170" s="101"/>
      <c r="DG170" s="101"/>
      <c r="DH170" s="101"/>
      <c r="DI170" s="101"/>
      <c r="DJ170" s="101"/>
      <c r="DK170" s="101"/>
      <c r="DL170" s="101"/>
      <c r="DM170" s="101"/>
      <c r="DN170" s="101"/>
      <c r="DO170" s="101"/>
      <c r="DP170" s="101"/>
      <c r="DQ170" s="101"/>
      <c r="DR170" s="101"/>
      <c r="DS170" s="101"/>
      <c r="DT170" s="101"/>
      <c r="DU170" s="101"/>
      <c r="DV170" s="101">
        <f t="shared" si="58"/>
        <v>1</v>
      </c>
      <c r="DW170" s="101" t="str">
        <f t="shared" si="61"/>
        <v>Y</v>
      </c>
      <c r="DX170" s="103"/>
      <c r="DY170" s="104">
        <v>1</v>
      </c>
      <c r="DZ170" s="104"/>
      <c r="EA170" s="104"/>
      <c r="EB170" s="104"/>
      <c r="EC170" s="104"/>
      <c r="ED170" s="104"/>
      <c r="EE170" s="104"/>
      <c r="EF170" s="104"/>
      <c r="EG170" s="104"/>
      <c r="EH170" s="104"/>
      <c r="EI170" s="104"/>
      <c r="EJ170" s="104"/>
      <c r="EK170" s="104">
        <f t="shared" si="59"/>
        <v>1</v>
      </c>
      <c r="EL170" s="104" t="str">
        <f t="shared" si="60"/>
        <v>Y</v>
      </c>
      <c r="EM170" s="62"/>
      <c r="EN170" s="6"/>
      <c r="EO170" s="6"/>
      <c r="EP170" s="6"/>
      <c r="EQ170" s="6"/>
      <c r="ER170" s="6"/>
    </row>
    <row r="171" spans="1:162" ht="13.5" thickBot="1" x14ac:dyDescent="0.25">
      <c r="A171" s="1147"/>
      <c r="B171" s="1145"/>
      <c r="C171" s="1142"/>
      <c r="D171" s="1136"/>
      <c r="E171" s="1143"/>
      <c r="F171" s="1143"/>
      <c r="G171" s="1078"/>
      <c r="H171" s="1078"/>
      <c r="I171" s="1078"/>
      <c r="J171" s="1080"/>
      <c r="K171" s="1078"/>
      <c r="L171" s="176"/>
      <c r="M171" s="186"/>
      <c r="N171" s="177"/>
      <c r="O171" s="177"/>
      <c r="P171" s="177"/>
      <c r="Q171" s="172"/>
      <c r="R171" s="173"/>
      <c r="S171" s="173"/>
      <c r="T171" s="173"/>
      <c r="U171" s="173"/>
      <c r="V171" s="174"/>
      <c r="W171" s="175"/>
      <c r="X171" s="1100"/>
      <c r="Y171" s="1081"/>
      <c r="Z171" s="1081"/>
      <c r="AA171" s="1081"/>
      <c r="AB171" s="1081"/>
      <c r="AC171" s="1081"/>
      <c r="AD171" s="1081"/>
      <c r="AE171" s="1081"/>
      <c r="AF171" s="1081"/>
      <c r="AG171" s="1081"/>
      <c r="AH171" s="1081"/>
      <c r="AI171" s="1081"/>
      <c r="AJ171" s="1081"/>
      <c r="AK171" s="1082"/>
      <c r="AL171" s="1082"/>
      <c r="AM171" s="1082"/>
      <c r="AN171" s="1082"/>
      <c r="AO171" s="1081"/>
      <c r="AP171" s="1081"/>
      <c r="AQ171" s="95">
        <v>1</v>
      </c>
      <c r="AR171" s="95"/>
      <c r="AS171" s="95"/>
      <c r="AT171" s="95"/>
      <c r="AU171" s="95"/>
      <c r="AV171" s="95"/>
      <c r="AW171" s="95"/>
      <c r="AX171" s="95"/>
      <c r="AY171" s="95"/>
      <c r="AZ171" s="95"/>
      <c r="BA171" s="95"/>
      <c r="BB171" s="95"/>
      <c r="BC171" s="95"/>
      <c r="BD171" s="95"/>
      <c r="BE171" s="95">
        <f t="shared" si="48"/>
        <v>1</v>
      </c>
      <c r="BF171" s="96" t="str">
        <f t="shared" si="49"/>
        <v>Y</v>
      </c>
      <c r="BG171" s="97"/>
      <c r="BH171" s="98">
        <v>1</v>
      </c>
      <c r="BI171" s="98"/>
      <c r="BJ171" s="98"/>
      <c r="BK171" s="98"/>
      <c r="BL171" s="111"/>
      <c r="BM171" s="98">
        <f t="shared" si="50"/>
        <v>1</v>
      </c>
      <c r="BN171" s="98" t="str">
        <f t="shared" si="51"/>
        <v>Y</v>
      </c>
      <c r="BO171" s="115"/>
      <c r="BP171" s="100">
        <v>1</v>
      </c>
      <c r="BQ171" s="100"/>
      <c r="BR171" s="100"/>
      <c r="BS171" s="100">
        <f t="shared" si="52"/>
        <v>1</v>
      </c>
      <c r="BT171" s="100" t="str">
        <f t="shared" si="53"/>
        <v>Y</v>
      </c>
      <c r="BU171" s="50"/>
      <c r="BV171" s="101">
        <v>1</v>
      </c>
      <c r="BW171" s="101"/>
      <c r="BX171" s="101"/>
      <c r="BY171" s="101"/>
      <c r="BZ171" s="101"/>
      <c r="CA171" s="101"/>
      <c r="CB171" s="101"/>
      <c r="CC171" s="101"/>
      <c r="CD171" s="101">
        <f t="shared" si="54"/>
        <v>1</v>
      </c>
      <c r="CE171" s="101" t="str">
        <f t="shared" si="55"/>
        <v>Y</v>
      </c>
      <c r="CF171" s="54"/>
      <c r="CG171" s="102">
        <v>1</v>
      </c>
      <c r="CH171" s="102"/>
      <c r="CI171" s="102"/>
      <c r="CJ171" s="102"/>
      <c r="CK171" s="102"/>
      <c r="CL171" s="102"/>
      <c r="CM171" s="102"/>
      <c r="CN171" s="102"/>
      <c r="CO171" s="102"/>
      <c r="CP171" s="102"/>
      <c r="CQ171" s="102"/>
      <c r="CR171" s="102"/>
      <c r="CS171" s="102"/>
      <c r="CT171" s="102"/>
      <c r="CU171" s="102"/>
      <c r="CV171" s="102"/>
      <c r="CW171" s="102"/>
      <c r="CX171" s="102"/>
      <c r="CY171" s="102"/>
      <c r="CZ171" s="102">
        <f t="shared" si="56"/>
        <v>1</v>
      </c>
      <c r="DA171" s="102" t="str">
        <f t="shared" si="57"/>
        <v>Y</v>
      </c>
      <c r="DB171" s="58"/>
      <c r="DC171" s="101">
        <v>1</v>
      </c>
      <c r="DD171" s="101"/>
      <c r="DE171" s="101"/>
      <c r="DF171" s="101"/>
      <c r="DG171" s="101"/>
      <c r="DH171" s="101"/>
      <c r="DI171" s="101"/>
      <c r="DJ171" s="101"/>
      <c r="DK171" s="101"/>
      <c r="DL171" s="101"/>
      <c r="DM171" s="101"/>
      <c r="DN171" s="101"/>
      <c r="DO171" s="101"/>
      <c r="DP171" s="101"/>
      <c r="DQ171" s="101"/>
      <c r="DR171" s="101"/>
      <c r="DS171" s="101"/>
      <c r="DT171" s="101"/>
      <c r="DU171" s="101"/>
      <c r="DV171" s="101">
        <f t="shared" si="58"/>
        <v>1</v>
      </c>
      <c r="DW171" s="101" t="str">
        <f t="shared" si="61"/>
        <v>Y</v>
      </c>
      <c r="DX171" s="103"/>
      <c r="DY171" s="104">
        <v>1</v>
      </c>
      <c r="DZ171" s="104"/>
      <c r="EA171" s="104"/>
      <c r="EB171" s="104"/>
      <c r="EC171" s="104"/>
      <c r="ED171" s="104"/>
      <c r="EE171" s="104"/>
      <c r="EF171" s="104"/>
      <c r="EG171" s="104"/>
      <c r="EH171" s="104"/>
      <c r="EI171" s="104"/>
      <c r="EJ171" s="104"/>
      <c r="EK171" s="104">
        <f t="shared" si="59"/>
        <v>1</v>
      </c>
      <c r="EL171" s="104" t="str">
        <f t="shared" si="60"/>
        <v>Y</v>
      </c>
      <c r="EM171" s="62"/>
      <c r="EN171" s="6"/>
      <c r="EO171" s="6"/>
      <c r="EP171" s="6"/>
      <c r="EQ171" s="6"/>
      <c r="ER171" s="6"/>
    </row>
    <row r="172" spans="1:162" x14ac:dyDescent="0.2">
      <c r="A172" s="1147"/>
      <c r="B172" s="1138" t="s">
        <v>75</v>
      </c>
      <c r="C172" s="1140" t="s">
        <v>74</v>
      </c>
      <c r="D172" s="1133"/>
      <c r="E172" s="1085"/>
      <c r="F172" s="1085"/>
      <c r="G172" s="1076" t="s">
        <v>349</v>
      </c>
      <c r="H172" s="1076" t="s">
        <v>325</v>
      </c>
      <c r="I172" s="1076"/>
      <c r="J172" s="1079">
        <f>Y172+AA172+AC172+AE172+AG172+AI172+AK172+AM172+AO172</f>
        <v>1</v>
      </c>
      <c r="K172" s="1076"/>
      <c r="L172" s="176"/>
      <c r="M172" s="186"/>
      <c r="N172" s="177"/>
      <c r="O172" s="177"/>
      <c r="P172" s="177"/>
      <c r="Q172" s="172"/>
      <c r="R172" s="173"/>
      <c r="S172" s="173"/>
      <c r="T172" s="173"/>
      <c r="U172" s="173"/>
      <c r="V172" s="174"/>
      <c r="W172" s="175"/>
      <c r="X172" s="1098" t="s">
        <v>350</v>
      </c>
      <c r="Y172" s="1081">
        <f>IF(HC="Y",IF(BF172="Y",Z172,0),0)</f>
        <v>0</v>
      </c>
      <c r="Z172" s="1081">
        <v>1</v>
      </c>
      <c r="AA172" s="1081">
        <f>IF(OFF="Y",IF(BN172="Y",AB172,0),0)</f>
        <v>1</v>
      </c>
      <c r="AB172" s="1081">
        <v>1</v>
      </c>
      <c r="AC172" s="1081">
        <f>IF(COURTS="Y",IF(BT172="Y",AD172,0),0)</f>
        <v>0</v>
      </c>
      <c r="AD172" s="1081">
        <v>2</v>
      </c>
      <c r="AE172" s="1081">
        <f>IF(PRISONS="Y",IF(CE172="Y",AF172,0),0)</f>
        <v>0</v>
      </c>
      <c r="AF172" s="1081">
        <v>0</v>
      </c>
      <c r="AG172" s="1081">
        <f>IF(RET="Y",IF(DA172="Y",AH172,0),0)</f>
        <v>0</v>
      </c>
      <c r="AH172" s="1081">
        <v>1</v>
      </c>
      <c r="AI172" s="1081">
        <f>IF(SCHOOLS="y",IF(DW172="y",AJ172,0),0)</f>
        <v>0</v>
      </c>
      <c r="AJ172" s="1081">
        <v>1</v>
      </c>
      <c r="AK172" s="1082">
        <f>IF(FE="y",IF(DW172="y",AL172,0),0)</f>
        <v>0</v>
      </c>
      <c r="AL172" s="1082">
        <v>1</v>
      </c>
      <c r="AM172" s="1082">
        <f>IF(HE="Y",IF(DW172="Y",AN172,0),0)</f>
        <v>0</v>
      </c>
      <c r="AN172" s="1082">
        <v>1</v>
      </c>
      <c r="AO172" s="1081">
        <f>IF(INDUSTRIAL="Y",IF(EL172="Y",AP172,0),0)</f>
        <v>0</v>
      </c>
      <c r="AP172" s="1081">
        <v>1</v>
      </c>
      <c r="AQ172" s="95">
        <v>1</v>
      </c>
      <c r="AR172" s="95"/>
      <c r="AS172" s="95"/>
      <c r="AT172" s="95"/>
      <c r="AU172" s="95"/>
      <c r="AV172" s="95"/>
      <c r="AW172" s="95"/>
      <c r="AX172" s="95"/>
      <c r="AY172" s="95"/>
      <c r="AZ172" s="95"/>
      <c r="BA172" s="95"/>
      <c r="BB172" s="95"/>
      <c r="BC172" s="95"/>
      <c r="BD172" s="95"/>
      <c r="BE172" s="95">
        <f t="shared" si="48"/>
        <v>1</v>
      </c>
      <c r="BF172" s="96" t="str">
        <f t="shared" si="49"/>
        <v>Y</v>
      </c>
      <c r="BG172" s="97"/>
      <c r="BH172" s="98">
        <v>1</v>
      </c>
      <c r="BI172" s="98"/>
      <c r="BJ172" s="98"/>
      <c r="BK172" s="98"/>
      <c r="BL172" s="111"/>
      <c r="BM172" s="98">
        <f t="shared" si="50"/>
        <v>1</v>
      </c>
      <c r="BN172" s="98" t="str">
        <f t="shared" si="51"/>
        <v>Y</v>
      </c>
      <c r="BO172" s="115"/>
      <c r="BP172" s="100">
        <v>1</v>
      </c>
      <c r="BQ172" s="100"/>
      <c r="BR172" s="100"/>
      <c r="BS172" s="100">
        <f t="shared" si="52"/>
        <v>1</v>
      </c>
      <c r="BT172" s="100" t="str">
        <f t="shared" si="53"/>
        <v>Y</v>
      </c>
      <c r="BU172" s="50"/>
      <c r="BV172" s="101"/>
      <c r="BW172" s="101"/>
      <c r="BX172" s="101"/>
      <c r="BY172" s="101"/>
      <c r="BZ172" s="101"/>
      <c r="CA172" s="101"/>
      <c r="CB172" s="101"/>
      <c r="CC172" s="101"/>
      <c r="CD172" s="101">
        <f t="shared" si="54"/>
        <v>0</v>
      </c>
      <c r="CE172" s="101" t="str">
        <f t="shared" si="55"/>
        <v>N</v>
      </c>
      <c r="CF172" s="54"/>
      <c r="CG172" s="102"/>
      <c r="CH172" s="102"/>
      <c r="CI172" s="102"/>
      <c r="CJ172" s="102"/>
      <c r="CK172" s="102"/>
      <c r="CL172" s="102"/>
      <c r="CM172" s="102"/>
      <c r="CN172" s="102"/>
      <c r="CO172" s="102"/>
      <c r="CP172" s="102"/>
      <c r="CQ172" s="102"/>
      <c r="CR172" s="102"/>
      <c r="CS172" s="102"/>
      <c r="CT172" s="102"/>
      <c r="CU172" s="102"/>
      <c r="CV172" s="102" t="e">
        <v>#REF!</v>
      </c>
      <c r="CW172" s="102"/>
      <c r="CX172" s="102"/>
      <c r="CY172" s="102"/>
      <c r="CZ172" s="102" t="e">
        <f t="shared" si="56"/>
        <v>#REF!</v>
      </c>
      <c r="DA172" s="102" t="e">
        <f t="shared" si="57"/>
        <v>#REF!</v>
      </c>
      <c r="DB172" s="58"/>
      <c r="DC172" s="101">
        <v>1</v>
      </c>
      <c r="DD172" s="101"/>
      <c r="DE172" s="101"/>
      <c r="DF172" s="101"/>
      <c r="DG172" s="101"/>
      <c r="DH172" s="101"/>
      <c r="DI172" s="101"/>
      <c r="DJ172" s="101"/>
      <c r="DK172" s="101"/>
      <c r="DL172" s="101"/>
      <c r="DM172" s="101"/>
      <c r="DN172" s="101"/>
      <c r="DO172" s="101"/>
      <c r="DP172" s="101"/>
      <c r="DQ172" s="101"/>
      <c r="DR172" s="101"/>
      <c r="DS172" s="101"/>
      <c r="DT172" s="101"/>
      <c r="DU172" s="101"/>
      <c r="DV172" s="101">
        <f t="shared" si="58"/>
        <v>1</v>
      </c>
      <c r="DW172" s="101" t="str">
        <f t="shared" si="61"/>
        <v>Y</v>
      </c>
      <c r="DX172" s="103"/>
      <c r="DY172" s="104"/>
      <c r="DZ172" s="104"/>
      <c r="EA172" s="104"/>
      <c r="EB172" s="104"/>
      <c r="EC172" s="104"/>
      <c r="ED172" s="104"/>
      <c r="EE172" s="104" t="e">
        <v>#REF!</v>
      </c>
      <c r="EF172" s="104"/>
      <c r="EG172" s="104"/>
      <c r="EH172" s="104"/>
      <c r="EI172" s="104"/>
      <c r="EJ172" s="104"/>
      <c r="EK172" s="104" t="e">
        <f t="shared" si="59"/>
        <v>#REF!</v>
      </c>
      <c r="EL172" s="104" t="e">
        <f t="shared" si="60"/>
        <v>#REF!</v>
      </c>
      <c r="EM172" s="62"/>
      <c r="EN172" s="6"/>
      <c r="EO172" s="6"/>
      <c r="EP172" s="6"/>
      <c r="EQ172" s="6"/>
      <c r="ER172" s="6"/>
    </row>
    <row r="173" spans="1:162" x14ac:dyDescent="0.2">
      <c r="A173" s="1147"/>
      <c r="B173" s="1139"/>
      <c r="C173" s="1141"/>
      <c r="D173" s="1134"/>
      <c r="E173" s="1086"/>
      <c r="F173" s="1086"/>
      <c r="G173" s="1077"/>
      <c r="H173" s="1077"/>
      <c r="I173" s="1077"/>
      <c r="J173" s="1079"/>
      <c r="K173" s="1077"/>
      <c r="L173" s="181"/>
      <c r="M173" s="186"/>
      <c r="N173" s="171"/>
      <c r="O173" s="171"/>
      <c r="P173" s="171"/>
      <c r="Q173" s="178"/>
      <c r="R173" s="173"/>
      <c r="S173" s="173"/>
      <c r="T173" s="173"/>
      <c r="U173" s="173"/>
      <c r="V173" s="174"/>
      <c r="W173" s="175"/>
      <c r="X173" s="1099"/>
      <c r="Y173" s="1081"/>
      <c r="Z173" s="1081"/>
      <c r="AA173" s="1081"/>
      <c r="AB173" s="1081"/>
      <c r="AC173" s="1081"/>
      <c r="AD173" s="1081"/>
      <c r="AE173" s="1081"/>
      <c r="AF173" s="1081"/>
      <c r="AG173" s="1081"/>
      <c r="AH173" s="1081"/>
      <c r="AI173" s="1081"/>
      <c r="AJ173" s="1081"/>
      <c r="AK173" s="1082"/>
      <c r="AL173" s="1082"/>
      <c r="AM173" s="1082"/>
      <c r="AN173" s="1082"/>
      <c r="AO173" s="1081"/>
      <c r="AP173" s="1081"/>
      <c r="AQ173" s="95">
        <v>1</v>
      </c>
      <c r="AR173" s="95"/>
      <c r="AS173" s="95"/>
      <c r="AT173" s="95"/>
      <c r="AU173" s="95"/>
      <c r="AV173" s="95"/>
      <c r="AW173" s="95"/>
      <c r="AX173" s="95"/>
      <c r="AY173" s="95"/>
      <c r="AZ173" s="95"/>
      <c r="BA173" s="95"/>
      <c r="BB173" s="95"/>
      <c r="BC173" s="95"/>
      <c r="BD173" s="95"/>
      <c r="BE173" s="95">
        <f t="shared" si="48"/>
        <v>1</v>
      </c>
      <c r="BF173" s="96" t="str">
        <f t="shared" si="49"/>
        <v>Y</v>
      </c>
      <c r="BG173" s="97"/>
      <c r="BH173" s="98">
        <v>1</v>
      </c>
      <c r="BI173" s="98"/>
      <c r="BJ173" s="98"/>
      <c r="BK173" s="98"/>
      <c r="BL173" s="111"/>
      <c r="BM173" s="98">
        <f t="shared" si="50"/>
        <v>1</v>
      </c>
      <c r="BN173" s="98" t="str">
        <f t="shared" si="51"/>
        <v>Y</v>
      </c>
      <c r="BO173" s="115"/>
      <c r="BP173" s="100">
        <v>1</v>
      </c>
      <c r="BQ173" s="100"/>
      <c r="BR173" s="100"/>
      <c r="BS173" s="100">
        <f t="shared" si="52"/>
        <v>1</v>
      </c>
      <c r="BT173" s="100" t="str">
        <f t="shared" si="53"/>
        <v>Y</v>
      </c>
      <c r="BU173" s="50"/>
      <c r="BV173" s="101"/>
      <c r="BW173" s="101"/>
      <c r="BX173" s="101"/>
      <c r="BY173" s="101"/>
      <c r="BZ173" s="101"/>
      <c r="CA173" s="101"/>
      <c r="CB173" s="101"/>
      <c r="CC173" s="101"/>
      <c r="CD173" s="101">
        <f t="shared" si="54"/>
        <v>0</v>
      </c>
      <c r="CE173" s="101" t="str">
        <f t="shared" si="55"/>
        <v>N</v>
      </c>
      <c r="CF173" s="54"/>
      <c r="CG173" s="102"/>
      <c r="CH173" s="102"/>
      <c r="CI173" s="102"/>
      <c r="CJ173" s="102"/>
      <c r="CK173" s="102"/>
      <c r="CL173" s="102"/>
      <c r="CM173" s="102"/>
      <c r="CN173" s="102"/>
      <c r="CO173" s="102"/>
      <c r="CP173" s="102"/>
      <c r="CQ173" s="102"/>
      <c r="CR173" s="102"/>
      <c r="CS173" s="102"/>
      <c r="CT173" s="102"/>
      <c r="CU173" s="102"/>
      <c r="CV173" s="102" t="e">
        <v>#REF!</v>
      </c>
      <c r="CW173" s="102"/>
      <c r="CX173" s="102"/>
      <c r="CY173" s="102"/>
      <c r="CZ173" s="102" t="e">
        <f t="shared" si="56"/>
        <v>#REF!</v>
      </c>
      <c r="DA173" s="102" t="e">
        <f t="shared" si="57"/>
        <v>#REF!</v>
      </c>
      <c r="DB173" s="58"/>
      <c r="DC173" s="101">
        <v>1</v>
      </c>
      <c r="DD173" s="101"/>
      <c r="DE173" s="101"/>
      <c r="DF173" s="101"/>
      <c r="DG173" s="101"/>
      <c r="DH173" s="101"/>
      <c r="DI173" s="101"/>
      <c r="DJ173" s="101"/>
      <c r="DK173" s="101"/>
      <c r="DL173" s="101"/>
      <c r="DM173" s="101"/>
      <c r="DN173" s="101"/>
      <c r="DO173" s="101"/>
      <c r="DP173" s="101"/>
      <c r="DQ173" s="101"/>
      <c r="DR173" s="101"/>
      <c r="DS173" s="101"/>
      <c r="DT173" s="101"/>
      <c r="DU173" s="101"/>
      <c r="DV173" s="101">
        <f t="shared" si="58"/>
        <v>1</v>
      </c>
      <c r="DW173" s="101" t="str">
        <f t="shared" si="61"/>
        <v>Y</v>
      </c>
      <c r="DX173" s="103"/>
      <c r="DY173" s="104"/>
      <c r="DZ173" s="104"/>
      <c r="EA173" s="104"/>
      <c r="EB173" s="104"/>
      <c r="EC173" s="104"/>
      <c r="ED173" s="104"/>
      <c r="EE173" s="104" t="e">
        <v>#REF!</v>
      </c>
      <c r="EF173" s="104"/>
      <c r="EG173" s="104"/>
      <c r="EH173" s="104"/>
      <c r="EI173" s="104"/>
      <c r="EJ173" s="104"/>
      <c r="EK173" s="104" t="e">
        <f t="shared" si="59"/>
        <v>#REF!</v>
      </c>
      <c r="EL173" s="104" t="e">
        <f t="shared" si="60"/>
        <v>#REF!</v>
      </c>
      <c r="EM173" s="62"/>
      <c r="EN173" s="6"/>
      <c r="EO173" s="6"/>
      <c r="EP173" s="6"/>
      <c r="EQ173" s="6"/>
      <c r="ER173" s="6"/>
    </row>
    <row r="174" spans="1:162" ht="13.5" thickBot="1" x14ac:dyDescent="0.25">
      <c r="A174" s="1147"/>
      <c r="B174" s="1145"/>
      <c r="C174" s="1142"/>
      <c r="D174" s="1136"/>
      <c r="E174" s="1143"/>
      <c r="F174" s="1143"/>
      <c r="G174" s="1078"/>
      <c r="H174" s="1078"/>
      <c r="I174" s="1078"/>
      <c r="J174" s="1080"/>
      <c r="K174" s="1078"/>
      <c r="L174" s="176"/>
      <c r="M174" s="186"/>
      <c r="N174" s="177"/>
      <c r="O174" s="177"/>
      <c r="P174" s="177"/>
      <c r="Q174" s="172"/>
      <c r="R174" s="173"/>
      <c r="S174" s="173"/>
      <c r="T174" s="173"/>
      <c r="U174" s="173"/>
      <c r="V174" s="174"/>
      <c r="W174" s="175"/>
      <c r="X174" s="1100"/>
      <c r="Y174" s="1081"/>
      <c r="Z174" s="1081"/>
      <c r="AA174" s="1081"/>
      <c r="AB174" s="1081"/>
      <c r="AC174" s="1081"/>
      <c r="AD174" s="1081"/>
      <c r="AE174" s="1081"/>
      <c r="AF174" s="1081"/>
      <c r="AG174" s="1081"/>
      <c r="AH174" s="1081"/>
      <c r="AI174" s="1081"/>
      <c r="AJ174" s="1081"/>
      <c r="AK174" s="1082"/>
      <c r="AL174" s="1082"/>
      <c r="AM174" s="1082"/>
      <c r="AN174" s="1082"/>
      <c r="AO174" s="1081"/>
      <c r="AP174" s="1081"/>
      <c r="AQ174" s="95">
        <v>1</v>
      </c>
      <c r="AR174" s="95"/>
      <c r="AS174" s="95"/>
      <c r="AT174" s="95"/>
      <c r="AU174" s="95"/>
      <c r="AV174" s="95"/>
      <c r="AW174" s="95"/>
      <c r="AX174" s="95"/>
      <c r="AY174" s="95"/>
      <c r="AZ174" s="95"/>
      <c r="BA174" s="95"/>
      <c r="BB174" s="95"/>
      <c r="BC174" s="95"/>
      <c r="BD174" s="95"/>
      <c r="BE174" s="95">
        <f t="shared" si="48"/>
        <v>1</v>
      </c>
      <c r="BF174" s="96" t="str">
        <f t="shared" si="49"/>
        <v>Y</v>
      </c>
      <c r="BG174" s="97"/>
      <c r="BH174" s="98">
        <v>1</v>
      </c>
      <c r="BI174" s="98"/>
      <c r="BJ174" s="98"/>
      <c r="BK174" s="98"/>
      <c r="BL174" s="111"/>
      <c r="BM174" s="98">
        <f t="shared" si="50"/>
        <v>1</v>
      </c>
      <c r="BN174" s="98" t="str">
        <f t="shared" si="51"/>
        <v>Y</v>
      </c>
      <c r="BO174" s="115"/>
      <c r="BP174" s="100">
        <v>1</v>
      </c>
      <c r="BQ174" s="100"/>
      <c r="BR174" s="100"/>
      <c r="BS174" s="100">
        <f t="shared" si="52"/>
        <v>1</v>
      </c>
      <c r="BT174" s="100" t="str">
        <f t="shared" si="53"/>
        <v>Y</v>
      </c>
      <c r="BU174" s="50"/>
      <c r="BV174" s="101"/>
      <c r="BW174" s="101"/>
      <c r="BX174" s="101"/>
      <c r="BY174" s="101"/>
      <c r="BZ174" s="101"/>
      <c r="CA174" s="101"/>
      <c r="CB174" s="101"/>
      <c r="CC174" s="101"/>
      <c r="CD174" s="101">
        <f t="shared" si="54"/>
        <v>0</v>
      </c>
      <c r="CE174" s="101" t="str">
        <f t="shared" si="55"/>
        <v>N</v>
      </c>
      <c r="CF174" s="54"/>
      <c r="CG174" s="102"/>
      <c r="CH174" s="102"/>
      <c r="CI174" s="102"/>
      <c r="CJ174" s="102"/>
      <c r="CK174" s="102"/>
      <c r="CL174" s="102"/>
      <c r="CM174" s="102"/>
      <c r="CN174" s="102"/>
      <c r="CO174" s="102"/>
      <c r="CP174" s="102"/>
      <c r="CQ174" s="102"/>
      <c r="CR174" s="102"/>
      <c r="CS174" s="102"/>
      <c r="CT174" s="102"/>
      <c r="CU174" s="102"/>
      <c r="CV174" s="102" t="e">
        <v>#REF!</v>
      </c>
      <c r="CW174" s="102"/>
      <c r="CX174" s="102"/>
      <c r="CY174" s="102"/>
      <c r="CZ174" s="102" t="e">
        <f t="shared" si="56"/>
        <v>#REF!</v>
      </c>
      <c r="DA174" s="102" t="e">
        <f t="shared" si="57"/>
        <v>#REF!</v>
      </c>
      <c r="DB174" s="58"/>
      <c r="DC174" s="101">
        <v>1</v>
      </c>
      <c r="DD174" s="101"/>
      <c r="DE174" s="101"/>
      <c r="DF174" s="101"/>
      <c r="DG174" s="101"/>
      <c r="DH174" s="101"/>
      <c r="DI174" s="101"/>
      <c r="DJ174" s="101"/>
      <c r="DK174" s="101"/>
      <c r="DL174" s="101"/>
      <c r="DM174" s="101"/>
      <c r="DN174" s="101"/>
      <c r="DO174" s="101"/>
      <c r="DP174" s="101"/>
      <c r="DQ174" s="101"/>
      <c r="DR174" s="101"/>
      <c r="DS174" s="101"/>
      <c r="DT174" s="101"/>
      <c r="DU174" s="101"/>
      <c r="DV174" s="101">
        <f t="shared" si="58"/>
        <v>1</v>
      </c>
      <c r="DW174" s="101" t="str">
        <f t="shared" si="61"/>
        <v>Y</v>
      </c>
      <c r="DX174" s="103"/>
      <c r="DY174" s="104"/>
      <c r="DZ174" s="104"/>
      <c r="EA174" s="104"/>
      <c r="EB174" s="104"/>
      <c r="EC174" s="104"/>
      <c r="ED174" s="104"/>
      <c r="EE174" s="104" t="e">
        <v>#REF!</v>
      </c>
      <c r="EF174" s="104"/>
      <c r="EG174" s="104"/>
      <c r="EH174" s="104"/>
      <c r="EI174" s="104"/>
      <c r="EJ174" s="104"/>
      <c r="EK174" s="104" t="e">
        <f t="shared" si="59"/>
        <v>#REF!</v>
      </c>
      <c r="EL174" s="104" t="e">
        <f t="shared" si="60"/>
        <v>#REF!</v>
      </c>
      <c r="EM174" s="62"/>
      <c r="EN174" s="6"/>
      <c r="EO174" s="6"/>
      <c r="EP174" s="6"/>
      <c r="EQ174" s="6"/>
      <c r="ER174" s="6"/>
    </row>
    <row r="175" spans="1:162" x14ac:dyDescent="0.2">
      <c r="A175" s="1147"/>
      <c r="B175" s="1138" t="s">
        <v>73</v>
      </c>
      <c r="C175" s="1140" t="s">
        <v>72</v>
      </c>
      <c r="D175" s="1133"/>
      <c r="E175" s="1085"/>
      <c r="F175" s="1085"/>
      <c r="G175" s="1076" t="s">
        <v>349</v>
      </c>
      <c r="H175" s="1076" t="s">
        <v>276</v>
      </c>
      <c r="I175" s="1076"/>
      <c r="J175" s="1079">
        <f>Y175+AA175+AC175+AE175+AG175+AI175+AK175+AM175+AO175</f>
        <v>1</v>
      </c>
      <c r="K175" s="1076"/>
      <c r="L175" s="176"/>
      <c r="M175" s="186"/>
      <c r="N175" s="177"/>
      <c r="O175" s="177"/>
      <c r="P175" s="177"/>
      <c r="Q175" s="172"/>
      <c r="R175" s="173"/>
      <c r="S175" s="173"/>
      <c r="T175" s="173"/>
      <c r="U175" s="173"/>
      <c r="V175" s="174"/>
      <c r="W175" s="175"/>
      <c r="X175" s="1098" t="s">
        <v>365</v>
      </c>
      <c r="Y175" s="1081">
        <f>IF(HC="Y",IF(BF175="Y",Z175,0),0)</f>
        <v>0</v>
      </c>
      <c r="Z175" s="1081">
        <v>1</v>
      </c>
      <c r="AA175" s="1081">
        <f>IF(OFF="Y",IF(BN175="Y",AB175,0),0)</f>
        <v>1</v>
      </c>
      <c r="AB175" s="1081">
        <v>1</v>
      </c>
      <c r="AC175" s="1081">
        <f>IF(COURTS="Y",IF(BT175="Y",AD175,0),0)</f>
        <v>0</v>
      </c>
      <c r="AD175" s="1081">
        <v>1</v>
      </c>
      <c r="AE175" s="1081">
        <f>IF(PRISONS="Y",IF(CE175="Y",AF175,0),0)</f>
        <v>0</v>
      </c>
      <c r="AF175" s="1081">
        <v>1</v>
      </c>
      <c r="AG175" s="1081">
        <f>IF(RET="Y",IF(DA175="Y",AH175,0),0)</f>
        <v>0</v>
      </c>
      <c r="AH175" s="1081">
        <v>1</v>
      </c>
      <c r="AI175" s="1081">
        <f>IF(SCHOOLS="y",IF(DW175="y",AJ175,0),0)</f>
        <v>0</v>
      </c>
      <c r="AJ175" s="1081">
        <v>1</v>
      </c>
      <c r="AK175" s="1082">
        <f>IF(FE="y",IF(DW175="y",AL175,0),0)</f>
        <v>0</v>
      </c>
      <c r="AL175" s="1082">
        <v>1</v>
      </c>
      <c r="AM175" s="1082">
        <f>IF(HE="Y",IF(DW175="Y",AN175,0),0)</f>
        <v>0</v>
      </c>
      <c r="AN175" s="1082">
        <v>1</v>
      </c>
      <c r="AO175" s="1081">
        <f>IF(INDUSTRIAL="Y",IF(EL175="Y",AP175,0),0)</f>
        <v>0</v>
      </c>
      <c r="AP175" s="1081">
        <v>1</v>
      </c>
      <c r="AQ175" s="95">
        <v>1</v>
      </c>
      <c r="AR175" s="95"/>
      <c r="AS175" s="95"/>
      <c r="AT175" s="95"/>
      <c r="AU175" s="95"/>
      <c r="AV175" s="95"/>
      <c r="AW175" s="95"/>
      <c r="AX175" s="95"/>
      <c r="AY175" s="95"/>
      <c r="AZ175" s="95"/>
      <c r="BA175" s="95"/>
      <c r="BB175" s="95"/>
      <c r="BC175" s="95"/>
      <c r="BD175" s="95"/>
      <c r="BE175" s="95">
        <f t="shared" si="48"/>
        <v>1</v>
      </c>
      <c r="BF175" s="96" t="str">
        <f t="shared" si="49"/>
        <v>Y</v>
      </c>
      <c r="BG175" s="97"/>
      <c r="BH175" s="98">
        <v>1</v>
      </c>
      <c r="BI175" s="98"/>
      <c r="BJ175" s="98"/>
      <c r="BK175" s="98"/>
      <c r="BL175" s="111"/>
      <c r="BM175" s="98">
        <f t="shared" si="50"/>
        <v>1</v>
      </c>
      <c r="BN175" s="98" t="str">
        <f t="shared" si="51"/>
        <v>Y</v>
      </c>
      <c r="BO175" s="115"/>
      <c r="BP175" s="100">
        <v>1</v>
      </c>
      <c r="BQ175" s="100"/>
      <c r="BR175" s="100"/>
      <c r="BS175" s="100">
        <f t="shared" si="52"/>
        <v>1</v>
      </c>
      <c r="BT175" s="100" t="str">
        <f t="shared" si="53"/>
        <v>Y</v>
      </c>
      <c r="BU175" s="50"/>
      <c r="BV175" s="101">
        <v>1</v>
      </c>
      <c r="BW175" s="101"/>
      <c r="BX175" s="101"/>
      <c r="BY175" s="101"/>
      <c r="BZ175" s="101"/>
      <c r="CA175" s="101"/>
      <c r="CB175" s="101"/>
      <c r="CC175" s="101"/>
      <c r="CD175" s="101">
        <f t="shared" si="54"/>
        <v>1</v>
      </c>
      <c r="CE175" s="101" t="str">
        <f t="shared" si="55"/>
        <v>Y</v>
      </c>
      <c r="CF175" s="54"/>
      <c r="CG175" s="102">
        <v>1</v>
      </c>
      <c r="CH175" s="102"/>
      <c r="CI175" s="102"/>
      <c r="CJ175" s="102"/>
      <c r="CK175" s="102"/>
      <c r="CL175" s="102"/>
      <c r="CM175" s="102"/>
      <c r="CN175" s="102"/>
      <c r="CO175" s="102"/>
      <c r="CP175" s="102"/>
      <c r="CQ175" s="102"/>
      <c r="CR175" s="102"/>
      <c r="CS175" s="102"/>
      <c r="CT175" s="102"/>
      <c r="CU175" s="102"/>
      <c r="CV175" s="102"/>
      <c r="CW175" s="102"/>
      <c r="CX175" s="102"/>
      <c r="CY175" s="102"/>
      <c r="CZ175" s="102">
        <f t="shared" si="56"/>
        <v>1</v>
      </c>
      <c r="DA175" s="102" t="str">
        <f t="shared" si="57"/>
        <v>Y</v>
      </c>
      <c r="DB175" s="58"/>
      <c r="DC175" s="101">
        <v>1</v>
      </c>
      <c r="DD175" s="101"/>
      <c r="DE175" s="101"/>
      <c r="DF175" s="101"/>
      <c r="DG175" s="101"/>
      <c r="DH175" s="101"/>
      <c r="DI175" s="101"/>
      <c r="DJ175" s="101"/>
      <c r="DK175" s="101"/>
      <c r="DL175" s="101"/>
      <c r="DM175" s="101"/>
      <c r="DN175" s="101"/>
      <c r="DO175" s="101"/>
      <c r="DP175" s="101"/>
      <c r="DQ175" s="101"/>
      <c r="DR175" s="101"/>
      <c r="DS175" s="101"/>
      <c r="DT175" s="101"/>
      <c r="DU175" s="101"/>
      <c r="DV175" s="101">
        <f t="shared" si="58"/>
        <v>1</v>
      </c>
      <c r="DW175" s="101" t="str">
        <f t="shared" si="61"/>
        <v>Y</v>
      </c>
      <c r="DX175" s="103"/>
      <c r="DY175" s="104"/>
      <c r="DZ175" s="104"/>
      <c r="EA175" s="104"/>
      <c r="EB175" s="104"/>
      <c r="EC175" s="104"/>
      <c r="ED175" s="104"/>
      <c r="EE175" s="104" t="e">
        <v>#REF!</v>
      </c>
      <c r="EF175" s="104"/>
      <c r="EG175" s="104"/>
      <c r="EH175" s="104"/>
      <c r="EI175" s="104"/>
      <c r="EJ175" s="104"/>
      <c r="EK175" s="104" t="e">
        <f t="shared" si="59"/>
        <v>#REF!</v>
      </c>
      <c r="EL175" s="104" t="e">
        <f t="shared" si="60"/>
        <v>#REF!</v>
      </c>
      <c r="EM175" s="62"/>
      <c r="EN175" s="6"/>
      <c r="EO175" s="6"/>
      <c r="EP175" s="6"/>
      <c r="EQ175" s="6"/>
      <c r="ER175" s="6"/>
    </row>
    <row r="176" spans="1:162" x14ac:dyDescent="0.2">
      <c r="A176" s="1147"/>
      <c r="B176" s="1139"/>
      <c r="C176" s="1141"/>
      <c r="D176" s="1134"/>
      <c r="E176" s="1086"/>
      <c r="F176" s="1086"/>
      <c r="G176" s="1077"/>
      <c r="H176" s="1077"/>
      <c r="I176" s="1077"/>
      <c r="J176" s="1079"/>
      <c r="K176" s="1077"/>
      <c r="L176" s="181"/>
      <c r="M176" s="186"/>
      <c r="N176" s="171"/>
      <c r="O176" s="171"/>
      <c r="P176" s="171"/>
      <c r="Q176" s="178"/>
      <c r="R176" s="173"/>
      <c r="S176" s="173"/>
      <c r="T176" s="173"/>
      <c r="U176" s="173"/>
      <c r="V176" s="174"/>
      <c r="W176" s="175"/>
      <c r="X176" s="1099"/>
      <c r="Y176" s="1081"/>
      <c r="Z176" s="1081"/>
      <c r="AA176" s="1081"/>
      <c r="AB176" s="1081"/>
      <c r="AC176" s="1081"/>
      <c r="AD176" s="1081"/>
      <c r="AE176" s="1081"/>
      <c r="AF176" s="1081"/>
      <c r="AG176" s="1081"/>
      <c r="AH176" s="1081"/>
      <c r="AI176" s="1081"/>
      <c r="AJ176" s="1081"/>
      <c r="AK176" s="1082"/>
      <c r="AL176" s="1082"/>
      <c r="AM176" s="1082"/>
      <c r="AN176" s="1082"/>
      <c r="AO176" s="1081"/>
      <c r="AP176" s="1081"/>
      <c r="AQ176" s="95">
        <v>1</v>
      </c>
      <c r="AR176" s="95"/>
      <c r="AS176" s="95"/>
      <c r="AT176" s="95"/>
      <c r="AU176" s="95"/>
      <c r="AV176" s="95"/>
      <c r="AW176" s="95"/>
      <c r="AX176" s="95"/>
      <c r="AY176" s="95"/>
      <c r="AZ176" s="95"/>
      <c r="BA176" s="95"/>
      <c r="BB176" s="95"/>
      <c r="BC176" s="95"/>
      <c r="BD176" s="95"/>
      <c r="BE176" s="95">
        <f t="shared" si="48"/>
        <v>1</v>
      </c>
      <c r="BF176" s="96" t="str">
        <f t="shared" si="49"/>
        <v>Y</v>
      </c>
      <c r="BG176" s="97"/>
      <c r="BH176" s="98">
        <v>1</v>
      </c>
      <c r="BI176" s="98"/>
      <c r="BJ176" s="98"/>
      <c r="BK176" s="98"/>
      <c r="BL176" s="111"/>
      <c r="BM176" s="98">
        <f t="shared" si="50"/>
        <v>1</v>
      </c>
      <c r="BN176" s="98" t="str">
        <f t="shared" si="51"/>
        <v>Y</v>
      </c>
      <c r="BO176" s="115"/>
      <c r="BP176" s="100">
        <v>1</v>
      </c>
      <c r="BQ176" s="100"/>
      <c r="BR176" s="100"/>
      <c r="BS176" s="100">
        <f t="shared" si="52"/>
        <v>1</v>
      </c>
      <c r="BT176" s="100" t="str">
        <f t="shared" si="53"/>
        <v>Y</v>
      </c>
      <c r="BU176" s="50"/>
      <c r="BV176" s="101">
        <v>1</v>
      </c>
      <c r="BW176" s="101"/>
      <c r="BX176" s="101"/>
      <c r="BY176" s="101"/>
      <c r="BZ176" s="101"/>
      <c r="CA176" s="101"/>
      <c r="CB176" s="101"/>
      <c r="CC176" s="101"/>
      <c r="CD176" s="101">
        <f t="shared" si="54"/>
        <v>1</v>
      </c>
      <c r="CE176" s="101" t="str">
        <f t="shared" si="55"/>
        <v>Y</v>
      </c>
      <c r="CF176" s="54"/>
      <c r="CG176" s="102">
        <v>1</v>
      </c>
      <c r="CH176" s="102"/>
      <c r="CI176" s="102"/>
      <c r="CJ176" s="102"/>
      <c r="CK176" s="102"/>
      <c r="CL176" s="102"/>
      <c r="CM176" s="102"/>
      <c r="CN176" s="102"/>
      <c r="CO176" s="102"/>
      <c r="CP176" s="102"/>
      <c r="CQ176" s="102"/>
      <c r="CR176" s="102"/>
      <c r="CS176" s="102"/>
      <c r="CT176" s="102"/>
      <c r="CU176" s="102"/>
      <c r="CV176" s="102"/>
      <c r="CW176" s="102"/>
      <c r="CX176" s="102"/>
      <c r="CY176" s="102"/>
      <c r="CZ176" s="102">
        <f t="shared" si="56"/>
        <v>1</v>
      </c>
      <c r="DA176" s="102" t="str">
        <f t="shared" si="57"/>
        <v>Y</v>
      </c>
      <c r="DB176" s="58"/>
      <c r="DC176" s="101">
        <v>1</v>
      </c>
      <c r="DD176" s="101"/>
      <c r="DE176" s="101"/>
      <c r="DF176" s="101"/>
      <c r="DG176" s="101"/>
      <c r="DH176" s="101"/>
      <c r="DI176" s="101"/>
      <c r="DJ176" s="101"/>
      <c r="DK176" s="101"/>
      <c r="DL176" s="101"/>
      <c r="DM176" s="101"/>
      <c r="DN176" s="101"/>
      <c r="DO176" s="101"/>
      <c r="DP176" s="101"/>
      <c r="DQ176" s="101"/>
      <c r="DR176" s="101"/>
      <c r="DS176" s="101"/>
      <c r="DT176" s="101"/>
      <c r="DU176" s="101"/>
      <c r="DV176" s="101">
        <f t="shared" si="58"/>
        <v>1</v>
      </c>
      <c r="DW176" s="101" t="str">
        <f t="shared" si="61"/>
        <v>Y</v>
      </c>
      <c r="DX176" s="103"/>
      <c r="DY176" s="104"/>
      <c r="DZ176" s="104"/>
      <c r="EA176" s="104"/>
      <c r="EB176" s="104"/>
      <c r="EC176" s="104"/>
      <c r="ED176" s="104"/>
      <c r="EE176" s="104" t="e">
        <v>#REF!</v>
      </c>
      <c r="EF176" s="104"/>
      <c r="EG176" s="104"/>
      <c r="EH176" s="104"/>
      <c r="EI176" s="104"/>
      <c r="EJ176" s="104"/>
      <c r="EK176" s="104" t="e">
        <f t="shared" si="59"/>
        <v>#REF!</v>
      </c>
      <c r="EL176" s="104" t="e">
        <f t="shared" si="60"/>
        <v>#REF!</v>
      </c>
      <c r="EM176" s="62"/>
      <c r="EN176" s="6"/>
      <c r="EO176" s="6"/>
      <c r="EP176" s="6"/>
      <c r="EQ176" s="6"/>
      <c r="ER176" s="6"/>
    </row>
    <row r="177" spans="1:162" s="14" customFormat="1" ht="13.5" thickBot="1" x14ac:dyDescent="0.25">
      <c r="A177" s="1147"/>
      <c r="B177" s="1145"/>
      <c r="C177" s="1142"/>
      <c r="D177" s="1136"/>
      <c r="E177" s="1143"/>
      <c r="F177" s="1143"/>
      <c r="G177" s="1078"/>
      <c r="H177" s="1078"/>
      <c r="I177" s="1078"/>
      <c r="J177" s="1080"/>
      <c r="K177" s="1078"/>
      <c r="L177" s="176"/>
      <c r="M177" s="186"/>
      <c r="N177" s="177"/>
      <c r="O177" s="177"/>
      <c r="P177" s="177"/>
      <c r="Q177" s="172"/>
      <c r="R177" s="173"/>
      <c r="S177" s="173"/>
      <c r="T177" s="173"/>
      <c r="U177" s="173"/>
      <c r="V177" s="174"/>
      <c r="W177" s="175"/>
      <c r="X177" s="1100"/>
      <c r="Y177" s="1081"/>
      <c r="Z177" s="1081"/>
      <c r="AA177" s="1081"/>
      <c r="AB177" s="1081"/>
      <c r="AC177" s="1081"/>
      <c r="AD177" s="1081"/>
      <c r="AE177" s="1081"/>
      <c r="AF177" s="1081"/>
      <c r="AG177" s="1081"/>
      <c r="AH177" s="1081"/>
      <c r="AI177" s="1081"/>
      <c r="AJ177" s="1081"/>
      <c r="AK177" s="1082"/>
      <c r="AL177" s="1082"/>
      <c r="AM177" s="1082"/>
      <c r="AN177" s="1082"/>
      <c r="AO177" s="1081"/>
      <c r="AP177" s="1081"/>
      <c r="AQ177" s="95">
        <v>1</v>
      </c>
      <c r="AR177" s="95"/>
      <c r="AS177" s="95"/>
      <c r="AT177" s="95"/>
      <c r="AU177" s="95"/>
      <c r="AV177" s="95"/>
      <c r="AW177" s="95"/>
      <c r="AX177" s="95"/>
      <c r="AY177" s="95"/>
      <c r="AZ177" s="95"/>
      <c r="BA177" s="95"/>
      <c r="BB177" s="95"/>
      <c r="BC177" s="95"/>
      <c r="BD177" s="95"/>
      <c r="BE177" s="95">
        <f t="shared" si="48"/>
        <v>1</v>
      </c>
      <c r="BF177" s="96" t="str">
        <f t="shared" si="49"/>
        <v>Y</v>
      </c>
      <c r="BG177" s="97"/>
      <c r="BH177" s="98">
        <v>1</v>
      </c>
      <c r="BI177" s="98"/>
      <c r="BJ177" s="98"/>
      <c r="BK177" s="98"/>
      <c r="BL177" s="111"/>
      <c r="BM177" s="98">
        <f t="shared" si="50"/>
        <v>1</v>
      </c>
      <c r="BN177" s="98" t="str">
        <f t="shared" si="51"/>
        <v>Y</v>
      </c>
      <c r="BO177" s="115"/>
      <c r="BP177" s="100">
        <v>1</v>
      </c>
      <c r="BQ177" s="100"/>
      <c r="BR177" s="100"/>
      <c r="BS177" s="100">
        <f t="shared" si="52"/>
        <v>1</v>
      </c>
      <c r="BT177" s="100" t="str">
        <f t="shared" si="53"/>
        <v>Y</v>
      </c>
      <c r="BU177" s="50"/>
      <c r="BV177" s="101">
        <v>1</v>
      </c>
      <c r="BW177" s="101"/>
      <c r="BX177" s="101"/>
      <c r="BY177" s="101"/>
      <c r="BZ177" s="101"/>
      <c r="CA177" s="101"/>
      <c r="CB177" s="101"/>
      <c r="CC177" s="101"/>
      <c r="CD177" s="101">
        <f t="shared" si="54"/>
        <v>1</v>
      </c>
      <c r="CE177" s="101" t="str">
        <f t="shared" si="55"/>
        <v>Y</v>
      </c>
      <c r="CF177" s="54"/>
      <c r="CG177" s="102">
        <v>1</v>
      </c>
      <c r="CH177" s="102"/>
      <c r="CI177" s="102"/>
      <c r="CJ177" s="102"/>
      <c r="CK177" s="102"/>
      <c r="CL177" s="102"/>
      <c r="CM177" s="102"/>
      <c r="CN177" s="102"/>
      <c r="CO177" s="102"/>
      <c r="CP177" s="102"/>
      <c r="CQ177" s="102"/>
      <c r="CR177" s="102"/>
      <c r="CS177" s="102"/>
      <c r="CT177" s="102"/>
      <c r="CU177" s="102"/>
      <c r="CV177" s="102"/>
      <c r="CW177" s="102"/>
      <c r="CX177" s="102"/>
      <c r="CY177" s="102"/>
      <c r="CZ177" s="102">
        <f t="shared" si="56"/>
        <v>1</v>
      </c>
      <c r="DA177" s="102" t="str">
        <f t="shared" si="57"/>
        <v>Y</v>
      </c>
      <c r="DB177" s="58"/>
      <c r="DC177" s="101">
        <v>1</v>
      </c>
      <c r="DD177" s="101"/>
      <c r="DE177" s="101"/>
      <c r="DF177" s="101"/>
      <c r="DG177" s="101"/>
      <c r="DH177" s="101"/>
      <c r="DI177" s="101"/>
      <c r="DJ177" s="101"/>
      <c r="DK177" s="101"/>
      <c r="DL177" s="101"/>
      <c r="DM177" s="101"/>
      <c r="DN177" s="101"/>
      <c r="DO177" s="101"/>
      <c r="DP177" s="101"/>
      <c r="DQ177" s="101"/>
      <c r="DR177" s="101"/>
      <c r="DS177" s="101"/>
      <c r="DT177" s="101"/>
      <c r="DU177" s="101"/>
      <c r="DV177" s="101">
        <f t="shared" si="58"/>
        <v>1</v>
      </c>
      <c r="DW177" s="101" t="str">
        <f t="shared" si="61"/>
        <v>Y</v>
      </c>
      <c r="DX177" s="103"/>
      <c r="DY177" s="104"/>
      <c r="DZ177" s="104"/>
      <c r="EA177" s="104"/>
      <c r="EB177" s="104"/>
      <c r="EC177" s="104"/>
      <c r="ED177" s="104"/>
      <c r="EE177" s="104" t="e">
        <v>#REF!</v>
      </c>
      <c r="EF177" s="104"/>
      <c r="EG177" s="104"/>
      <c r="EH177" s="104"/>
      <c r="EI177" s="104"/>
      <c r="EJ177" s="104"/>
      <c r="EK177" s="104" t="e">
        <f t="shared" si="59"/>
        <v>#REF!</v>
      </c>
      <c r="EL177" s="104" t="e">
        <f t="shared" si="60"/>
        <v>#REF!</v>
      </c>
      <c r="EM177" s="62"/>
      <c r="EN177" s="6"/>
      <c r="EO177" s="6"/>
      <c r="EP177" s="6"/>
      <c r="EQ177" s="6"/>
      <c r="ER177" s="6"/>
      <c r="ES177" s="6"/>
      <c r="ET177" s="6"/>
      <c r="EU177" s="6"/>
      <c r="EV177" s="6"/>
      <c r="EW177" s="6"/>
      <c r="EX177" s="6"/>
      <c r="EY177" s="6"/>
      <c r="EZ177" s="6"/>
      <c r="FA177" s="6"/>
      <c r="FB177" s="6"/>
      <c r="FC177" s="6"/>
      <c r="FD177" s="6"/>
      <c r="FE177" s="6"/>
      <c r="FF177" s="6"/>
    </row>
    <row r="178" spans="1:162" x14ac:dyDescent="0.2">
      <c r="A178" s="1147"/>
      <c r="B178" s="1164" t="s">
        <v>205</v>
      </c>
      <c r="C178" s="1165" t="s">
        <v>204</v>
      </c>
      <c r="D178" s="1133" t="s">
        <v>179</v>
      </c>
      <c r="E178" s="1085"/>
      <c r="F178" s="1144"/>
      <c r="G178" s="1076" t="s">
        <v>349</v>
      </c>
      <c r="H178" s="1076" t="s">
        <v>277</v>
      </c>
      <c r="I178" s="1076"/>
      <c r="J178" s="1079">
        <f>Y178+AA178+AC178+AE178+AG178+AI178+AK178+AM178+AO178</f>
        <v>1</v>
      </c>
      <c r="K178" s="1076"/>
      <c r="L178" s="176"/>
      <c r="M178" s="186"/>
      <c r="N178" s="177"/>
      <c r="O178" s="177"/>
      <c r="P178" s="177"/>
      <c r="Q178" s="172"/>
      <c r="R178" s="173"/>
      <c r="S178" s="173"/>
      <c r="T178" s="173"/>
      <c r="U178" s="173"/>
      <c r="V178" s="174"/>
      <c r="W178" s="175"/>
      <c r="X178" s="1098" t="s">
        <v>366</v>
      </c>
      <c r="Y178" s="1081">
        <f>IF(HC="Y",IF(BF178="Y",Z178,0),0)</f>
        <v>0</v>
      </c>
      <c r="Z178" s="1081">
        <v>1</v>
      </c>
      <c r="AA178" s="1081">
        <f>IF(OFF="Y",IF(BN178="Y",AB178,0),0)</f>
        <v>1</v>
      </c>
      <c r="AB178" s="1081">
        <v>1</v>
      </c>
      <c r="AC178" s="1081">
        <f>IF(COURTS="Y",IF(BT178="Y",AD178,0),0)</f>
        <v>0</v>
      </c>
      <c r="AD178" s="1081">
        <v>1</v>
      </c>
      <c r="AE178" s="1081">
        <f>IF(PRISONS="Y",IF(CE178="Y",AF178,0),0)</f>
        <v>0</v>
      </c>
      <c r="AF178" s="1081">
        <v>1</v>
      </c>
      <c r="AG178" s="1081">
        <f>IF(RET="Y",IF(DA178="Y",AH178,0),0)</f>
        <v>0</v>
      </c>
      <c r="AH178" s="1081">
        <v>1</v>
      </c>
      <c r="AI178" s="1081">
        <f>IF(SCHOOLS="y",IF(DW178="y",AJ178,0),0)</f>
        <v>0</v>
      </c>
      <c r="AJ178" s="1081">
        <v>1</v>
      </c>
      <c r="AK178" s="1082">
        <f>IF(FE="y",IF(DW178="y",AL178,0),0)</f>
        <v>0</v>
      </c>
      <c r="AL178" s="1082">
        <v>1</v>
      </c>
      <c r="AM178" s="1082">
        <f>IF(HE="Y",IF(DW178="Y",AN178,0),0)</f>
        <v>0</v>
      </c>
      <c r="AN178" s="1082">
        <v>1</v>
      </c>
      <c r="AO178" s="1081">
        <f>IF(INDUSTRIAL="Y",IF(EL178="Y",AP178,0),0)</f>
        <v>0</v>
      </c>
      <c r="AP178" s="1081">
        <v>1</v>
      </c>
      <c r="AQ178" s="95">
        <v>1</v>
      </c>
      <c r="AR178" s="95"/>
      <c r="AS178" s="95"/>
      <c r="AT178" s="95"/>
      <c r="AU178" s="95"/>
      <c r="AV178" s="95"/>
      <c r="AW178" s="95"/>
      <c r="AX178" s="95"/>
      <c r="AY178" s="95"/>
      <c r="AZ178" s="95"/>
      <c r="BA178" s="95"/>
      <c r="BB178" s="95"/>
      <c r="BC178" s="95"/>
      <c r="BD178" s="95"/>
      <c r="BE178" s="95">
        <f t="shared" si="48"/>
        <v>1</v>
      </c>
      <c r="BF178" s="96" t="str">
        <f t="shared" si="49"/>
        <v>Y</v>
      </c>
      <c r="BG178" s="97"/>
      <c r="BH178" s="98">
        <v>1</v>
      </c>
      <c r="BI178" s="98"/>
      <c r="BJ178" s="98"/>
      <c r="BK178" s="98"/>
      <c r="BL178" s="111"/>
      <c r="BM178" s="98">
        <f t="shared" si="50"/>
        <v>1</v>
      </c>
      <c r="BN178" s="98" t="str">
        <f t="shared" si="51"/>
        <v>Y</v>
      </c>
      <c r="BO178" s="115"/>
      <c r="BP178" s="100">
        <v>1</v>
      </c>
      <c r="BQ178" s="100"/>
      <c r="BR178" s="100"/>
      <c r="BS178" s="100">
        <f t="shared" si="52"/>
        <v>1</v>
      </c>
      <c r="BT178" s="100" t="str">
        <f t="shared" si="53"/>
        <v>Y</v>
      </c>
      <c r="BU178" s="50"/>
      <c r="BV178" s="101">
        <v>1</v>
      </c>
      <c r="BW178" s="101"/>
      <c r="BX178" s="101"/>
      <c r="BY178" s="101"/>
      <c r="BZ178" s="101"/>
      <c r="CA178" s="101"/>
      <c r="CB178" s="101"/>
      <c r="CC178" s="101"/>
      <c r="CD178" s="101">
        <f t="shared" si="54"/>
        <v>1</v>
      </c>
      <c r="CE178" s="101" t="str">
        <f t="shared" si="55"/>
        <v>Y</v>
      </c>
      <c r="CF178" s="54"/>
      <c r="CG178" s="102">
        <v>1</v>
      </c>
      <c r="CH178" s="102"/>
      <c r="CI178" s="102"/>
      <c r="CJ178" s="102"/>
      <c r="CK178" s="102"/>
      <c r="CL178" s="102"/>
      <c r="CM178" s="102"/>
      <c r="CN178" s="102"/>
      <c r="CO178" s="102"/>
      <c r="CP178" s="102"/>
      <c r="CQ178" s="102"/>
      <c r="CR178" s="102"/>
      <c r="CS178" s="102"/>
      <c r="CT178" s="102"/>
      <c r="CU178" s="102"/>
      <c r="CV178" s="102"/>
      <c r="CW178" s="102"/>
      <c r="CX178" s="102"/>
      <c r="CY178" s="102"/>
      <c r="CZ178" s="102">
        <f t="shared" si="56"/>
        <v>1</v>
      </c>
      <c r="DA178" s="102" t="str">
        <f t="shared" si="57"/>
        <v>Y</v>
      </c>
      <c r="DB178" s="58"/>
      <c r="DC178" s="101">
        <v>1</v>
      </c>
      <c r="DD178" s="101"/>
      <c r="DE178" s="101"/>
      <c r="DF178" s="101"/>
      <c r="DG178" s="101"/>
      <c r="DH178" s="101"/>
      <c r="DI178" s="101"/>
      <c r="DJ178" s="101"/>
      <c r="DK178" s="101"/>
      <c r="DL178" s="101"/>
      <c r="DM178" s="101"/>
      <c r="DN178" s="101"/>
      <c r="DO178" s="101"/>
      <c r="DP178" s="101"/>
      <c r="DQ178" s="101"/>
      <c r="DR178" s="101"/>
      <c r="DS178" s="101"/>
      <c r="DT178" s="101"/>
      <c r="DU178" s="101"/>
      <c r="DV178" s="101">
        <f t="shared" si="58"/>
        <v>1</v>
      </c>
      <c r="DW178" s="101" t="str">
        <f t="shared" si="61"/>
        <v>Y</v>
      </c>
      <c r="DX178" s="103"/>
      <c r="DY178" s="104">
        <v>1</v>
      </c>
      <c r="DZ178" s="104"/>
      <c r="EA178" s="104"/>
      <c r="EB178" s="104"/>
      <c r="EC178" s="104"/>
      <c r="ED178" s="104"/>
      <c r="EE178" s="104"/>
      <c r="EF178" s="104"/>
      <c r="EG178" s="104"/>
      <c r="EH178" s="104"/>
      <c r="EI178" s="104"/>
      <c r="EJ178" s="104"/>
      <c r="EK178" s="104">
        <f t="shared" si="59"/>
        <v>1</v>
      </c>
      <c r="EL178" s="104" t="str">
        <f t="shared" si="60"/>
        <v>Y</v>
      </c>
      <c r="EM178" s="62"/>
      <c r="EN178" s="6"/>
      <c r="EO178" s="6"/>
      <c r="EP178" s="6"/>
      <c r="EQ178" s="6"/>
      <c r="ER178" s="6"/>
    </row>
    <row r="179" spans="1:162" x14ac:dyDescent="0.2">
      <c r="A179" s="1147"/>
      <c r="B179" s="1164"/>
      <c r="C179" s="1165"/>
      <c r="D179" s="1134"/>
      <c r="E179" s="1086"/>
      <c r="F179" s="1079"/>
      <c r="G179" s="1077"/>
      <c r="H179" s="1077"/>
      <c r="I179" s="1077"/>
      <c r="J179" s="1079"/>
      <c r="K179" s="1077"/>
      <c r="L179" s="181"/>
      <c r="M179" s="186"/>
      <c r="N179" s="184"/>
      <c r="O179" s="184"/>
      <c r="P179" s="184"/>
      <c r="Q179" s="185"/>
      <c r="R179" s="173"/>
      <c r="S179" s="173"/>
      <c r="T179" s="173"/>
      <c r="U179" s="173"/>
      <c r="V179" s="174"/>
      <c r="W179" s="175"/>
      <c r="X179" s="1099"/>
      <c r="Y179" s="1081"/>
      <c r="Z179" s="1081"/>
      <c r="AA179" s="1081"/>
      <c r="AB179" s="1081"/>
      <c r="AC179" s="1081"/>
      <c r="AD179" s="1081"/>
      <c r="AE179" s="1081"/>
      <c r="AF179" s="1081"/>
      <c r="AG179" s="1081"/>
      <c r="AH179" s="1081"/>
      <c r="AI179" s="1081"/>
      <c r="AJ179" s="1081"/>
      <c r="AK179" s="1082"/>
      <c r="AL179" s="1082"/>
      <c r="AM179" s="1082"/>
      <c r="AN179" s="1082"/>
      <c r="AO179" s="1081"/>
      <c r="AP179" s="1081"/>
      <c r="AQ179" s="95">
        <v>1</v>
      </c>
      <c r="AR179" s="95"/>
      <c r="AS179" s="95"/>
      <c r="AT179" s="95"/>
      <c r="AU179" s="95"/>
      <c r="AV179" s="95"/>
      <c r="AW179" s="95"/>
      <c r="AX179" s="95"/>
      <c r="AY179" s="95"/>
      <c r="AZ179" s="95"/>
      <c r="BA179" s="95"/>
      <c r="BB179" s="95"/>
      <c r="BC179" s="95"/>
      <c r="BD179" s="95"/>
      <c r="BE179" s="95">
        <f t="shared" si="48"/>
        <v>1</v>
      </c>
      <c r="BF179" s="96" t="str">
        <f t="shared" si="49"/>
        <v>Y</v>
      </c>
      <c r="BG179" s="97"/>
      <c r="BH179" s="98">
        <v>1</v>
      </c>
      <c r="BI179" s="98"/>
      <c r="BJ179" s="98"/>
      <c r="BK179" s="98"/>
      <c r="BL179" s="111"/>
      <c r="BM179" s="98">
        <f t="shared" si="50"/>
        <v>1</v>
      </c>
      <c r="BN179" s="98" t="str">
        <f t="shared" si="51"/>
        <v>Y</v>
      </c>
      <c r="BO179" s="115"/>
      <c r="BP179" s="100">
        <v>1</v>
      </c>
      <c r="BQ179" s="100"/>
      <c r="BR179" s="100"/>
      <c r="BS179" s="100">
        <f t="shared" si="52"/>
        <v>1</v>
      </c>
      <c r="BT179" s="100" t="str">
        <f t="shared" si="53"/>
        <v>Y</v>
      </c>
      <c r="BU179" s="50"/>
      <c r="BV179" s="101">
        <v>1</v>
      </c>
      <c r="BW179" s="101"/>
      <c r="BX179" s="101"/>
      <c r="BY179" s="101"/>
      <c r="BZ179" s="101"/>
      <c r="CA179" s="101"/>
      <c r="CB179" s="101"/>
      <c r="CC179" s="101"/>
      <c r="CD179" s="101">
        <f t="shared" si="54"/>
        <v>1</v>
      </c>
      <c r="CE179" s="101" t="str">
        <f t="shared" si="55"/>
        <v>Y</v>
      </c>
      <c r="CF179" s="54"/>
      <c r="CG179" s="102">
        <v>1</v>
      </c>
      <c r="CH179" s="102"/>
      <c r="CI179" s="102"/>
      <c r="CJ179" s="102"/>
      <c r="CK179" s="102"/>
      <c r="CL179" s="102"/>
      <c r="CM179" s="102"/>
      <c r="CN179" s="102"/>
      <c r="CO179" s="102"/>
      <c r="CP179" s="102"/>
      <c r="CQ179" s="102"/>
      <c r="CR179" s="102"/>
      <c r="CS179" s="102"/>
      <c r="CT179" s="102"/>
      <c r="CU179" s="102"/>
      <c r="CV179" s="102"/>
      <c r="CW179" s="102"/>
      <c r="CX179" s="102"/>
      <c r="CY179" s="102"/>
      <c r="CZ179" s="102">
        <f t="shared" si="56"/>
        <v>1</v>
      </c>
      <c r="DA179" s="102" t="str">
        <f t="shared" si="57"/>
        <v>Y</v>
      </c>
      <c r="DB179" s="58"/>
      <c r="DC179" s="101">
        <v>1</v>
      </c>
      <c r="DD179" s="101"/>
      <c r="DE179" s="101"/>
      <c r="DF179" s="101"/>
      <c r="DG179" s="101"/>
      <c r="DH179" s="101"/>
      <c r="DI179" s="101"/>
      <c r="DJ179" s="101"/>
      <c r="DK179" s="101"/>
      <c r="DL179" s="101"/>
      <c r="DM179" s="101"/>
      <c r="DN179" s="101"/>
      <c r="DO179" s="101"/>
      <c r="DP179" s="101"/>
      <c r="DQ179" s="101"/>
      <c r="DR179" s="101"/>
      <c r="DS179" s="101"/>
      <c r="DT179" s="101"/>
      <c r="DU179" s="101"/>
      <c r="DV179" s="101">
        <f t="shared" si="58"/>
        <v>1</v>
      </c>
      <c r="DW179" s="101" t="str">
        <f t="shared" si="61"/>
        <v>Y</v>
      </c>
      <c r="DX179" s="103"/>
      <c r="DY179" s="104">
        <v>1</v>
      </c>
      <c r="DZ179" s="104"/>
      <c r="EA179" s="104"/>
      <c r="EB179" s="104"/>
      <c r="EC179" s="104"/>
      <c r="ED179" s="104"/>
      <c r="EE179" s="104"/>
      <c r="EF179" s="104"/>
      <c r="EG179" s="104"/>
      <c r="EH179" s="104"/>
      <c r="EI179" s="104"/>
      <c r="EJ179" s="104"/>
      <c r="EK179" s="104">
        <f t="shared" si="59"/>
        <v>1</v>
      </c>
      <c r="EL179" s="104" t="str">
        <f t="shared" si="60"/>
        <v>Y</v>
      </c>
      <c r="EM179" s="62"/>
      <c r="EN179" s="6"/>
      <c r="EO179" s="6"/>
      <c r="EP179" s="6"/>
      <c r="EQ179" s="6"/>
      <c r="ER179" s="6"/>
    </row>
    <row r="180" spans="1:162" ht="13.5" thickBot="1" x14ac:dyDescent="0.25">
      <c r="A180" s="1147"/>
      <c r="B180" s="1164"/>
      <c r="C180" s="1165"/>
      <c r="D180" s="1136"/>
      <c r="E180" s="1143"/>
      <c r="F180" s="1080"/>
      <c r="G180" s="1078"/>
      <c r="H180" s="1078"/>
      <c r="I180" s="1078"/>
      <c r="J180" s="1080"/>
      <c r="K180" s="1078"/>
      <c r="L180" s="180"/>
      <c r="M180" s="186"/>
      <c r="N180" s="177"/>
      <c r="O180" s="177"/>
      <c r="P180" s="177"/>
      <c r="Q180" s="172"/>
      <c r="R180" s="173"/>
      <c r="S180" s="173"/>
      <c r="T180" s="173"/>
      <c r="U180" s="173"/>
      <c r="V180" s="174"/>
      <c r="W180" s="175"/>
      <c r="X180" s="1100"/>
      <c r="Y180" s="1081"/>
      <c r="Z180" s="1081"/>
      <c r="AA180" s="1081"/>
      <c r="AB180" s="1081"/>
      <c r="AC180" s="1081"/>
      <c r="AD180" s="1081"/>
      <c r="AE180" s="1081"/>
      <c r="AF180" s="1081"/>
      <c r="AG180" s="1081"/>
      <c r="AH180" s="1081"/>
      <c r="AI180" s="1081"/>
      <c r="AJ180" s="1081"/>
      <c r="AK180" s="1082"/>
      <c r="AL180" s="1082"/>
      <c r="AM180" s="1082"/>
      <c r="AN180" s="1082"/>
      <c r="AO180" s="1081"/>
      <c r="AP180" s="1081"/>
      <c r="AQ180" s="95">
        <v>1</v>
      </c>
      <c r="AR180" s="95"/>
      <c r="AS180" s="95"/>
      <c r="AT180" s="95"/>
      <c r="AU180" s="95"/>
      <c r="AV180" s="95"/>
      <c r="AW180" s="95"/>
      <c r="AX180" s="95"/>
      <c r="AY180" s="95"/>
      <c r="AZ180" s="95"/>
      <c r="BA180" s="95"/>
      <c r="BB180" s="95"/>
      <c r="BC180" s="95"/>
      <c r="BD180" s="95"/>
      <c r="BE180" s="95">
        <f t="shared" si="48"/>
        <v>1</v>
      </c>
      <c r="BF180" s="96" t="str">
        <f t="shared" si="49"/>
        <v>Y</v>
      </c>
      <c r="BG180" s="97"/>
      <c r="BH180" s="98">
        <v>1</v>
      </c>
      <c r="BI180" s="98"/>
      <c r="BJ180" s="98"/>
      <c r="BK180" s="98"/>
      <c r="BL180" s="111"/>
      <c r="BM180" s="98">
        <f t="shared" si="50"/>
        <v>1</v>
      </c>
      <c r="BN180" s="98" t="str">
        <f t="shared" si="51"/>
        <v>Y</v>
      </c>
      <c r="BO180" s="115"/>
      <c r="BP180" s="100">
        <v>1</v>
      </c>
      <c r="BQ180" s="100"/>
      <c r="BR180" s="100"/>
      <c r="BS180" s="100">
        <f t="shared" si="52"/>
        <v>1</v>
      </c>
      <c r="BT180" s="100" t="str">
        <f t="shared" si="53"/>
        <v>Y</v>
      </c>
      <c r="BU180" s="50"/>
      <c r="BV180" s="101">
        <v>1</v>
      </c>
      <c r="BW180" s="101"/>
      <c r="BX180" s="101"/>
      <c r="BY180" s="101"/>
      <c r="BZ180" s="101"/>
      <c r="CA180" s="101"/>
      <c r="CB180" s="101"/>
      <c r="CC180" s="101"/>
      <c r="CD180" s="101">
        <f t="shared" si="54"/>
        <v>1</v>
      </c>
      <c r="CE180" s="101" t="str">
        <f t="shared" si="55"/>
        <v>Y</v>
      </c>
      <c r="CF180" s="54"/>
      <c r="CG180" s="102">
        <v>1</v>
      </c>
      <c r="CH180" s="102"/>
      <c r="CI180" s="102"/>
      <c r="CJ180" s="102"/>
      <c r="CK180" s="102"/>
      <c r="CL180" s="102"/>
      <c r="CM180" s="102"/>
      <c r="CN180" s="102"/>
      <c r="CO180" s="102"/>
      <c r="CP180" s="102"/>
      <c r="CQ180" s="102"/>
      <c r="CR180" s="102"/>
      <c r="CS180" s="102"/>
      <c r="CT180" s="102"/>
      <c r="CU180" s="102"/>
      <c r="CV180" s="102"/>
      <c r="CW180" s="102"/>
      <c r="CX180" s="102"/>
      <c r="CY180" s="102"/>
      <c r="CZ180" s="102">
        <f t="shared" si="56"/>
        <v>1</v>
      </c>
      <c r="DA180" s="102" t="str">
        <f t="shared" si="57"/>
        <v>Y</v>
      </c>
      <c r="DB180" s="58"/>
      <c r="DC180" s="101">
        <v>1</v>
      </c>
      <c r="DD180" s="101"/>
      <c r="DE180" s="101"/>
      <c r="DF180" s="101"/>
      <c r="DG180" s="101"/>
      <c r="DH180" s="101"/>
      <c r="DI180" s="101"/>
      <c r="DJ180" s="101"/>
      <c r="DK180" s="101"/>
      <c r="DL180" s="101"/>
      <c r="DM180" s="101"/>
      <c r="DN180" s="101"/>
      <c r="DO180" s="101"/>
      <c r="DP180" s="101"/>
      <c r="DQ180" s="101"/>
      <c r="DR180" s="101"/>
      <c r="DS180" s="101"/>
      <c r="DT180" s="101"/>
      <c r="DU180" s="101"/>
      <c r="DV180" s="101">
        <f t="shared" si="58"/>
        <v>1</v>
      </c>
      <c r="DW180" s="101" t="str">
        <f t="shared" si="61"/>
        <v>Y</v>
      </c>
      <c r="DX180" s="103"/>
      <c r="DY180" s="104">
        <v>1</v>
      </c>
      <c r="DZ180" s="104"/>
      <c r="EA180" s="104"/>
      <c r="EB180" s="104"/>
      <c r="EC180" s="104"/>
      <c r="ED180" s="104"/>
      <c r="EE180" s="104"/>
      <c r="EF180" s="104"/>
      <c r="EG180" s="104"/>
      <c r="EH180" s="104"/>
      <c r="EI180" s="104"/>
      <c r="EJ180" s="104"/>
      <c r="EK180" s="104">
        <f t="shared" si="59"/>
        <v>1</v>
      </c>
      <c r="EL180" s="104" t="str">
        <f t="shared" si="60"/>
        <v>Y</v>
      </c>
      <c r="EM180" s="62"/>
      <c r="EN180" s="6"/>
      <c r="EO180" s="6"/>
      <c r="EP180" s="6"/>
      <c r="EQ180" s="6"/>
      <c r="ER180" s="6"/>
    </row>
    <row r="181" spans="1:162" s="14" customFormat="1" x14ac:dyDescent="0.2">
      <c r="A181" s="1147"/>
      <c r="B181" s="1138" t="s">
        <v>203</v>
      </c>
      <c r="C181" s="1140" t="s">
        <v>202</v>
      </c>
      <c r="D181" s="1133"/>
      <c r="E181" s="1085"/>
      <c r="F181" s="1085"/>
      <c r="G181" s="1076" t="s">
        <v>349</v>
      </c>
      <c r="H181" s="1076" t="s">
        <v>341</v>
      </c>
      <c r="I181" s="1076"/>
      <c r="J181" s="1079">
        <v>2</v>
      </c>
      <c r="K181" s="1076"/>
      <c r="L181" s="176"/>
      <c r="M181" s="186"/>
      <c r="N181" s="177"/>
      <c r="O181" s="177"/>
      <c r="P181" s="177"/>
      <c r="Q181" s="172"/>
      <c r="R181" s="173"/>
      <c r="S181" s="173"/>
      <c r="T181" s="173"/>
      <c r="U181" s="173"/>
      <c r="V181" s="174"/>
      <c r="W181" s="175"/>
      <c r="X181" s="1098" t="s">
        <v>341</v>
      </c>
      <c r="Y181" s="1081">
        <f>IF(HC="Y",IF(BF181="Y",Z181,0),0)</f>
        <v>0</v>
      </c>
      <c r="Z181" s="1081">
        <v>1</v>
      </c>
      <c r="AA181" s="1081">
        <f>IF(OFF="Y",IF(BN181="Y",AB181,0),0)</f>
        <v>1</v>
      </c>
      <c r="AB181" s="1081">
        <v>1</v>
      </c>
      <c r="AC181" s="1081">
        <f>IF(COURTS="Y",IF(BT181="Y",AD181,0),0)</f>
        <v>0</v>
      </c>
      <c r="AD181" s="1081">
        <v>1</v>
      </c>
      <c r="AE181" s="1081">
        <f>IF(PRISONS="Y",IF(CE181="Y",AF181,0),0)</f>
        <v>0</v>
      </c>
      <c r="AF181" s="1081">
        <v>1</v>
      </c>
      <c r="AG181" s="1081">
        <f>IF(RET="Y",IF(DA181="Y",AH181,0),0)</f>
        <v>0</v>
      </c>
      <c r="AH181" s="1081">
        <v>1</v>
      </c>
      <c r="AI181" s="1081">
        <f>IF(SCHOOLS="y",IF(DW181="y",AJ181,0),0)</f>
        <v>0</v>
      </c>
      <c r="AJ181" s="1081">
        <v>1</v>
      </c>
      <c r="AK181" s="1082">
        <f>IF(FE="y",IF(DW181="y",AL181,0),0)</f>
        <v>0</v>
      </c>
      <c r="AL181" s="1082">
        <v>1</v>
      </c>
      <c r="AM181" s="1082">
        <f>IF(HE="Y",IF(DW181="Y",AN181,0),0)</f>
        <v>0</v>
      </c>
      <c r="AN181" s="1082">
        <v>1</v>
      </c>
      <c r="AO181" s="1081">
        <f>IF(INDUSTRIAL="Y",IF(EL181="Y",AP181,0),0)</f>
        <v>0</v>
      </c>
      <c r="AP181" s="1081">
        <v>1</v>
      </c>
      <c r="AQ181" s="95">
        <v>1</v>
      </c>
      <c r="AR181" s="95"/>
      <c r="AS181" s="95"/>
      <c r="AT181" s="95"/>
      <c r="AU181" s="95"/>
      <c r="AV181" s="95"/>
      <c r="AW181" s="95"/>
      <c r="AX181" s="95"/>
      <c r="AY181" s="95"/>
      <c r="AZ181" s="95"/>
      <c r="BA181" s="95"/>
      <c r="BB181" s="95"/>
      <c r="BC181" s="95"/>
      <c r="BD181" s="95"/>
      <c r="BE181" s="95">
        <f t="shared" si="48"/>
        <v>1</v>
      </c>
      <c r="BF181" s="96" t="str">
        <f t="shared" si="49"/>
        <v>Y</v>
      </c>
      <c r="BG181" s="97"/>
      <c r="BH181" s="98">
        <v>1</v>
      </c>
      <c r="BI181" s="98"/>
      <c r="BJ181" s="98"/>
      <c r="BK181" s="98"/>
      <c r="BL181" s="111"/>
      <c r="BM181" s="98">
        <f t="shared" si="50"/>
        <v>1</v>
      </c>
      <c r="BN181" s="98" t="str">
        <f t="shared" si="51"/>
        <v>Y</v>
      </c>
      <c r="BO181" s="115"/>
      <c r="BP181" s="100">
        <v>1</v>
      </c>
      <c r="BQ181" s="100"/>
      <c r="BR181" s="100"/>
      <c r="BS181" s="100">
        <f t="shared" si="52"/>
        <v>1</v>
      </c>
      <c r="BT181" s="100" t="str">
        <f t="shared" si="53"/>
        <v>Y</v>
      </c>
      <c r="BU181" s="50"/>
      <c r="BV181" s="101">
        <v>1</v>
      </c>
      <c r="BW181" s="101"/>
      <c r="BX181" s="101"/>
      <c r="BY181" s="101"/>
      <c r="BZ181" s="101"/>
      <c r="CA181" s="101"/>
      <c r="CB181" s="101"/>
      <c r="CC181" s="101"/>
      <c r="CD181" s="101">
        <f t="shared" si="54"/>
        <v>1</v>
      </c>
      <c r="CE181" s="101" t="str">
        <f t="shared" si="55"/>
        <v>Y</v>
      </c>
      <c r="CF181" s="54"/>
      <c r="CG181" s="102">
        <v>1</v>
      </c>
      <c r="CH181" s="102"/>
      <c r="CI181" s="102"/>
      <c r="CJ181" s="102"/>
      <c r="CK181" s="102"/>
      <c r="CL181" s="102"/>
      <c r="CM181" s="102"/>
      <c r="CN181" s="102"/>
      <c r="CO181" s="102"/>
      <c r="CP181" s="102"/>
      <c r="CQ181" s="102"/>
      <c r="CR181" s="102"/>
      <c r="CS181" s="102"/>
      <c r="CT181" s="102"/>
      <c r="CU181" s="102"/>
      <c r="CV181" s="102"/>
      <c r="CW181" s="102"/>
      <c r="CX181" s="102"/>
      <c r="CY181" s="102"/>
      <c r="CZ181" s="102">
        <f t="shared" si="56"/>
        <v>1</v>
      </c>
      <c r="DA181" s="102" t="str">
        <f t="shared" si="57"/>
        <v>Y</v>
      </c>
      <c r="DB181" s="58"/>
      <c r="DC181" s="101">
        <v>1</v>
      </c>
      <c r="DD181" s="101"/>
      <c r="DE181" s="101"/>
      <c r="DF181" s="101"/>
      <c r="DG181" s="101"/>
      <c r="DH181" s="101"/>
      <c r="DI181" s="101"/>
      <c r="DJ181" s="101"/>
      <c r="DK181" s="101"/>
      <c r="DL181" s="101"/>
      <c r="DM181" s="101"/>
      <c r="DN181" s="101"/>
      <c r="DO181" s="101"/>
      <c r="DP181" s="101"/>
      <c r="DQ181" s="101"/>
      <c r="DR181" s="101"/>
      <c r="DS181" s="101"/>
      <c r="DT181" s="101"/>
      <c r="DU181" s="101"/>
      <c r="DV181" s="101">
        <f t="shared" si="58"/>
        <v>1</v>
      </c>
      <c r="DW181" s="101" t="str">
        <f t="shared" si="61"/>
        <v>Y</v>
      </c>
      <c r="DX181" s="103"/>
      <c r="DY181" s="104"/>
      <c r="DZ181" s="104"/>
      <c r="EA181" s="104"/>
      <c r="EB181" s="104"/>
      <c r="EC181" s="104"/>
      <c r="ED181" s="104"/>
      <c r="EE181" s="104" t="e">
        <v>#REF!</v>
      </c>
      <c r="EF181" s="104"/>
      <c r="EG181" s="104"/>
      <c r="EH181" s="104"/>
      <c r="EI181" s="104"/>
      <c r="EJ181" s="104"/>
      <c r="EK181" s="104" t="e">
        <f t="shared" si="59"/>
        <v>#REF!</v>
      </c>
      <c r="EL181" s="104" t="e">
        <f t="shared" si="60"/>
        <v>#REF!</v>
      </c>
      <c r="EM181" s="62"/>
      <c r="EN181" s="6"/>
      <c r="EO181" s="6"/>
      <c r="EP181" s="6"/>
      <c r="EQ181" s="6"/>
      <c r="ER181" s="6"/>
      <c r="ES181" s="6"/>
      <c r="ET181" s="6"/>
      <c r="EU181" s="6"/>
      <c r="EV181" s="6"/>
      <c r="EW181" s="6"/>
      <c r="EX181" s="6"/>
      <c r="EY181" s="6"/>
      <c r="EZ181" s="6"/>
      <c r="FA181" s="6"/>
      <c r="FB181" s="6"/>
      <c r="FC181" s="6"/>
      <c r="FD181" s="6"/>
      <c r="FE181" s="6"/>
      <c r="FF181" s="6"/>
    </row>
    <row r="182" spans="1:162" s="14" customFormat="1" x14ac:dyDescent="0.2">
      <c r="A182" s="1147"/>
      <c r="B182" s="1139"/>
      <c r="C182" s="1141"/>
      <c r="D182" s="1134"/>
      <c r="E182" s="1086"/>
      <c r="F182" s="1086"/>
      <c r="G182" s="1077"/>
      <c r="H182" s="1077"/>
      <c r="I182" s="1077"/>
      <c r="J182" s="1079"/>
      <c r="K182" s="1077"/>
      <c r="L182" s="181"/>
      <c r="M182" s="186"/>
      <c r="N182" s="171"/>
      <c r="O182" s="171"/>
      <c r="P182" s="171"/>
      <c r="Q182" s="178"/>
      <c r="R182" s="173"/>
      <c r="S182" s="173"/>
      <c r="T182" s="173"/>
      <c r="U182" s="173"/>
      <c r="V182" s="174"/>
      <c r="W182" s="175"/>
      <c r="X182" s="1099"/>
      <c r="Y182" s="1081"/>
      <c r="Z182" s="1081"/>
      <c r="AA182" s="1081"/>
      <c r="AB182" s="1081"/>
      <c r="AC182" s="1081"/>
      <c r="AD182" s="1081"/>
      <c r="AE182" s="1081"/>
      <c r="AF182" s="1081"/>
      <c r="AG182" s="1081"/>
      <c r="AH182" s="1081"/>
      <c r="AI182" s="1081"/>
      <c r="AJ182" s="1081"/>
      <c r="AK182" s="1082"/>
      <c r="AL182" s="1082"/>
      <c r="AM182" s="1082"/>
      <c r="AN182" s="1082"/>
      <c r="AO182" s="1081"/>
      <c r="AP182" s="1081"/>
      <c r="AQ182" s="95">
        <v>1</v>
      </c>
      <c r="AR182" s="95"/>
      <c r="AS182" s="95"/>
      <c r="AT182" s="95"/>
      <c r="AU182" s="95"/>
      <c r="AV182" s="95"/>
      <c r="AW182" s="95"/>
      <c r="AX182" s="95"/>
      <c r="AY182" s="95"/>
      <c r="AZ182" s="95"/>
      <c r="BA182" s="95"/>
      <c r="BB182" s="95"/>
      <c r="BC182" s="95"/>
      <c r="BD182" s="95"/>
      <c r="BE182" s="95">
        <f t="shared" si="48"/>
        <v>1</v>
      </c>
      <c r="BF182" s="96" t="str">
        <f t="shared" si="49"/>
        <v>Y</v>
      </c>
      <c r="BG182" s="97"/>
      <c r="BH182" s="98">
        <v>1</v>
      </c>
      <c r="BI182" s="98"/>
      <c r="BJ182" s="98"/>
      <c r="BK182" s="98"/>
      <c r="BL182" s="111"/>
      <c r="BM182" s="98">
        <f t="shared" si="50"/>
        <v>1</v>
      </c>
      <c r="BN182" s="98" t="str">
        <f t="shared" si="51"/>
        <v>Y</v>
      </c>
      <c r="BO182" s="115"/>
      <c r="BP182" s="100">
        <v>1</v>
      </c>
      <c r="BQ182" s="100"/>
      <c r="BR182" s="100"/>
      <c r="BS182" s="100">
        <f t="shared" si="52"/>
        <v>1</v>
      </c>
      <c r="BT182" s="100" t="str">
        <f t="shared" si="53"/>
        <v>Y</v>
      </c>
      <c r="BU182" s="50"/>
      <c r="BV182" s="101">
        <v>1</v>
      </c>
      <c r="BW182" s="101"/>
      <c r="BX182" s="101"/>
      <c r="BY182" s="101"/>
      <c r="BZ182" s="101"/>
      <c r="CA182" s="101"/>
      <c r="CB182" s="101"/>
      <c r="CC182" s="101"/>
      <c r="CD182" s="101">
        <f t="shared" si="54"/>
        <v>1</v>
      </c>
      <c r="CE182" s="101" t="str">
        <f t="shared" si="55"/>
        <v>Y</v>
      </c>
      <c r="CF182" s="54"/>
      <c r="CG182" s="102">
        <v>1</v>
      </c>
      <c r="CH182" s="102"/>
      <c r="CI182" s="102"/>
      <c r="CJ182" s="102"/>
      <c r="CK182" s="102"/>
      <c r="CL182" s="102"/>
      <c r="CM182" s="102"/>
      <c r="CN182" s="102"/>
      <c r="CO182" s="102"/>
      <c r="CP182" s="102"/>
      <c r="CQ182" s="102"/>
      <c r="CR182" s="102"/>
      <c r="CS182" s="102"/>
      <c r="CT182" s="102"/>
      <c r="CU182" s="102"/>
      <c r="CV182" s="102"/>
      <c r="CW182" s="102"/>
      <c r="CX182" s="102"/>
      <c r="CY182" s="102"/>
      <c r="CZ182" s="102">
        <f t="shared" si="56"/>
        <v>1</v>
      </c>
      <c r="DA182" s="102" t="str">
        <f t="shared" si="57"/>
        <v>Y</v>
      </c>
      <c r="DB182" s="58"/>
      <c r="DC182" s="101">
        <v>1</v>
      </c>
      <c r="DD182" s="101"/>
      <c r="DE182" s="101"/>
      <c r="DF182" s="101"/>
      <c r="DG182" s="101"/>
      <c r="DH182" s="101"/>
      <c r="DI182" s="101"/>
      <c r="DJ182" s="101"/>
      <c r="DK182" s="101"/>
      <c r="DL182" s="101"/>
      <c r="DM182" s="101"/>
      <c r="DN182" s="101"/>
      <c r="DO182" s="101"/>
      <c r="DP182" s="101"/>
      <c r="DQ182" s="101"/>
      <c r="DR182" s="101"/>
      <c r="DS182" s="101"/>
      <c r="DT182" s="101"/>
      <c r="DU182" s="101"/>
      <c r="DV182" s="101">
        <f t="shared" si="58"/>
        <v>1</v>
      </c>
      <c r="DW182" s="101" t="str">
        <f t="shared" si="61"/>
        <v>Y</v>
      </c>
      <c r="DX182" s="103"/>
      <c r="DY182" s="104"/>
      <c r="DZ182" s="104"/>
      <c r="EA182" s="104"/>
      <c r="EB182" s="104"/>
      <c r="EC182" s="104"/>
      <c r="ED182" s="104"/>
      <c r="EE182" s="104" t="e">
        <v>#REF!</v>
      </c>
      <c r="EF182" s="104"/>
      <c r="EG182" s="104"/>
      <c r="EH182" s="104"/>
      <c r="EI182" s="104"/>
      <c r="EJ182" s="104"/>
      <c r="EK182" s="104" t="e">
        <f t="shared" si="59"/>
        <v>#REF!</v>
      </c>
      <c r="EL182" s="104" t="e">
        <f t="shared" si="60"/>
        <v>#REF!</v>
      </c>
      <c r="EM182" s="62"/>
      <c r="EN182" s="6"/>
      <c r="EO182" s="6"/>
      <c r="EP182" s="6"/>
      <c r="EQ182" s="6"/>
      <c r="ER182" s="6"/>
      <c r="ES182" s="6"/>
      <c r="ET182" s="6"/>
      <c r="EU182" s="6"/>
      <c r="EV182" s="6"/>
      <c r="EW182" s="6"/>
      <c r="EX182" s="6"/>
      <c r="EY182" s="6"/>
      <c r="EZ182" s="6"/>
      <c r="FA182" s="6"/>
      <c r="FB182" s="6"/>
      <c r="FC182" s="6"/>
      <c r="FD182" s="6"/>
      <c r="FE182" s="6"/>
      <c r="FF182" s="6"/>
    </row>
    <row r="183" spans="1:162" s="14" customFormat="1" ht="13.5" thickBot="1" x14ac:dyDescent="0.25">
      <c r="A183" s="1147"/>
      <c r="B183" s="1145"/>
      <c r="C183" s="1142"/>
      <c r="D183" s="1136"/>
      <c r="E183" s="1143"/>
      <c r="F183" s="1143"/>
      <c r="G183" s="1078"/>
      <c r="H183" s="1078"/>
      <c r="I183" s="1078"/>
      <c r="J183" s="1080"/>
      <c r="K183" s="1078"/>
      <c r="L183" s="176"/>
      <c r="M183" s="186"/>
      <c r="N183" s="177"/>
      <c r="O183" s="177"/>
      <c r="P183" s="177"/>
      <c r="Q183" s="172"/>
      <c r="R183" s="173"/>
      <c r="S183" s="173"/>
      <c r="T183" s="173"/>
      <c r="U183" s="173"/>
      <c r="V183" s="174"/>
      <c r="W183" s="175"/>
      <c r="X183" s="1100"/>
      <c r="Y183" s="1081"/>
      <c r="Z183" s="1081"/>
      <c r="AA183" s="1081"/>
      <c r="AB183" s="1081"/>
      <c r="AC183" s="1081"/>
      <c r="AD183" s="1081"/>
      <c r="AE183" s="1081"/>
      <c r="AF183" s="1081"/>
      <c r="AG183" s="1081"/>
      <c r="AH183" s="1081"/>
      <c r="AI183" s="1081"/>
      <c r="AJ183" s="1081"/>
      <c r="AK183" s="1082"/>
      <c r="AL183" s="1082"/>
      <c r="AM183" s="1082"/>
      <c r="AN183" s="1082"/>
      <c r="AO183" s="1081"/>
      <c r="AP183" s="1081"/>
      <c r="AQ183" s="95">
        <v>1</v>
      </c>
      <c r="AR183" s="95"/>
      <c r="AS183" s="95"/>
      <c r="AT183" s="95"/>
      <c r="AU183" s="95"/>
      <c r="AV183" s="95"/>
      <c r="AW183" s="95"/>
      <c r="AX183" s="95"/>
      <c r="AY183" s="95"/>
      <c r="AZ183" s="95"/>
      <c r="BA183" s="95"/>
      <c r="BB183" s="95"/>
      <c r="BC183" s="95"/>
      <c r="BD183" s="95"/>
      <c r="BE183" s="95">
        <f t="shared" si="48"/>
        <v>1</v>
      </c>
      <c r="BF183" s="96" t="str">
        <f t="shared" si="49"/>
        <v>Y</v>
      </c>
      <c r="BG183" s="97"/>
      <c r="BH183" s="98">
        <v>1</v>
      </c>
      <c r="BI183" s="98"/>
      <c r="BJ183" s="98"/>
      <c r="BK183" s="98"/>
      <c r="BL183" s="111"/>
      <c r="BM183" s="98">
        <f t="shared" si="50"/>
        <v>1</v>
      </c>
      <c r="BN183" s="98" t="str">
        <f t="shared" si="51"/>
        <v>Y</v>
      </c>
      <c r="BO183" s="115"/>
      <c r="BP183" s="100">
        <v>1</v>
      </c>
      <c r="BQ183" s="100"/>
      <c r="BR183" s="100"/>
      <c r="BS183" s="100">
        <f t="shared" si="52"/>
        <v>1</v>
      </c>
      <c r="BT183" s="100" t="str">
        <f t="shared" si="53"/>
        <v>Y</v>
      </c>
      <c r="BU183" s="50"/>
      <c r="BV183" s="101">
        <v>1</v>
      </c>
      <c r="BW183" s="101"/>
      <c r="BX183" s="101"/>
      <c r="BY183" s="101"/>
      <c r="BZ183" s="101"/>
      <c r="CA183" s="101"/>
      <c r="CB183" s="101"/>
      <c r="CC183" s="101"/>
      <c r="CD183" s="101">
        <f t="shared" si="54"/>
        <v>1</v>
      </c>
      <c r="CE183" s="101" t="str">
        <f t="shared" si="55"/>
        <v>Y</v>
      </c>
      <c r="CF183" s="54"/>
      <c r="CG183" s="102">
        <v>1</v>
      </c>
      <c r="CH183" s="102"/>
      <c r="CI183" s="102"/>
      <c r="CJ183" s="102"/>
      <c r="CK183" s="102"/>
      <c r="CL183" s="102"/>
      <c r="CM183" s="102"/>
      <c r="CN183" s="102"/>
      <c r="CO183" s="102"/>
      <c r="CP183" s="102"/>
      <c r="CQ183" s="102"/>
      <c r="CR183" s="102"/>
      <c r="CS183" s="102"/>
      <c r="CT183" s="102"/>
      <c r="CU183" s="102"/>
      <c r="CV183" s="102"/>
      <c r="CW183" s="102"/>
      <c r="CX183" s="102"/>
      <c r="CY183" s="102"/>
      <c r="CZ183" s="102">
        <f t="shared" si="56"/>
        <v>1</v>
      </c>
      <c r="DA183" s="102" t="str">
        <f t="shared" si="57"/>
        <v>Y</v>
      </c>
      <c r="DB183" s="58"/>
      <c r="DC183" s="101">
        <v>1</v>
      </c>
      <c r="DD183" s="101"/>
      <c r="DE183" s="101"/>
      <c r="DF183" s="101"/>
      <c r="DG183" s="101"/>
      <c r="DH183" s="101"/>
      <c r="DI183" s="101"/>
      <c r="DJ183" s="101"/>
      <c r="DK183" s="101"/>
      <c r="DL183" s="101"/>
      <c r="DM183" s="101"/>
      <c r="DN183" s="101"/>
      <c r="DO183" s="101"/>
      <c r="DP183" s="101"/>
      <c r="DQ183" s="101"/>
      <c r="DR183" s="101"/>
      <c r="DS183" s="101"/>
      <c r="DT183" s="101"/>
      <c r="DU183" s="101"/>
      <c r="DV183" s="101">
        <f t="shared" si="58"/>
        <v>1</v>
      </c>
      <c r="DW183" s="101" t="str">
        <f t="shared" si="61"/>
        <v>Y</v>
      </c>
      <c r="DX183" s="103"/>
      <c r="DY183" s="104"/>
      <c r="DZ183" s="104"/>
      <c r="EA183" s="104"/>
      <c r="EB183" s="104"/>
      <c r="EC183" s="104"/>
      <c r="ED183" s="104"/>
      <c r="EE183" s="104" t="e">
        <v>#REF!</v>
      </c>
      <c r="EF183" s="104"/>
      <c r="EG183" s="104"/>
      <c r="EH183" s="104"/>
      <c r="EI183" s="104"/>
      <c r="EJ183" s="104"/>
      <c r="EK183" s="104" t="e">
        <f t="shared" si="59"/>
        <v>#REF!</v>
      </c>
      <c r="EL183" s="104" t="e">
        <f t="shared" si="60"/>
        <v>#REF!</v>
      </c>
      <c r="EM183" s="62"/>
      <c r="EN183" s="6"/>
      <c r="EO183" s="6"/>
      <c r="EP183" s="6"/>
      <c r="EQ183" s="6"/>
      <c r="ER183" s="6"/>
      <c r="ES183" s="6"/>
      <c r="ET183" s="6"/>
      <c r="EU183" s="6"/>
      <c r="EV183" s="6"/>
      <c r="EW183" s="6"/>
      <c r="EX183" s="6"/>
      <c r="EY183" s="6"/>
      <c r="EZ183" s="6"/>
      <c r="FA183" s="6"/>
      <c r="FB183" s="6"/>
      <c r="FC183" s="6"/>
      <c r="FD183" s="6"/>
      <c r="FE183" s="6"/>
      <c r="FF183" s="6"/>
    </row>
    <row r="184" spans="1:162" s="14" customFormat="1" x14ac:dyDescent="0.2">
      <c r="A184" s="1147"/>
      <c r="B184" s="1138" t="s">
        <v>201</v>
      </c>
      <c r="C184" s="1140" t="s">
        <v>200</v>
      </c>
      <c r="D184" s="1133"/>
      <c r="E184" s="1085"/>
      <c r="F184" s="1085"/>
      <c r="G184" s="1076" t="s">
        <v>349</v>
      </c>
      <c r="H184" s="1076" t="s">
        <v>324</v>
      </c>
      <c r="I184" s="1076"/>
      <c r="J184" s="1079">
        <f>Y184+AA184+AC184+AE184+AG184+AI184+AK184+AM184+AO184</f>
        <v>1</v>
      </c>
      <c r="K184" s="1076"/>
      <c r="L184" s="176"/>
      <c r="M184" s="186"/>
      <c r="N184" s="177"/>
      <c r="O184" s="177"/>
      <c r="P184" s="177"/>
      <c r="Q184" s="172"/>
      <c r="R184" s="173"/>
      <c r="S184" s="173"/>
      <c r="T184" s="173"/>
      <c r="U184" s="173"/>
      <c r="V184" s="174"/>
      <c r="W184" s="175"/>
      <c r="X184" s="1098" t="s">
        <v>350</v>
      </c>
      <c r="Y184" s="1081">
        <f>IF(HC="Y",IF(BF184="Y",Z184,0),0)</f>
        <v>0</v>
      </c>
      <c r="Z184" s="1081">
        <v>2</v>
      </c>
      <c r="AA184" s="1081">
        <f>IF(OFF="Y",IF(BN184="Y",AB184,0),0)</f>
        <v>1</v>
      </c>
      <c r="AB184" s="1081">
        <v>1</v>
      </c>
      <c r="AC184" s="1081">
        <f>IF(COURTS="Y",IF(BT184="Y",AD184,0),0)</f>
        <v>0</v>
      </c>
      <c r="AD184" s="1081">
        <v>2</v>
      </c>
      <c r="AE184" s="1081">
        <f>IF(PRISONS="Y",IF(CE184="Y",AF184,0),0)</f>
        <v>0</v>
      </c>
      <c r="AF184" s="1081">
        <v>2</v>
      </c>
      <c r="AG184" s="1081">
        <f>IF(RET="Y",IF(DA184="Y",AH184,0),0)</f>
        <v>0</v>
      </c>
      <c r="AH184" s="1081">
        <v>1</v>
      </c>
      <c r="AI184" s="1081">
        <f>IF(SCHOOLS="y",IF(DW184="y",AJ184,0),0)</f>
        <v>0</v>
      </c>
      <c r="AJ184" s="1081">
        <v>3</v>
      </c>
      <c r="AK184" s="1082">
        <f>IF(FE="y",IF(DW184="y",AL184,0),0)</f>
        <v>0</v>
      </c>
      <c r="AL184" s="1082">
        <v>2</v>
      </c>
      <c r="AM184" s="1082">
        <f>IF(HE="Y",IF(DW184="Y",AN184,0),0)</f>
        <v>0</v>
      </c>
      <c r="AN184" s="1082">
        <v>2</v>
      </c>
      <c r="AO184" s="1081">
        <f>IF(INDUSTRIAL="Y",IF(EL184="Y",AP184,0),0)</f>
        <v>0</v>
      </c>
      <c r="AP184" s="1081">
        <v>1</v>
      </c>
      <c r="AQ184" s="95">
        <v>1</v>
      </c>
      <c r="AR184" s="95"/>
      <c r="AS184" s="95"/>
      <c r="AT184" s="95"/>
      <c r="AU184" s="95"/>
      <c r="AV184" s="95"/>
      <c r="AW184" s="95"/>
      <c r="AX184" s="95"/>
      <c r="AY184" s="95"/>
      <c r="AZ184" s="95"/>
      <c r="BA184" s="95"/>
      <c r="BB184" s="95"/>
      <c r="BC184" s="95"/>
      <c r="BD184" s="95"/>
      <c r="BE184" s="95">
        <f t="shared" si="48"/>
        <v>1</v>
      </c>
      <c r="BF184" s="96" t="str">
        <f t="shared" si="49"/>
        <v>Y</v>
      </c>
      <c r="BG184" s="97"/>
      <c r="BH184" s="98">
        <v>1</v>
      </c>
      <c r="BI184" s="98"/>
      <c r="BJ184" s="98"/>
      <c r="BK184" s="98"/>
      <c r="BL184" s="111"/>
      <c r="BM184" s="98">
        <f t="shared" si="50"/>
        <v>1</v>
      </c>
      <c r="BN184" s="98" t="str">
        <f t="shared" si="51"/>
        <v>Y</v>
      </c>
      <c r="BO184" s="115"/>
      <c r="BP184" s="100">
        <v>1</v>
      </c>
      <c r="BQ184" s="100"/>
      <c r="BR184" s="100"/>
      <c r="BS184" s="100">
        <f t="shared" si="52"/>
        <v>1</v>
      </c>
      <c r="BT184" s="100" t="str">
        <f t="shared" si="53"/>
        <v>Y</v>
      </c>
      <c r="BU184" s="50"/>
      <c r="BV184" s="101">
        <v>1</v>
      </c>
      <c r="BW184" s="101"/>
      <c r="BX184" s="101"/>
      <c r="BY184" s="101"/>
      <c r="BZ184" s="101"/>
      <c r="CA184" s="101"/>
      <c r="CB184" s="101"/>
      <c r="CC184" s="101"/>
      <c r="CD184" s="101">
        <f t="shared" si="54"/>
        <v>1</v>
      </c>
      <c r="CE184" s="101" t="str">
        <f t="shared" si="55"/>
        <v>Y</v>
      </c>
      <c r="CF184" s="54"/>
      <c r="CG184" s="102"/>
      <c r="CH184" s="102"/>
      <c r="CI184" s="102"/>
      <c r="CJ184" s="102"/>
      <c r="CK184" s="102"/>
      <c r="CL184" s="102"/>
      <c r="CM184" s="102"/>
      <c r="CN184" s="102"/>
      <c r="CO184" s="102"/>
      <c r="CP184" s="102"/>
      <c r="CQ184" s="102"/>
      <c r="CR184" s="102"/>
      <c r="CS184" s="102"/>
      <c r="CT184" s="102"/>
      <c r="CU184" s="102"/>
      <c r="CV184" s="102" t="e">
        <v>#REF!</v>
      </c>
      <c r="CW184" s="102"/>
      <c r="CX184" s="102"/>
      <c r="CY184" s="102"/>
      <c r="CZ184" s="102" t="e">
        <f t="shared" si="56"/>
        <v>#REF!</v>
      </c>
      <c r="DA184" s="102" t="e">
        <f t="shared" si="57"/>
        <v>#REF!</v>
      </c>
      <c r="DB184" s="58"/>
      <c r="DC184" s="101">
        <v>1</v>
      </c>
      <c r="DD184" s="101"/>
      <c r="DE184" s="101"/>
      <c r="DF184" s="101"/>
      <c r="DG184" s="101"/>
      <c r="DH184" s="101"/>
      <c r="DI184" s="101"/>
      <c r="DJ184" s="101"/>
      <c r="DK184" s="101"/>
      <c r="DL184" s="101"/>
      <c r="DM184" s="101"/>
      <c r="DN184" s="101"/>
      <c r="DO184" s="101"/>
      <c r="DP184" s="101"/>
      <c r="DQ184" s="101"/>
      <c r="DR184" s="101"/>
      <c r="DS184" s="101"/>
      <c r="DT184" s="101"/>
      <c r="DU184" s="101"/>
      <c r="DV184" s="101">
        <f t="shared" si="58"/>
        <v>1</v>
      </c>
      <c r="DW184" s="101" t="str">
        <f t="shared" si="61"/>
        <v>Y</v>
      </c>
      <c r="DX184" s="103"/>
      <c r="DY184" s="104"/>
      <c r="DZ184" s="104"/>
      <c r="EA184" s="104"/>
      <c r="EB184" s="104"/>
      <c r="EC184" s="104"/>
      <c r="ED184" s="104"/>
      <c r="EE184" s="104" t="e">
        <v>#REF!</v>
      </c>
      <c r="EF184" s="104"/>
      <c r="EG184" s="104"/>
      <c r="EH184" s="104"/>
      <c r="EI184" s="104"/>
      <c r="EJ184" s="104"/>
      <c r="EK184" s="104" t="e">
        <f t="shared" si="59"/>
        <v>#REF!</v>
      </c>
      <c r="EL184" s="104" t="e">
        <f t="shared" si="60"/>
        <v>#REF!</v>
      </c>
      <c r="EM184" s="62"/>
      <c r="EN184" s="6"/>
      <c r="EO184" s="6"/>
      <c r="EP184" s="6"/>
      <c r="EQ184" s="6"/>
      <c r="ER184" s="6"/>
      <c r="ES184" s="6"/>
      <c r="ET184" s="6"/>
      <c r="EU184" s="6"/>
      <c r="EV184" s="6"/>
      <c r="EW184" s="6"/>
      <c r="EX184" s="6"/>
      <c r="EY184" s="6"/>
      <c r="EZ184" s="6"/>
      <c r="FA184" s="6"/>
      <c r="FB184" s="6"/>
      <c r="FC184" s="6"/>
      <c r="FD184" s="6"/>
      <c r="FE184" s="6"/>
      <c r="FF184" s="6"/>
    </row>
    <row r="185" spans="1:162" s="14" customFormat="1" x14ac:dyDescent="0.2">
      <c r="A185" s="1147"/>
      <c r="B185" s="1139"/>
      <c r="C185" s="1141"/>
      <c r="D185" s="1134"/>
      <c r="E185" s="1086"/>
      <c r="F185" s="1086"/>
      <c r="G185" s="1077"/>
      <c r="H185" s="1077"/>
      <c r="I185" s="1077"/>
      <c r="J185" s="1079"/>
      <c r="K185" s="1077"/>
      <c r="L185" s="181"/>
      <c r="M185" s="186"/>
      <c r="N185" s="171"/>
      <c r="O185" s="171"/>
      <c r="P185" s="171"/>
      <c r="Q185" s="178"/>
      <c r="R185" s="173"/>
      <c r="S185" s="173"/>
      <c r="T185" s="173"/>
      <c r="U185" s="173"/>
      <c r="V185" s="174"/>
      <c r="W185" s="175"/>
      <c r="X185" s="1099"/>
      <c r="Y185" s="1081"/>
      <c r="Z185" s="1081"/>
      <c r="AA185" s="1081"/>
      <c r="AB185" s="1081"/>
      <c r="AC185" s="1081"/>
      <c r="AD185" s="1081"/>
      <c r="AE185" s="1081"/>
      <c r="AF185" s="1081"/>
      <c r="AG185" s="1081"/>
      <c r="AH185" s="1081"/>
      <c r="AI185" s="1081"/>
      <c r="AJ185" s="1081"/>
      <c r="AK185" s="1082"/>
      <c r="AL185" s="1082"/>
      <c r="AM185" s="1082"/>
      <c r="AN185" s="1082"/>
      <c r="AO185" s="1081"/>
      <c r="AP185" s="1081"/>
      <c r="AQ185" s="95">
        <v>1</v>
      </c>
      <c r="AR185" s="95"/>
      <c r="AS185" s="95"/>
      <c r="AT185" s="95"/>
      <c r="AU185" s="95"/>
      <c r="AV185" s="95"/>
      <c r="AW185" s="95"/>
      <c r="AX185" s="95"/>
      <c r="AY185" s="95"/>
      <c r="AZ185" s="95"/>
      <c r="BA185" s="95"/>
      <c r="BB185" s="95"/>
      <c r="BC185" s="95"/>
      <c r="BD185" s="95"/>
      <c r="BE185" s="95">
        <f t="shared" si="48"/>
        <v>1</v>
      </c>
      <c r="BF185" s="96" t="str">
        <f t="shared" si="49"/>
        <v>Y</v>
      </c>
      <c r="BG185" s="97"/>
      <c r="BH185" s="98">
        <v>1</v>
      </c>
      <c r="BI185" s="98"/>
      <c r="BJ185" s="98"/>
      <c r="BK185" s="98"/>
      <c r="BL185" s="111"/>
      <c r="BM185" s="98">
        <f t="shared" si="50"/>
        <v>1</v>
      </c>
      <c r="BN185" s="98" t="str">
        <f t="shared" si="51"/>
        <v>Y</v>
      </c>
      <c r="BO185" s="115"/>
      <c r="BP185" s="100">
        <v>1</v>
      </c>
      <c r="BQ185" s="100"/>
      <c r="BR185" s="100"/>
      <c r="BS185" s="100">
        <f t="shared" si="52"/>
        <v>1</v>
      </c>
      <c r="BT185" s="100" t="str">
        <f t="shared" si="53"/>
        <v>Y</v>
      </c>
      <c r="BU185" s="50"/>
      <c r="BV185" s="101">
        <v>1</v>
      </c>
      <c r="BW185" s="101"/>
      <c r="BX185" s="101"/>
      <c r="BY185" s="101"/>
      <c r="BZ185" s="101"/>
      <c r="CA185" s="101"/>
      <c r="CB185" s="101"/>
      <c r="CC185" s="101"/>
      <c r="CD185" s="101">
        <f t="shared" si="54"/>
        <v>1</v>
      </c>
      <c r="CE185" s="101" t="str">
        <f t="shared" si="55"/>
        <v>Y</v>
      </c>
      <c r="CF185" s="54"/>
      <c r="CG185" s="102"/>
      <c r="CH185" s="102"/>
      <c r="CI185" s="102"/>
      <c r="CJ185" s="102"/>
      <c r="CK185" s="102"/>
      <c r="CL185" s="102"/>
      <c r="CM185" s="102"/>
      <c r="CN185" s="102"/>
      <c r="CO185" s="102"/>
      <c r="CP185" s="102"/>
      <c r="CQ185" s="102"/>
      <c r="CR185" s="102"/>
      <c r="CS185" s="102"/>
      <c r="CT185" s="102"/>
      <c r="CU185" s="102"/>
      <c r="CV185" s="102" t="e">
        <v>#REF!</v>
      </c>
      <c r="CW185" s="102"/>
      <c r="CX185" s="102"/>
      <c r="CY185" s="102"/>
      <c r="CZ185" s="102" t="e">
        <f t="shared" si="56"/>
        <v>#REF!</v>
      </c>
      <c r="DA185" s="102" t="e">
        <f t="shared" si="57"/>
        <v>#REF!</v>
      </c>
      <c r="DB185" s="58"/>
      <c r="DC185" s="101">
        <v>1</v>
      </c>
      <c r="DD185" s="101"/>
      <c r="DE185" s="101"/>
      <c r="DF185" s="101"/>
      <c r="DG185" s="101"/>
      <c r="DH185" s="101"/>
      <c r="DI185" s="101"/>
      <c r="DJ185" s="101"/>
      <c r="DK185" s="101"/>
      <c r="DL185" s="101"/>
      <c r="DM185" s="101"/>
      <c r="DN185" s="101"/>
      <c r="DO185" s="101"/>
      <c r="DP185" s="101"/>
      <c r="DQ185" s="101"/>
      <c r="DR185" s="101"/>
      <c r="DS185" s="101"/>
      <c r="DT185" s="101"/>
      <c r="DU185" s="101"/>
      <c r="DV185" s="101">
        <f t="shared" si="58"/>
        <v>1</v>
      </c>
      <c r="DW185" s="101" t="str">
        <f t="shared" si="61"/>
        <v>Y</v>
      </c>
      <c r="DX185" s="103"/>
      <c r="DY185" s="104"/>
      <c r="DZ185" s="104"/>
      <c r="EA185" s="104"/>
      <c r="EB185" s="104"/>
      <c r="EC185" s="104"/>
      <c r="ED185" s="104"/>
      <c r="EE185" s="104" t="e">
        <v>#REF!</v>
      </c>
      <c r="EF185" s="104"/>
      <c r="EG185" s="104"/>
      <c r="EH185" s="104"/>
      <c r="EI185" s="104"/>
      <c r="EJ185" s="104"/>
      <c r="EK185" s="104" t="e">
        <f t="shared" si="59"/>
        <v>#REF!</v>
      </c>
      <c r="EL185" s="104" t="e">
        <f t="shared" si="60"/>
        <v>#REF!</v>
      </c>
      <c r="EM185" s="62"/>
      <c r="EN185" s="6"/>
      <c r="EO185" s="6"/>
      <c r="EP185" s="6"/>
      <c r="EQ185" s="6"/>
      <c r="ER185" s="6"/>
      <c r="ES185" s="6"/>
      <c r="ET185" s="6"/>
      <c r="EU185" s="6"/>
      <c r="EV185" s="6"/>
      <c r="EW185" s="6"/>
      <c r="EX185" s="6"/>
      <c r="EY185" s="6"/>
      <c r="EZ185" s="6"/>
      <c r="FA185" s="6"/>
      <c r="FB185" s="6"/>
      <c r="FC185" s="6"/>
      <c r="FD185" s="6"/>
      <c r="FE185" s="6"/>
      <c r="FF185" s="6"/>
    </row>
    <row r="186" spans="1:162" ht="13.5" thickBot="1" x14ac:dyDescent="0.25">
      <c r="A186" s="1148"/>
      <c r="B186" s="1145"/>
      <c r="C186" s="1142"/>
      <c r="D186" s="1136"/>
      <c r="E186" s="1143"/>
      <c r="F186" s="1143"/>
      <c r="G186" s="1078"/>
      <c r="H186" s="1078"/>
      <c r="I186" s="1078"/>
      <c r="J186" s="1080"/>
      <c r="K186" s="1078"/>
      <c r="L186" s="176"/>
      <c r="M186" s="186"/>
      <c r="N186" s="177"/>
      <c r="O186" s="177"/>
      <c r="P186" s="177"/>
      <c r="Q186" s="172"/>
      <c r="R186" s="173"/>
      <c r="S186" s="173"/>
      <c r="T186" s="173"/>
      <c r="U186" s="173"/>
      <c r="V186" s="174"/>
      <c r="W186" s="175"/>
      <c r="X186" s="1100"/>
      <c r="Y186" s="1081"/>
      <c r="Z186" s="1081"/>
      <c r="AA186" s="1081"/>
      <c r="AB186" s="1081"/>
      <c r="AC186" s="1081"/>
      <c r="AD186" s="1081"/>
      <c r="AE186" s="1081"/>
      <c r="AF186" s="1081"/>
      <c r="AG186" s="1081"/>
      <c r="AH186" s="1081"/>
      <c r="AI186" s="1081"/>
      <c r="AJ186" s="1081"/>
      <c r="AK186" s="1082"/>
      <c r="AL186" s="1082"/>
      <c r="AM186" s="1082"/>
      <c r="AN186" s="1082"/>
      <c r="AO186" s="1081"/>
      <c r="AP186" s="1081"/>
      <c r="AQ186" s="95">
        <v>1</v>
      </c>
      <c r="AR186" s="95"/>
      <c r="AS186" s="95"/>
      <c r="AT186" s="95"/>
      <c r="AU186" s="95"/>
      <c r="AV186" s="95"/>
      <c r="AW186" s="95"/>
      <c r="AX186" s="95"/>
      <c r="AY186" s="95"/>
      <c r="AZ186" s="95"/>
      <c r="BA186" s="95"/>
      <c r="BB186" s="95"/>
      <c r="BC186" s="95"/>
      <c r="BD186" s="95"/>
      <c r="BE186" s="95">
        <f t="shared" si="48"/>
        <v>1</v>
      </c>
      <c r="BF186" s="96" t="str">
        <f t="shared" si="49"/>
        <v>Y</v>
      </c>
      <c r="BG186" s="97"/>
      <c r="BH186" s="98">
        <v>1</v>
      </c>
      <c r="BI186" s="98"/>
      <c r="BJ186" s="98"/>
      <c r="BK186" s="98"/>
      <c r="BL186" s="111"/>
      <c r="BM186" s="98">
        <f t="shared" si="50"/>
        <v>1</v>
      </c>
      <c r="BN186" s="98" t="str">
        <f t="shared" si="51"/>
        <v>Y</v>
      </c>
      <c r="BO186" s="115"/>
      <c r="BP186" s="100">
        <v>1</v>
      </c>
      <c r="BQ186" s="100"/>
      <c r="BR186" s="100"/>
      <c r="BS186" s="100">
        <f t="shared" si="52"/>
        <v>1</v>
      </c>
      <c r="BT186" s="100" t="str">
        <f t="shared" si="53"/>
        <v>Y</v>
      </c>
      <c r="BU186" s="50"/>
      <c r="BV186" s="101">
        <v>1</v>
      </c>
      <c r="BW186" s="101"/>
      <c r="BX186" s="101"/>
      <c r="BY186" s="101"/>
      <c r="BZ186" s="101"/>
      <c r="CA186" s="101"/>
      <c r="CB186" s="101"/>
      <c r="CC186" s="101"/>
      <c r="CD186" s="101">
        <f t="shared" si="54"/>
        <v>1</v>
      </c>
      <c r="CE186" s="101" t="str">
        <f t="shared" si="55"/>
        <v>Y</v>
      </c>
      <c r="CF186" s="54"/>
      <c r="CG186" s="102"/>
      <c r="CH186" s="102"/>
      <c r="CI186" s="102"/>
      <c r="CJ186" s="102"/>
      <c r="CK186" s="102"/>
      <c r="CL186" s="102"/>
      <c r="CM186" s="102"/>
      <c r="CN186" s="102"/>
      <c r="CO186" s="102"/>
      <c r="CP186" s="102"/>
      <c r="CQ186" s="102"/>
      <c r="CR186" s="102"/>
      <c r="CS186" s="102"/>
      <c r="CT186" s="102"/>
      <c r="CU186" s="102"/>
      <c r="CV186" s="102" t="e">
        <v>#REF!</v>
      </c>
      <c r="CW186" s="102"/>
      <c r="CX186" s="102"/>
      <c r="CY186" s="102"/>
      <c r="CZ186" s="102" t="e">
        <f t="shared" si="56"/>
        <v>#REF!</v>
      </c>
      <c r="DA186" s="102" t="e">
        <f t="shared" si="57"/>
        <v>#REF!</v>
      </c>
      <c r="DB186" s="58"/>
      <c r="DC186" s="101">
        <v>1</v>
      </c>
      <c r="DD186" s="101"/>
      <c r="DE186" s="101"/>
      <c r="DF186" s="101"/>
      <c r="DG186" s="101"/>
      <c r="DH186" s="101"/>
      <c r="DI186" s="101"/>
      <c r="DJ186" s="101"/>
      <c r="DK186" s="101"/>
      <c r="DL186" s="101"/>
      <c r="DM186" s="101"/>
      <c r="DN186" s="101"/>
      <c r="DO186" s="101"/>
      <c r="DP186" s="101"/>
      <c r="DQ186" s="101"/>
      <c r="DR186" s="101"/>
      <c r="DS186" s="101"/>
      <c r="DT186" s="101"/>
      <c r="DU186" s="101"/>
      <c r="DV186" s="101">
        <f t="shared" si="58"/>
        <v>1</v>
      </c>
      <c r="DW186" s="101" t="str">
        <f t="shared" si="61"/>
        <v>Y</v>
      </c>
      <c r="DX186" s="103"/>
      <c r="DY186" s="104"/>
      <c r="DZ186" s="104"/>
      <c r="EA186" s="104"/>
      <c r="EB186" s="104"/>
      <c r="EC186" s="104"/>
      <c r="ED186" s="104"/>
      <c r="EE186" s="104" t="e">
        <v>#REF!</v>
      </c>
      <c r="EF186" s="104"/>
      <c r="EG186" s="104"/>
      <c r="EH186" s="104"/>
      <c r="EI186" s="104"/>
      <c r="EJ186" s="104"/>
      <c r="EK186" s="104" t="e">
        <f t="shared" si="59"/>
        <v>#REF!</v>
      </c>
      <c r="EL186" s="104" t="e">
        <f t="shared" si="60"/>
        <v>#REF!</v>
      </c>
      <c r="EM186" s="62"/>
      <c r="EN186" s="6"/>
      <c r="EO186" s="6"/>
      <c r="EP186" s="6"/>
      <c r="EQ186" s="6"/>
      <c r="ER186" s="6"/>
    </row>
    <row r="187" spans="1:162" x14ac:dyDescent="0.2">
      <c r="A187" s="1146" t="s">
        <v>199</v>
      </c>
      <c r="B187" s="1138" t="s">
        <v>198</v>
      </c>
      <c r="C187" s="1140" t="s">
        <v>197</v>
      </c>
      <c r="D187" s="1133" t="s">
        <v>179</v>
      </c>
      <c r="E187" s="1085"/>
      <c r="F187" s="1144"/>
      <c r="G187" s="1076" t="s">
        <v>349</v>
      </c>
      <c r="H187" s="1076" t="s">
        <v>342</v>
      </c>
      <c r="I187" s="1076"/>
      <c r="J187" s="1079">
        <f>Y187+AA187+AC187+AE187+AG187+AI187+AK187+AM187+AO187</f>
        <v>4</v>
      </c>
      <c r="K187" s="1076"/>
      <c r="L187" s="188"/>
      <c r="M187" s="186"/>
      <c r="N187" s="177"/>
      <c r="O187" s="177"/>
      <c r="P187" s="177"/>
      <c r="Q187" s="172"/>
      <c r="R187" s="173"/>
      <c r="S187" s="173"/>
      <c r="T187" s="173"/>
      <c r="U187" s="173"/>
      <c r="V187" s="174"/>
      <c r="W187" s="175"/>
      <c r="X187" s="1098" t="s">
        <v>372</v>
      </c>
      <c r="Y187" s="1081">
        <f>IF(HC="Y",IF(BF187="Y",Z187,0),0)</f>
        <v>0</v>
      </c>
      <c r="Z187" s="1081">
        <v>6</v>
      </c>
      <c r="AA187" s="1081">
        <f>IF(OFF="Y",IF(BN187="Y",AB187,0),0)</f>
        <v>4</v>
      </c>
      <c r="AB187" s="1081">
        <v>4</v>
      </c>
      <c r="AC187" s="1081">
        <f>IF(COURTS="Y",IF(BT187="Y",AD187,0),0)</f>
        <v>0</v>
      </c>
      <c r="AD187" s="1081">
        <v>6</v>
      </c>
      <c r="AE187" s="1081">
        <f>IF(PRISONS="Y",IF(CE187="Y",AF187,0),0)</f>
        <v>0</v>
      </c>
      <c r="AF187" s="1081">
        <v>3</v>
      </c>
      <c r="AG187" s="1081">
        <f>IF(RET="Y",IF(DA187="Y",AH187,0),0)</f>
        <v>0</v>
      </c>
      <c r="AH187" s="1081">
        <v>4</v>
      </c>
      <c r="AI187" s="1081">
        <f>IF(SCHOOLS="y",IF(DW187="y",AJ187,0),0)</f>
        <v>0</v>
      </c>
      <c r="AJ187" s="1081">
        <v>6</v>
      </c>
      <c r="AK187" s="1082">
        <f>IF(FE="y",IF(DW187="y",AL187,0),0)</f>
        <v>0</v>
      </c>
      <c r="AL187" s="1082">
        <v>6</v>
      </c>
      <c r="AM187" s="1082">
        <f>IF(HE="Y",IF(DW187="Y",AN187,0),0)</f>
        <v>0</v>
      </c>
      <c r="AN187" s="1082">
        <v>6</v>
      </c>
      <c r="AO187" s="1081">
        <f>IF(INDUSTRIAL="Y",IF(EL187="Y",AP187,0),0)</f>
        <v>0</v>
      </c>
      <c r="AP187" s="1081">
        <v>2</v>
      </c>
      <c r="AQ187" s="95">
        <v>1</v>
      </c>
      <c r="AR187" s="95"/>
      <c r="AS187" s="95"/>
      <c r="AT187" s="95"/>
      <c r="AU187" s="95"/>
      <c r="AV187" s="95"/>
      <c r="AW187" s="95"/>
      <c r="AX187" s="95"/>
      <c r="AY187" s="95"/>
      <c r="AZ187" s="95"/>
      <c r="BA187" s="95"/>
      <c r="BB187" s="95"/>
      <c r="BC187" s="95"/>
      <c r="BD187" s="95"/>
      <c r="BE187" s="95">
        <f t="shared" si="48"/>
        <v>1</v>
      </c>
      <c r="BF187" s="96" t="str">
        <f t="shared" si="49"/>
        <v>Y</v>
      </c>
      <c r="BG187" s="97"/>
      <c r="BH187" s="98">
        <v>1</v>
      </c>
      <c r="BI187" s="98"/>
      <c r="BJ187" s="98"/>
      <c r="BK187" s="98"/>
      <c r="BL187" s="111"/>
      <c r="BM187" s="98">
        <f t="shared" si="50"/>
        <v>1</v>
      </c>
      <c r="BN187" s="98" t="str">
        <f t="shared" si="51"/>
        <v>Y</v>
      </c>
      <c r="BO187" s="115"/>
      <c r="BP187" s="100">
        <v>1</v>
      </c>
      <c r="BQ187" s="100"/>
      <c r="BR187" s="100"/>
      <c r="BS187" s="100">
        <f t="shared" si="52"/>
        <v>1</v>
      </c>
      <c r="BT187" s="100" t="str">
        <f t="shared" si="53"/>
        <v>Y</v>
      </c>
      <c r="BU187" s="50"/>
      <c r="BV187" s="101">
        <v>1</v>
      </c>
      <c r="BW187" s="101"/>
      <c r="BX187" s="101"/>
      <c r="BY187" s="101"/>
      <c r="BZ187" s="101"/>
      <c r="CA187" s="101"/>
      <c r="CB187" s="101"/>
      <c r="CC187" s="101"/>
      <c r="CD187" s="101">
        <f t="shared" si="54"/>
        <v>1</v>
      </c>
      <c r="CE187" s="101" t="str">
        <f t="shared" si="55"/>
        <v>Y</v>
      </c>
      <c r="CF187" s="54"/>
      <c r="CG187" s="102">
        <v>1</v>
      </c>
      <c r="CH187" s="102"/>
      <c r="CI187" s="102"/>
      <c r="CJ187" s="102"/>
      <c r="CK187" s="102"/>
      <c r="CL187" s="102"/>
      <c r="CM187" s="102"/>
      <c r="CN187" s="102"/>
      <c r="CO187" s="102"/>
      <c r="CP187" s="102"/>
      <c r="CQ187" s="102"/>
      <c r="CR187" s="102"/>
      <c r="CS187" s="102"/>
      <c r="CT187" s="102"/>
      <c r="CU187" s="102"/>
      <c r="CV187" s="102"/>
      <c r="CW187" s="102"/>
      <c r="CX187" s="102"/>
      <c r="CY187" s="102"/>
      <c r="CZ187" s="102">
        <f t="shared" si="56"/>
        <v>1</v>
      </c>
      <c r="DA187" s="102" t="str">
        <f t="shared" si="57"/>
        <v>Y</v>
      </c>
      <c r="DB187" s="58"/>
      <c r="DC187" s="101">
        <v>1</v>
      </c>
      <c r="DD187" s="101"/>
      <c r="DE187" s="101"/>
      <c r="DF187" s="101"/>
      <c r="DG187" s="101"/>
      <c r="DH187" s="101"/>
      <c r="DI187" s="101"/>
      <c r="DJ187" s="101"/>
      <c r="DK187" s="101"/>
      <c r="DL187" s="101"/>
      <c r="DM187" s="101"/>
      <c r="DN187" s="101"/>
      <c r="DO187" s="101"/>
      <c r="DP187" s="101"/>
      <c r="DQ187" s="101"/>
      <c r="DR187" s="101"/>
      <c r="DS187" s="101"/>
      <c r="DT187" s="101"/>
      <c r="DU187" s="101"/>
      <c r="DV187" s="101">
        <f t="shared" si="58"/>
        <v>1</v>
      </c>
      <c r="DW187" s="101" t="str">
        <f t="shared" si="61"/>
        <v>Y</v>
      </c>
      <c r="DX187" s="103"/>
      <c r="DY187" s="104">
        <v>1</v>
      </c>
      <c r="DZ187" s="104"/>
      <c r="EA187" s="104"/>
      <c r="EB187" s="104"/>
      <c r="EC187" s="104"/>
      <c r="ED187" s="104"/>
      <c r="EE187" s="104"/>
      <c r="EF187" s="104"/>
      <c r="EG187" s="104"/>
      <c r="EH187" s="104"/>
      <c r="EI187" s="104"/>
      <c r="EJ187" s="104"/>
      <c r="EK187" s="104">
        <f t="shared" si="59"/>
        <v>1</v>
      </c>
      <c r="EL187" s="104" t="str">
        <f t="shared" si="60"/>
        <v>Y</v>
      </c>
      <c r="EM187" s="62"/>
      <c r="EN187" s="6"/>
      <c r="EO187" s="6"/>
      <c r="EP187" s="6"/>
      <c r="EQ187" s="6"/>
      <c r="ER187" s="6"/>
    </row>
    <row r="188" spans="1:162" x14ac:dyDescent="0.2">
      <c r="A188" s="1147"/>
      <c r="B188" s="1139"/>
      <c r="C188" s="1141"/>
      <c r="D188" s="1134"/>
      <c r="E188" s="1086"/>
      <c r="F188" s="1079"/>
      <c r="G188" s="1077"/>
      <c r="H188" s="1077"/>
      <c r="I188" s="1077"/>
      <c r="J188" s="1079"/>
      <c r="K188" s="1077"/>
      <c r="L188" s="181"/>
      <c r="M188" s="186"/>
      <c r="N188" s="177"/>
      <c r="O188" s="177"/>
      <c r="P188" s="177"/>
      <c r="Q188" s="172"/>
      <c r="R188" s="173"/>
      <c r="S188" s="173"/>
      <c r="T188" s="173"/>
      <c r="U188" s="173"/>
      <c r="V188" s="174"/>
      <c r="W188" s="175"/>
      <c r="X188" s="1099"/>
      <c r="Y188" s="1081"/>
      <c r="Z188" s="1081"/>
      <c r="AA188" s="1081"/>
      <c r="AB188" s="1081"/>
      <c r="AC188" s="1081"/>
      <c r="AD188" s="1081"/>
      <c r="AE188" s="1081"/>
      <c r="AF188" s="1081"/>
      <c r="AG188" s="1081"/>
      <c r="AH188" s="1081"/>
      <c r="AI188" s="1081"/>
      <c r="AJ188" s="1081"/>
      <c r="AK188" s="1082"/>
      <c r="AL188" s="1082"/>
      <c r="AM188" s="1082"/>
      <c r="AN188" s="1082"/>
      <c r="AO188" s="1081"/>
      <c r="AP188" s="1081"/>
      <c r="AQ188" s="95">
        <v>1</v>
      </c>
      <c r="AR188" s="95"/>
      <c r="AS188" s="95"/>
      <c r="AT188" s="95"/>
      <c r="AU188" s="95"/>
      <c r="AV188" s="95"/>
      <c r="AW188" s="95"/>
      <c r="AX188" s="95"/>
      <c r="AY188" s="95"/>
      <c r="AZ188" s="95"/>
      <c r="BA188" s="95"/>
      <c r="BB188" s="95"/>
      <c r="BC188" s="95"/>
      <c r="BD188" s="95"/>
      <c r="BE188" s="95">
        <f t="shared" si="48"/>
        <v>1</v>
      </c>
      <c r="BF188" s="96" t="str">
        <f t="shared" si="49"/>
        <v>Y</v>
      </c>
      <c r="BG188" s="97"/>
      <c r="BH188" s="98">
        <v>1</v>
      </c>
      <c r="BI188" s="98"/>
      <c r="BJ188" s="98"/>
      <c r="BK188" s="98"/>
      <c r="BL188" s="111"/>
      <c r="BM188" s="98">
        <f t="shared" si="50"/>
        <v>1</v>
      </c>
      <c r="BN188" s="98" t="str">
        <f t="shared" si="51"/>
        <v>Y</v>
      </c>
      <c r="BO188" s="115"/>
      <c r="BP188" s="100">
        <v>1</v>
      </c>
      <c r="BQ188" s="100"/>
      <c r="BR188" s="100"/>
      <c r="BS188" s="100">
        <f t="shared" si="52"/>
        <v>1</v>
      </c>
      <c r="BT188" s="100" t="str">
        <f t="shared" si="53"/>
        <v>Y</v>
      </c>
      <c r="BU188" s="50"/>
      <c r="BV188" s="101">
        <v>1</v>
      </c>
      <c r="BW188" s="101"/>
      <c r="BX188" s="101"/>
      <c r="BY188" s="101"/>
      <c r="BZ188" s="101"/>
      <c r="CA188" s="101"/>
      <c r="CB188" s="101"/>
      <c r="CC188" s="101"/>
      <c r="CD188" s="101">
        <f t="shared" si="54"/>
        <v>1</v>
      </c>
      <c r="CE188" s="101" t="str">
        <f t="shared" si="55"/>
        <v>Y</v>
      </c>
      <c r="CF188" s="54"/>
      <c r="CG188" s="102">
        <v>1</v>
      </c>
      <c r="CH188" s="102"/>
      <c r="CI188" s="102"/>
      <c r="CJ188" s="102"/>
      <c r="CK188" s="102"/>
      <c r="CL188" s="102"/>
      <c r="CM188" s="102"/>
      <c r="CN188" s="102"/>
      <c r="CO188" s="102"/>
      <c r="CP188" s="102"/>
      <c r="CQ188" s="102"/>
      <c r="CR188" s="102"/>
      <c r="CS188" s="102"/>
      <c r="CT188" s="102"/>
      <c r="CU188" s="102"/>
      <c r="CV188" s="102"/>
      <c r="CW188" s="102"/>
      <c r="CX188" s="102"/>
      <c r="CY188" s="102"/>
      <c r="CZ188" s="102">
        <f t="shared" si="56"/>
        <v>1</v>
      </c>
      <c r="DA188" s="102" t="str">
        <f t="shared" si="57"/>
        <v>Y</v>
      </c>
      <c r="DB188" s="58"/>
      <c r="DC188" s="101">
        <v>1</v>
      </c>
      <c r="DD188" s="101"/>
      <c r="DE188" s="101"/>
      <c r="DF188" s="101"/>
      <c r="DG188" s="101"/>
      <c r="DH188" s="101"/>
      <c r="DI188" s="101"/>
      <c r="DJ188" s="101"/>
      <c r="DK188" s="101"/>
      <c r="DL188" s="101"/>
      <c r="DM188" s="101"/>
      <c r="DN188" s="101"/>
      <c r="DO188" s="101"/>
      <c r="DP188" s="101"/>
      <c r="DQ188" s="101"/>
      <c r="DR188" s="101"/>
      <c r="DS188" s="101"/>
      <c r="DT188" s="101"/>
      <c r="DU188" s="101"/>
      <c r="DV188" s="101">
        <f t="shared" si="58"/>
        <v>1</v>
      </c>
      <c r="DW188" s="101" t="str">
        <f t="shared" ref="DW188:DW204" si="62">IF(DV188&gt;=0.1,"Y","N")</f>
        <v>Y</v>
      </c>
      <c r="DX188" s="103"/>
      <c r="DY188" s="104">
        <v>1</v>
      </c>
      <c r="DZ188" s="104"/>
      <c r="EA188" s="104"/>
      <c r="EB188" s="104"/>
      <c r="EC188" s="104"/>
      <c r="ED188" s="104"/>
      <c r="EE188" s="104"/>
      <c r="EF188" s="104"/>
      <c r="EG188" s="104"/>
      <c r="EH188" s="104"/>
      <c r="EI188" s="104"/>
      <c r="EJ188" s="104"/>
      <c r="EK188" s="104">
        <f t="shared" si="59"/>
        <v>1</v>
      </c>
      <c r="EL188" s="104" t="str">
        <f t="shared" si="60"/>
        <v>Y</v>
      </c>
      <c r="EM188" s="62"/>
      <c r="EN188" s="6"/>
      <c r="EO188" s="6"/>
      <c r="EP188" s="6"/>
      <c r="EQ188" s="6"/>
      <c r="ER188" s="6"/>
    </row>
    <row r="189" spans="1:162" ht="13.5" thickBot="1" x14ac:dyDescent="0.25">
      <c r="A189" s="1147"/>
      <c r="B189" s="1145"/>
      <c r="C189" s="1142"/>
      <c r="D189" s="1136"/>
      <c r="E189" s="1143"/>
      <c r="F189" s="1080"/>
      <c r="G189" s="1078"/>
      <c r="H189" s="1078"/>
      <c r="I189" s="1078"/>
      <c r="J189" s="1080"/>
      <c r="K189" s="1078"/>
      <c r="L189" s="176"/>
      <c r="M189" s="186"/>
      <c r="N189" s="177"/>
      <c r="O189" s="177"/>
      <c r="P189" s="177"/>
      <c r="Q189" s="172"/>
      <c r="R189" s="173"/>
      <c r="S189" s="173"/>
      <c r="T189" s="173"/>
      <c r="U189" s="173"/>
      <c r="V189" s="174"/>
      <c r="W189" s="175"/>
      <c r="X189" s="1100"/>
      <c r="Y189" s="1081"/>
      <c r="Z189" s="1081"/>
      <c r="AA189" s="1081"/>
      <c r="AB189" s="1081"/>
      <c r="AC189" s="1081"/>
      <c r="AD189" s="1081"/>
      <c r="AE189" s="1081"/>
      <c r="AF189" s="1081"/>
      <c r="AG189" s="1081"/>
      <c r="AH189" s="1081"/>
      <c r="AI189" s="1081"/>
      <c r="AJ189" s="1081"/>
      <c r="AK189" s="1082"/>
      <c r="AL189" s="1082"/>
      <c r="AM189" s="1082"/>
      <c r="AN189" s="1082"/>
      <c r="AO189" s="1081"/>
      <c r="AP189" s="1081"/>
      <c r="AQ189" s="95">
        <v>1</v>
      </c>
      <c r="AR189" s="95"/>
      <c r="AS189" s="95"/>
      <c r="AT189" s="95"/>
      <c r="AU189" s="95"/>
      <c r="AV189" s="95"/>
      <c r="AW189" s="95"/>
      <c r="AX189" s="95"/>
      <c r="AY189" s="95"/>
      <c r="AZ189" s="95"/>
      <c r="BA189" s="95"/>
      <c r="BB189" s="95"/>
      <c r="BC189" s="95"/>
      <c r="BD189" s="95"/>
      <c r="BE189" s="95">
        <f t="shared" si="48"/>
        <v>1</v>
      </c>
      <c r="BF189" s="96" t="str">
        <f t="shared" si="49"/>
        <v>Y</v>
      </c>
      <c r="BG189" s="97"/>
      <c r="BH189" s="98">
        <v>1</v>
      </c>
      <c r="BI189" s="98"/>
      <c r="BJ189" s="98"/>
      <c r="BK189" s="98"/>
      <c r="BL189" s="111"/>
      <c r="BM189" s="98">
        <f t="shared" si="50"/>
        <v>1</v>
      </c>
      <c r="BN189" s="98" t="str">
        <f t="shared" si="51"/>
        <v>Y</v>
      </c>
      <c r="BO189" s="115"/>
      <c r="BP189" s="100">
        <v>1</v>
      </c>
      <c r="BQ189" s="100"/>
      <c r="BR189" s="100"/>
      <c r="BS189" s="100">
        <f t="shared" si="52"/>
        <v>1</v>
      </c>
      <c r="BT189" s="100" t="str">
        <f t="shared" si="53"/>
        <v>Y</v>
      </c>
      <c r="BU189" s="50"/>
      <c r="BV189" s="101">
        <v>1</v>
      </c>
      <c r="BW189" s="101"/>
      <c r="BX189" s="101"/>
      <c r="BY189" s="101"/>
      <c r="BZ189" s="101"/>
      <c r="CA189" s="101"/>
      <c r="CB189" s="101"/>
      <c r="CC189" s="101"/>
      <c r="CD189" s="101">
        <f t="shared" si="54"/>
        <v>1</v>
      </c>
      <c r="CE189" s="101" t="str">
        <f t="shared" si="55"/>
        <v>Y</v>
      </c>
      <c r="CF189" s="54"/>
      <c r="CG189" s="102">
        <v>1</v>
      </c>
      <c r="CH189" s="102"/>
      <c r="CI189" s="102"/>
      <c r="CJ189" s="102"/>
      <c r="CK189" s="102"/>
      <c r="CL189" s="102"/>
      <c r="CM189" s="102"/>
      <c r="CN189" s="102"/>
      <c r="CO189" s="102"/>
      <c r="CP189" s="102"/>
      <c r="CQ189" s="102"/>
      <c r="CR189" s="102"/>
      <c r="CS189" s="102"/>
      <c r="CT189" s="102"/>
      <c r="CU189" s="102"/>
      <c r="CV189" s="102"/>
      <c r="CW189" s="102"/>
      <c r="CX189" s="102"/>
      <c r="CY189" s="102"/>
      <c r="CZ189" s="102">
        <f t="shared" si="56"/>
        <v>1</v>
      </c>
      <c r="DA189" s="102" t="str">
        <f t="shared" si="57"/>
        <v>Y</v>
      </c>
      <c r="DB189" s="58"/>
      <c r="DC189" s="101">
        <v>1</v>
      </c>
      <c r="DD189" s="101"/>
      <c r="DE189" s="101"/>
      <c r="DF189" s="101"/>
      <c r="DG189" s="101"/>
      <c r="DH189" s="101"/>
      <c r="DI189" s="101"/>
      <c r="DJ189" s="101"/>
      <c r="DK189" s="101"/>
      <c r="DL189" s="101"/>
      <c r="DM189" s="101"/>
      <c r="DN189" s="101"/>
      <c r="DO189" s="101"/>
      <c r="DP189" s="101"/>
      <c r="DQ189" s="101"/>
      <c r="DR189" s="101"/>
      <c r="DS189" s="101"/>
      <c r="DT189" s="101"/>
      <c r="DU189" s="101"/>
      <c r="DV189" s="101">
        <f t="shared" si="58"/>
        <v>1</v>
      </c>
      <c r="DW189" s="101" t="str">
        <f t="shared" si="62"/>
        <v>Y</v>
      </c>
      <c r="DX189" s="103"/>
      <c r="DY189" s="104">
        <v>1</v>
      </c>
      <c r="DZ189" s="104"/>
      <c r="EA189" s="104"/>
      <c r="EB189" s="104"/>
      <c r="EC189" s="104"/>
      <c r="ED189" s="104"/>
      <c r="EE189" s="104"/>
      <c r="EF189" s="104"/>
      <c r="EG189" s="104"/>
      <c r="EH189" s="104"/>
      <c r="EI189" s="104"/>
      <c r="EJ189" s="104"/>
      <c r="EK189" s="104">
        <f t="shared" si="59"/>
        <v>1</v>
      </c>
      <c r="EL189" s="104" t="str">
        <f t="shared" si="60"/>
        <v>Y</v>
      </c>
      <c r="EM189" s="62"/>
      <c r="EN189" s="6"/>
      <c r="EO189" s="6"/>
      <c r="EP189" s="6"/>
      <c r="EQ189" s="6"/>
      <c r="ER189" s="6"/>
    </row>
    <row r="190" spans="1:162" s="14" customFormat="1" x14ac:dyDescent="0.2">
      <c r="A190" s="1147"/>
      <c r="B190" s="1138" t="s">
        <v>196</v>
      </c>
      <c r="C190" s="1140" t="s">
        <v>195</v>
      </c>
      <c r="D190" s="1133"/>
      <c r="E190" s="1085"/>
      <c r="F190" s="1144"/>
      <c r="G190" s="1076" t="s">
        <v>349</v>
      </c>
      <c r="H190" s="1076" t="s">
        <v>342</v>
      </c>
      <c r="I190" s="1076"/>
      <c r="J190" s="1079">
        <f>Y190+AA190+AC190+AE190+AG190+AI190+AK190+AM190+AO190</f>
        <v>1</v>
      </c>
      <c r="K190" s="1076"/>
      <c r="L190" s="188"/>
      <c r="M190" s="186"/>
      <c r="N190" s="177"/>
      <c r="O190" s="177"/>
      <c r="P190" s="177"/>
      <c r="Q190" s="172"/>
      <c r="R190" s="173"/>
      <c r="S190" s="173"/>
      <c r="T190" s="173"/>
      <c r="U190" s="173"/>
      <c r="V190" s="174"/>
      <c r="W190" s="175"/>
      <c r="X190" s="1098" t="s">
        <v>373</v>
      </c>
      <c r="Y190" s="1081">
        <f>IF(HC="Y",IF(BF190="Y",Z190,0),0)</f>
        <v>0</v>
      </c>
      <c r="Z190" s="1081">
        <v>1</v>
      </c>
      <c r="AA190" s="1081">
        <f>IF(OFF="Y",IF(BN190="Y",AB190,0),0)</f>
        <v>1</v>
      </c>
      <c r="AB190" s="1081">
        <v>1</v>
      </c>
      <c r="AC190" s="1081">
        <f>IF(COURTS="Y",IF(BT190="Y",AD190,0),0)</f>
        <v>0</v>
      </c>
      <c r="AD190" s="1081">
        <v>1</v>
      </c>
      <c r="AE190" s="1081">
        <f>IF(PRISONS="Y",IF(CE190="Y",AF190,0),0)</f>
        <v>0</v>
      </c>
      <c r="AF190" s="1081">
        <v>1</v>
      </c>
      <c r="AG190" s="1081">
        <f>IF(RET="Y",IF(DA190="Y",AH190,0),0)</f>
        <v>0</v>
      </c>
      <c r="AH190" s="1081">
        <v>1</v>
      </c>
      <c r="AI190" s="1081">
        <f>IF(SCHOOLS="y",IF(DW190="y",AJ190,0),0)</f>
        <v>0</v>
      </c>
      <c r="AJ190" s="1081">
        <v>1</v>
      </c>
      <c r="AK190" s="1082">
        <f>IF(FE="y",IF(DW190="y",AL190,0),0)</f>
        <v>0</v>
      </c>
      <c r="AL190" s="1082">
        <v>1</v>
      </c>
      <c r="AM190" s="1082">
        <f>IF(HE="Y",IF(DW190="Y",AN190,0),0)</f>
        <v>0</v>
      </c>
      <c r="AN190" s="1082">
        <v>1</v>
      </c>
      <c r="AO190" s="1081">
        <f>IF(INDUSTRIAL="Y",IF(EL190="Y",AP190,0),0)</f>
        <v>0</v>
      </c>
      <c r="AP190" s="1081">
        <v>1</v>
      </c>
      <c r="AQ190" s="95">
        <v>1</v>
      </c>
      <c r="AR190" s="95"/>
      <c r="AS190" s="95"/>
      <c r="AT190" s="95"/>
      <c r="AU190" s="95"/>
      <c r="AV190" s="95"/>
      <c r="AW190" s="95"/>
      <c r="AX190" s="95"/>
      <c r="AY190" s="95"/>
      <c r="AZ190" s="95"/>
      <c r="BA190" s="95"/>
      <c r="BB190" s="95"/>
      <c r="BC190" s="95"/>
      <c r="BD190" s="95"/>
      <c r="BE190" s="95">
        <f t="shared" si="48"/>
        <v>1</v>
      </c>
      <c r="BF190" s="96" t="str">
        <f t="shared" si="49"/>
        <v>Y</v>
      </c>
      <c r="BG190" s="97"/>
      <c r="BH190" s="98"/>
      <c r="BI190" s="98">
        <f>IF(OFFnewrefurb="y",1,0)</f>
        <v>1</v>
      </c>
      <c r="BJ190" s="98"/>
      <c r="BK190" s="98"/>
      <c r="BL190" s="111"/>
      <c r="BM190" s="98">
        <f t="shared" si="50"/>
        <v>1</v>
      </c>
      <c r="BN190" s="98" t="str">
        <f t="shared" si="51"/>
        <v>Y</v>
      </c>
      <c r="BO190" s="115"/>
      <c r="BP190" s="100">
        <v>1</v>
      </c>
      <c r="BQ190" s="100"/>
      <c r="BR190" s="100"/>
      <c r="BS190" s="100">
        <f t="shared" si="52"/>
        <v>1</v>
      </c>
      <c r="BT190" s="100" t="str">
        <f t="shared" si="53"/>
        <v>Y</v>
      </c>
      <c r="BU190" s="50"/>
      <c r="BV190" s="101">
        <v>1</v>
      </c>
      <c r="BW190" s="101"/>
      <c r="BX190" s="101"/>
      <c r="BY190" s="101"/>
      <c r="BZ190" s="101"/>
      <c r="CA190" s="101"/>
      <c r="CB190" s="101"/>
      <c r="CC190" s="101"/>
      <c r="CD190" s="101">
        <f t="shared" si="54"/>
        <v>1</v>
      </c>
      <c r="CE190" s="101" t="str">
        <f t="shared" si="55"/>
        <v>Y</v>
      </c>
      <c r="CF190" s="54"/>
      <c r="CG190" s="102"/>
      <c r="CH190" s="102">
        <f>IF(RETnewrefurb="y",1,0)</f>
        <v>0</v>
      </c>
      <c r="CI190" s="102"/>
      <c r="CJ190" s="102"/>
      <c r="CK190" s="102"/>
      <c r="CL190" s="102"/>
      <c r="CM190" s="102"/>
      <c r="CN190" s="102"/>
      <c r="CO190" s="102"/>
      <c r="CP190" s="102"/>
      <c r="CQ190" s="102"/>
      <c r="CR190" s="102"/>
      <c r="CS190" s="102"/>
      <c r="CT190" s="102"/>
      <c r="CU190" s="102"/>
      <c r="CV190" s="102"/>
      <c r="CW190" s="102"/>
      <c r="CX190" s="102"/>
      <c r="CY190" s="102"/>
      <c r="CZ190" s="102">
        <f t="shared" si="56"/>
        <v>0</v>
      </c>
      <c r="DA190" s="102" t="str">
        <f t="shared" si="57"/>
        <v>N</v>
      </c>
      <c r="DB190" s="58"/>
      <c r="DC190" s="101">
        <v>1</v>
      </c>
      <c r="DD190" s="101"/>
      <c r="DE190" s="101"/>
      <c r="DF190" s="101"/>
      <c r="DG190" s="101"/>
      <c r="DH190" s="101"/>
      <c r="DI190" s="101"/>
      <c r="DJ190" s="101"/>
      <c r="DK190" s="101"/>
      <c r="DL190" s="101"/>
      <c r="DM190" s="101"/>
      <c r="DN190" s="101"/>
      <c r="DO190" s="101"/>
      <c r="DP190" s="101"/>
      <c r="DQ190" s="101"/>
      <c r="DR190" s="101"/>
      <c r="DS190" s="101"/>
      <c r="DT190" s="101"/>
      <c r="DU190" s="101"/>
      <c r="DV190" s="101">
        <f t="shared" si="58"/>
        <v>1</v>
      </c>
      <c r="DW190" s="101" t="str">
        <f t="shared" si="62"/>
        <v>Y</v>
      </c>
      <c r="DX190" s="103"/>
      <c r="DY190" s="104"/>
      <c r="DZ190" s="104">
        <f>IF(INDnewrefurb="y",1,0)</f>
        <v>0</v>
      </c>
      <c r="EA190" s="104"/>
      <c r="EB190" s="104"/>
      <c r="EC190" s="104"/>
      <c r="ED190" s="104"/>
      <c r="EE190" s="104"/>
      <c r="EF190" s="104"/>
      <c r="EG190" s="104"/>
      <c r="EH190" s="104"/>
      <c r="EI190" s="104"/>
      <c r="EJ190" s="104"/>
      <c r="EK190" s="104">
        <f t="shared" si="59"/>
        <v>0</v>
      </c>
      <c r="EL190" s="104" t="str">
        <f t="shared" si="60"/>
        <v>N</v>
      </c>
      <c r="EM190" s="62"/>
      <c r="EN190" s="6"/>
      <c r="EO190" s="6"/>
      <c r="EP190" s="6"/>
      <c r="EQ190" s="6"/>
      <c r="ER190" s="6"/>
      <c r="ES190" s="6"/>
      <c r="ET190" s="6"/>
      <c r="EU190" s="6"/>
      <c r="EV190" s="6"/>
      <c r="EW190" s="6"/>
      <c r="EX190" s="6"/>
      <c r="EY190" s="6"/>
      <c r="EZ190" s="6"/>
      <c r="FA190" s="6"/>
      <c r="FB190" s="6"/>
      <c r="FC190" s="6"/>
      <c r="FD190" s="6"/>
      <c r="FE190" s="6"/>
      <c r="FF190" s="6"/>
    </row>
    <row r="191" spans="1:162" s="14" customFormat="1" x14ac:dyDescent="0.2">
      <c r="A191" s="1147"/>
      <c r="B191" s="1139"/>
      <c r="C191" s="1141"/>
      <c r="D191" s="1134"/>
      <c r="E191" s="1086"/>
      <c r="F191" s="1079"/>
      <c r="G191" s="1077"/>
      <c r="H191" s="1077"/>
      <c r="I191" s="1077"/>
      <c r="J191" s="1079"/>
      <c r="K191" s="1077"/>
      <c r="L191" s="181"/>
      <c r="M191" s="186"/>
      <c r="N191" s="177"/>
      <c r="O191" s="177"/>
      <c r="P191" s="177"/>
      <c r="Q191" s="172"/>
      <c r="R191" s="173"/>
      <c r="S191" s="173"/>
      <c r="T191" s="173"/>
      <c r="U191" s="173"/>
      <c r="V191" s="174"/>
      <c r="W191" s="175"/>
      <c r="X191" s="1099"/>
      <c r="Y191" s="1081"/>
      <c r="Z191" s="1081"/>
      <c r="AA191" s="1081"/>
      <c r="AB191" s="1081"/>
      <c r="AC191" s="1081"/>
      <c r="AD191" s="1081"/>
      <c r="AE191" s="1081"/>
      <c r="AF191" s="1081"/>
      <c r="AG191" s="1081"/>
      <c r="AH191" s="1081"/>
      <c r="AI191" s="1081"/>
      <c r="AJ191" s="1081"/>
      <c r="AK191" s="1082"/>
      <c r="AL191" s="1082"/>
      <c r="AM191" s="1082"/>
      <c r="AN191" s="1082"/>
      <c r="AO191" s="1081"/>
      <c r="AP191" s="1081"/>
      <c r="AQ191" s="95">
        <v>1</v>
      </c>
      <c r="AR191" s="95"/>
      <c r="AS191" s="95"/>
      <c r="AT191" s="95"/>
      <c r="AU191" s="95"/>
      <c r="AV191" s="95"/>
      <c r="AW191" s="95"/>
      <c r="AX191" s="95"/>
      <c r="AY191" s="95"/>
      <c r="AZ191" s="95"/>
      <c r="BA191" s="95"/>
      <c r="BB191" s="95"/>
      <c r="BC191" s="95"/>
      <c r="BD191" s="95"/>
      <c r="BE191" s="95">
        <f t="shared" si="48"/>
        <v>1</v>
      </c>
      <c r="BF191" s="96" t="str">
        <f t="shared" si="49"/>
        <v>Y</v>
      </c>
      <c r="BG191" s="97"/>
      <c r="BH191" s="98"/>
      <c r="BI191" s="98">
        <f>IF(OFFnewrefurb="y",1,0)</f>
        <v>1</v>
      </c>
      <c r="BJ191" s="98"/>
      <c r="BK191" s="98"/>
      <c r="BL191" s="111"/>
      <c r="BM191" s="98">
        <f t="shared" si="50"/>
        <v>1</v>
      </c>
      <c r="BN191" s="98" t="str">
        <f t="shared" si="51"/>
        <v>Y</v>
      </c>
      <c r="BO191" s="115"/>
      <c r="BP191" s="100">
        <v>1</v>
      </c>
      <c r="BQ191" s="100"/>
      <c r="BR191" s="100"/>
      <c r="BS191" s="100">
        <f t="shared" si="52"/>
        <v>1</v>
      </c>
      <c r="BT191" s="100" t="str">
        <f t="shared" si="53"/>
        <v>Y</v>
      </c>
      <c r="BU191" s="50"/>
      <c r="BV191" s="101">
        <v>1</v>
      </c>
      <c r="BW191" s="101"/>
      <c r="BX191" s="101"/>
      <c r="BY191" s="101"/>
      <c r="BZ191" s="101"/>
      <c r="CA191" s="101"/>
      <c r="CB191" s="101"/>
      <c r="CC191" s="101"/>
      <c r="CD191" s="101">
        <f t="shared" si="54"/>
        <v>1</v>
      </c>
      <c r="CE191" s="101" t="str">
        <f t="shared" si="55"/>
        <v>Y</v>
      </c>
      <c r="CF191" s="54"/>
      <c r="CG191" s="102"/>
      <c r="CH191" s="102">
        <f>IF(RETnewrefurb="y",1,0)</f>
        <v>0</v>
      </c>
      <c r="CI191" s="102"/>
      <c r="CJ191" s="102"/>
      <c r="CK191" s="102"/>
      <c r="CL191" s="102"/>
      <c r="CM191" s="102"/>
      <c r="CN191" s="102"/>
      <c r="CO191" s="102"/>
      <c r="CP191" s="102"/>
      <c r="CQ191" s="102"/>
      <c r="CR191" s="102"/>
      <c r="CS191" s="102"/>
      <c r="CT191" s="102"/>
      <c r="CU191" s="102"/>
      <c r="CV191" s="102"/>
      <c r="CW191" s="102"/>
      <c r="CX191" s="102"/>
      <c r="CY191" s="102"/>
      <c r="CZ191" s="102">
        <f t="shared" si="56"/>
        <v>0</v>
      </c>
      <c r="DA191" s="102" t="str">
        <f t="shared" si="57"/>
        <v>N</v>
      </c>
      <c r="DB191" s="58"/>
      <c r="DC191" s="101">
        <v>1</v>
      </c>
      <c r="DD191" s="101"/>
      <c r="DE191" s="101"/>
      <c r="DF191" s="101"/>
      <c r="DG191" s="101"/>
      <c r="DH191" s="101"/>
      <c r="DI191" s="101"/>
      <c r="DJ191" s="101"/>
      <c r="DK191" s="101"/>
      <c r="DL191" s="101"/>
      <c r="DM191" s="101"/>
      <c r="DN191" s="101"/>
      <c r="DO191" s="101"/>
      <c r="DP191" s="101"/>
      <c r="DQ191" s="101"/>
      <c r="DR191" s="101"/>
      <c r="DS191" s="101"/>
      <c r="DT191" s="101"/>
      <c r="DU191" s="101"/>
      <c r="DV191" s="101">
        <f t="shared" si="58"/>
        <v>1</v>
      </c>
      <c r="DW191" s="101" t="str">
        <f t="shared" si="62"/>
        <v>Y</v>
      </c>
      <c r="DX191" s="103"/>
      <c r="DY191" s="104"/>
      <c r="DZ191" s="104">
        <f>IF(INDnewrefurb="y",1,0)</f>
        <v>0</v>
      </c>
      <c r="EA191" s="104"/>
      <c r="EB191" s="104"/>
      <c r="EC191" s="104"/>
      <c r="ED191" s="104"/>
      <c r="EE191" s="104"/>
      <c r="EF191" s="104"/>
      <c r="EG191" s="104"/>
      <c r="EH191" s="104"/>
      <c r="EI191" s="104"/>
      <c r="EJ191" s="104"/>
      <c r="EK191" s="104">
        <f t="shared" si="59"/>
        <v>0</v>
      </c>
      <c r="EL191" s="104" t="str">
        <f t="shared" si="60"/>
        <v>N</v>
      </c>
      <c r="EM191" s="62"/>
      <c r="EN191" s="6"/>
      <c r="EO191" s="6"/>
      <c r="EP191" s="6"/>
      <c r="EQ191" s="6"/>
      <c r="ER191" s="6"/>
      <c r="ES191" s="6"/>
      <c r="ET191" s="6"/>
      <c r="EU191" s="6"/>
      <c r="EV191" s="6"/>
      <c r="EW191" s="6"/>
      <c r="EX191" s="6"/>
      <c r="EY191" s="6"/>
      <c r="EZ191" s="6"/>
      <c r="FA191" s="6"/>
      <c r="FB191" s="6"/>
      <c r="FC191" s="6"/>
      <c r="FD191" s="6"/>
      <c r="FE191" s="6"/>
      <c r="FF191" s="6"/>
    </row>
    <row r="192" spans="1:162" ht="13.5" thickBot="1" x14ac:dyDescent="0.25">
      <c r="A192" s="1147"/>
      <c r="B192" s="1145"/>
      <c r="C192" s="1142"/>
      <c r="D192" s="1136"/>
      <c r="E192" s="1143"/>
      <c r="F192" s="1080"/>
      <c r="G192" s="1078"/>
      <c r="H192" s="1078"/>
      <c r="I192" s="1078"/>
      <c r="J192" s="1080"/>
      <c r="K192" s="1078"/>
      <c r="L192" s="176"/>
      <c r="M192" s="186"/>
      <c r="N192" s="177"/>
      <c r="O192" s="177"/>
      <c r="P192" s="177"/>
      <c r="Q192" s="172"/>
      <c r="R192" s="173"/>
      <c r="S192" s="173"/>
      <c r="T192" s="173"/>
      <c r="U192" s="173"/>
      <c r="V192" s="174"/>
      <c r="W192" s="175"/>
      <c r="X192" s="1100"/>
      <c r="Y192" s="1081"/>
      <c r="Z192" s="1081"/>
      <c r="AA192" s="1081"/>
      <c r="AB192" s="1081"/>
      <c r="AC192" s="1081"/>
      <c r="AD192" s="1081"/>
      <c r="AE192" s="1081"/>
      <c r="AF192" s="1081"/>
      <c r="AG192" s="1081"/>
      <c r="AH192" s="1081"/>
      <c r="AI192" s="1081"/>
      <c r="AJ192" s="1081"/>
      <c r="AK192" s="1082"/>
      <c r="AL192" s="1082"/>
      <c r="AM192" s="1082"/>
      <c r="AN192" s="1082"/>
      <c r="AO192" s="1081"/>
      <c r="AP192" s="1081"/>
      <c r="AQ192" s="95">
        <v>1</v>
      </c>
      <c r="AR192" s="95"/>
      <c r="AS192" s="95"/>
      <c r="AT192" s="95"/>
      <c r="AU192" s="95"/>
      <c r="AV192" s="95"/>
      <c r="AW192" s="95"/>
      <c r="AX192" s="95"/>
      <c r="AY192" s="95"/>
      <c r="AZ192" s="95"/>
      <c r="BA192" s="95"/>
      <c r="BB192" s="95"/>
      <c r="BC192" s="95"/>
      <c r="BD192" s="95"/>
      <c r="BE192" s="95">
        <f t="shared" si="48"/>
        <v>1</v>
      </c>
      <c r="BF192" s="96" t="str">
        <f t="shared" si="49"/>
        <v>Y</v>
      </c>
      <c r="BG192" s="97"/>
      <c r="BH192" s="98"/>
      <c r="BI192" s="98">
        <f>IF(OFFnewrefurb="y",1,0)</f>
        <v>1</v>
      </c>
      <c r="BJ192" s="98"/>
      <c r="BK192" s="98"/>
      <c r="BL192" s="111"/>
      <c r="BM192" s="98">
        <f t="shared" si="50"/>
        <v>1</v>
      </c>
      <c r="BN192" s="98" t="str">
        <f t="shared" si="51"/>
        <v>Y</v>
      </c>
      <c r="BO192" s="115"/>
      <c r="BP192" s="100">
        <v>1</v>
      </c>
      <c r="BQ192" s="100"/>
      <c r="BR192" s="100"/>
      <c r="BS192" s="100">
        <f t="shared" si="52"/>
        <v>1</v>
      </c>
      <c r="BT192" s="100" t="str">
        <f t="shared" si="53"/>
        <v>Y</v>
      </c>
      <c r="BU192" s="50"/>
      <c r="BV192" s="101">
        <v>1</v>
      </c>
      <c r="BW192" s="101"/>
      <c r="BX192" s="101"/>
      <c r="BY192" s="101"/>
      <c r="BZ192" s="101"/>
      <c r="CA192" s="101"/>
      <c r="CB192" s="101"/>
      <c r="CC192" s="101"/>
      <c r="CD192" s="101">
        <f t="shared" si="54"/>
        <v>1</v>
      </c>
      <c r="CE192" s="101" t="str">
        <f t="shared" si="55"/>
        <v>Y</v>
      </c>
      <c r="CF192" s="54"/>
      <c r="CG192" s="102"/>
      <c r="CH192" s="102">
        <f>IF(RETnewrefurb="y",1,0)</f>
        <v>0</v>
      </c>
      <c r="CI192" s="102"/>
      <c r="CJ192" s="102"/>
      <c r="CK192" s="102"/>
      <c r="CL192" s="102"/>
      <c r="CM192" s="102"/>
      <c r="CN192" s="102"/>
      <c r="CO192" s="102"/>
      <c r="CP192" s="102"/>
      <c r="CQ192" s="102"/>
      <c r="CR192" s="102"/>
      <c r="CS192" s="102"/>
      <c r="CT192" s="102"/>
      <c r="CU192" s="102"/>
      <c r="CV192" s="102"/>
      <c r="CW192" s="102"/>
      <c r="CX192" s="102"/>
      <c r="CY192" s="102"/>
      <c r="CZ192" s="102">
        <f t="shared" si="56"/>
        <v>0</v>
      </c>
      <c r="DA192" s="102" t="str">
        <f t="shared" si="57"/>
        <v>N</v>
      </c>
      <c r="DB192" s="58"/>
      <c r="DC192" s="101">
        <v>1</v>
      </c>
      <c r="DD192" s="101"/>
      <c r="DE192" s="101"/>
      <c r="DF192" s="101"/>
      <c r="DG192" s="101"/>
      <c r="DH192" s="101"/>
      <c r="DI192" s="101"/>
      <c r="DJ192" s="101"/>
      <c r="DK192" s="101"/>
      <c r="DL192" s="101"/>
      <c r="DM192" s="101"/>
      <c r="DN192" s="101"/>
      <c r="DO192" s="101"/>
      <c r="DP192" s="101"/>
      <c r="DQ192" s="101"/>
      <c r="DR192" s="101"/>
      <c r="DS192" s="101"/>
      <c r="DT192" s="101"/>
      <c r="DU192" s="101"/>
      <c r="DV192" s="101">
        <f t="shared" si="58"/>
        <v>1</v>
      </c>
      <c r="DW192" s="101" t="str">
        <f t="shared" si="62"/>
        <v>Y</v>
      </c>
      <c r="DX192" s="103"/>
      <c r="DY192" s="104"/>
      <c r="DZ192" s="104">
        <f>IF(INDnewrefurb="y",1,0)</f>
        <v>0</v>
      </c>
      <c r="EA192" s="104"/>
      <c r="EB192" s="104"/>
      <c r="EC192" s="104"/>
      <c r="ED192" s="104"/>
      <c r="EE192" s="104"/>
      <c r="EF192" s="104"/>
      <c r="EG192" s="104"/>
      <c r="EH192" s="104"/>
      <c r="EI192" s="104"/>
      <c r="EJ192" s="104"/>
      <c r="EK192" s="104">
        <f t="shared" si="59"/>
        <v>0</v>
      </c>
      <c r="EL192" s="104" t="str">
        <f t="shared" si="60"/>
        <v>N</v>
      </c>
      <c r="EM192" s="62"/>
      <c r="EN192" s="6"/>
      <c r="EO192" s="6"/>
      <c r="EP192" s="6"/>
      <c r="EQ192" s="6"/>
      <c r="ER192" s="6"/>
    </row>
    <row r="193" spans="1:148" x14ac:dyDescent="0.2">
      <c r="A193" s="1147"/>
      <c r="B193" s="1138" t="s">
        <v>194</v>
      </c>
      <c r="C193" s="1140" t="s">
        <v>193</v>
      </c>
      <c r="D193" s="1133" t="s">
        <v>179</v>
      </c>
      <c r="E193" s="1085"/>
      <c r="F193" s="1144"/>
      <c r="G193" s="1076" t="s">
        <v>349</v>
      </c>
      <c r="H193" s="1076" t="s">
        <v>291</v>
      </c>
      <c r="I193" s="1076"/>
      <c r="J193" s="1079">
        <f>Y193+AA193+AC193+AE193+AG193+AI193+AK193+AM193+AO193</f>
        <v>3</v>
      </c>
      <c r="K193" s="1076"/>
      <c r="L193" s="176"/>
      <c r="M193" s="186"/>
      <c r="N193" s="177"/>
      <c r="O193" s="177"/>
      <c r="P193" s="177"/>
      <c r="Q193" s="172"/>
      <c r="R193" s="173"/>
      <c r="S193" s="173"/>
      <c r="T193" s="173"/>
      <c r="U193" s="173"/>
      <c r="V193" s="174"/>
      <c r="W193" s="175"/>
      <c r="X193" s="1098" t="s">
        <v>374</v>
      </c>
      <c r="Y193" s="1081">
        <f>IF(HC="Y",IF(BF193="Y",Z193,0),0)</f>
        <v>0</v>
      </c>
      <c r="Z193" s="1081">
        <v>3</v>
      </c>
      <c r="AA193" s="1081">
        <f>IF(OFF="Y",IF(BN193="Y",AB193,0),0)</f>
        <v>3</v>
      </c>
      <c r="AB193" s="1081">
        <v>3</v>
      </c>
      <c r="AC193" s="1081">
        <f>IF(COURTS="Y",IF(BT193="Y",AD193,0),0)</f>
        <v>0</v>
      </c>
      <c r="AD193" s="1081">
        <v>3</v>
      </c>
      <c r="AE193" s="1081">
        <f>IF(PRISONS="Y",IF(CE193="Y",AF193,0),0)</f>
        <v>0</v>
      </c>
      <c r="AF193" s="1081">
        <v>3</v>
      </c>
      <c r="AG193" s="1081">
        <f>IF(RET="Y",IF(DA193="Y",AH193,0),0)</f>
        <v>0</v>
      </c>
      <c r="AH193" s="1081">
        <v>3</v>
      </c>
      <c r="AI193" s="1081">
        <f>IF(SCHOOLS="y",IF(DW193="y",AJ193,0),0)</f>
        <v>0</v>
      </c>
      <c r="AJ193" s="1081">
        <v>3</v>
      </c>
      <c r="AK193" s="1082">
        <f>IF(FE="y",IF(DW193="y",AL193,0),0)</f>
        <v>0</v>
      </c>
      <c r="AL193" s="1082">
        <v>3</v>
      </c>
      <c r="AM193" s="1082">
        <f>IF(HE="Y",IF(DW193="Y",AN193,0),0)</f>
        <v>0</v>
      </c>
      <c r="AN193" s="1082">
        <v>3</v>
      </c>
      <c r="AO193" s="1081">
        <f>IF(INDUSTRIAL="Y",IF(EL193="Y",AP193,0),0)</f>
        <v>0</v>
      </c>
      <c r="AP193" s="1081">
        <v>3</v>
      </c>
      <c r="AQ193" s="95">
        <v>1</v>
      </c>
      <c r="AR193" s="95"/>
      <c r="AS193" s="95"/>
      <c r="AT193" s="95"/>
      <c r="AU193" s="95"/>
      <c r="AV193" s="95"/>
      <c r="AW193" s="95"/>
      <c r="AX193" s="95"/>
      <c r="AY193" s="95"/>
      <c r="AZ193" s="95"/>
      <c r="BA193" s="95"/>
      <c r="BB193" s="95"/>
      <c r="BC193" s="95"/>
      <c r="BD193" s="95"/>
      <c r="BE193" s="95">
        <f t="shared" si="48"/>
        <v>1</v>
      </c>
      <c r="BF193" s="96" t="str">
        <f t="shared" si="49"/>
        <v>Y</v>
      </c>
      <c r="BG193" s="97"/>
      <c r="BH193" s="98">
        <v>1</v>
      </c>
      <c r="BI193" s="98"/>
      <c r="BJ193" s="98"/>
      <c r="BK193" s="98"/>
      <c r="BL193" s="111"/>
      <c r="BM193" s="98">
        <f t="shared" si="50"/>
        <v>1</v>
      </c>
      <c r="BN193" s="98" t="str">
        <f t="shared" si="51"/>
        <v>Y</v>
      </c>
      <c r="BO193" s="115"/>
      <c r="BP193" s="100">
        <v>1</v>
      </c>
      <c r="BQ193" s="100"/>
      <c r="BR193" s="100"/>
      <c r="BS193" s="100">
        <f t="shared" si="52"/>
        <v>1</v>
      </c>
      <c r="BT193" s="100" t="str">
        <f t="shared" si="53"/>
        <v>Y</v>
      </c>
      <c r="BU193" s="50"/>
      <c r="BV193" s="101">
        <v>1</v>
      </c>
      <c r="BW193" s="101"/>
      <c r="BX193" s="101"/>
      <c r="BY193" s="101"/>
      <c r="BZ193" s="101"/>
      <c r="CA193" s="101"/>
      <c r="CB193" s="101"/>
      <c r="CC193" s="101"/>
      <c r="CD193" s="101">
        <f t="shared" si="54"/>
        <v>1</v>
      </c>
      <c r="CE193" s="101" t="str">
        <f t="shared" si="55"/>
        <v>Y</v>
      </c>
      <c r="CF193" s="54"/>
      <c r="CG193" s="102">
        <v>1</v>
      </c>
      <c r="CH193" s="102"/>
      <c r="CI193" s="102"/>
      <c r="CJ193" s="102"/>
      <c r="CK193" s="102"/>
      <c r="CL193" s="102"/>
      <c r="CM193" s="102"/>
      <c r="CN193" s="102"/>
      <c r="CO193" s="102"/>
      <c r="CP193" s="102"/>
      <c r="CQ193" s="102"/>
      <c r="CR193" s="102"/>
      <c r="CS193" s="102"/>
      <c r="CT193" s="102"/>
      <c r="CU193" s="102"/>
      <c r="CV193" s="102"/>
      <c r="CW193" s="102"/>
      <c r="CX193" s="102"/>
      <c r="CY193" s="102"/>
      <c r="CZ193" s="102">
        <f t="shared" si="56"/>
        <v>1</v>
      </c>
      <c r="DA193" s="102" t="str">
        <f t="shared" si="57"/>
        <v>Y</v>
      </c>
      <c r="DB193" s="58"/>
      <c r="DC193" s="101">
        <v>1</v>
      </c>
      <c r="DD193" s="101"/>
      <c r="DE193" s="101"/>
      <c r="DF193" s="101"/>
      <c r="DG193" s="101"/>
      <c r="DH193" s="101"/>
      <c r="DI193" s="101"/>
      <c r="DJ193" s="101"/>
      <c r="DK193" s="101"/>
      <c r="DL193" s="101"/>
      <c r="DM193" s="101"/>
      <c r="DN193" s="101"/>
      <c r="DO193" s="101"/>
      <c r="DP193" s="101"/>
      <c r="DQ193" s="101"/>
      <c r="DR193" s="101"/>
      <c r="DS193" s="101"/>
      <c r="DT193" s="101"/>
      <c r="DU193" s="101"/>
      <c r="DV193" s="101">
        <f t="shared" si="58"/>
        <v>1</v>
      </c>
      <c r="DW193" s="101" t="str">
        <f t="shared" si="62"/>
        <v>Y</v>
      </c>
      <c r="DX193" s="103"/>
      <c r="DY193" s="104">
        <v>1</v>
      </c>
      <c r="DZ193" s="104"/>
      <c r="EA193" s="104"/>
      <c r="EB193" s="104"/>
      <c r="EC193" s="104"/>
      <c r="ED193" s="104"/>
      <c r="EE193" s="104"/>
      <c r="EF193" s="104"/>
      <c r="EG193" s="104"/>
      <c r="EH193" s="104"/>
      <c r="EI193" s="104"/>
      <c r="EJ193" s="104"/>
      <c r="EK193" s="104">
        <f t="shared" si="59"/>
        <v>1</v>
      </c>
      <c r="EL193" s="104" t="str">
        <f t="shared" si="60"/>
        <v>Y</v>
      </c>
      <c r="EM193" s="62"/>
      <c r="EN193" s="6"/>
      <c r="EO193" s="6"/>
      <c r="EP193" s="6"/>
      <c r="EQ193" s="6"/>
      <c r="ER193" s="6"/>
    </row>
    <row r="194" spans="1:148" x14ac:dyDescent="0.2">
      <c r="A194" s="1147"/>
      <c r="B194" s="1139"/>
      <c r="C194" s="1141"/>
      <c r="D194" s="1134"/>
      <c r="E194" s="1086"/>
      <c r="F194" s="1079"/>
      <c r="G194" s="1077"/>
      <c r="H194" s="1077"/>
      <c r="I194" s="1077"/>
      <c r="J194" s="1079"/>
      <c r="K194" s="1077"/>
      <c r="L194" s="181"/>
      <c r="M194" s="186"/>
      <c r="N194" s="177"/>
      <c r="O194" s="177"/>
      <c r="P194" s="177"/>
      <c r="Q194" s="172"/>
      <c r="R194" s="173"/>
      <c r="S194" s="173"/>
      <c r="T194" s="173"/>
      <c r="U194" s="173"/>
      <c r="V194" s="174"/>
      <c r="W194" s="175"/>
      <c r="X194" s="1099"/>
      <c r="Y194" s="1081"/>
      <c r="Z194" s="1081"/>
      <c r="AA194" s="1081"/>
      <c r="AB194" s="1081"/>
      <c r="AC194" s="1081"/>
      <c r="AD194" s="1081"/>
      <c r="AE194" s="1081"/>
      <c r="AF194" s="1081"/>
      <c r="AG194" s="1081"/>
      <c r="AH194" s="1081"/>
      <c r="AI194" s="1081"/>
      <c r="AJ194" s="1081"/>
      <c r="AK194" s="1082"/>
      <c r="AL194" s="1082"/>
      <c r="AM194" s="1082"/>
      <c r="AN194" s="1082"/>
      <c r="AO194" s="1081"/>
      <c r="AP194" s="1081"/>
      <c r="AQ194" s="95">
        <v>1</v>
      </c>
      <c r="AR194" s="95"/>
      <c r="AS194" s="95"/>
      <c r="AT194" s="95"/>
      <c r="AU194" s="95"/>
      <c r="AV194" s="95"/>
      <c r="AW194" s="95"/>
      <c r="AX194" s="95"/>
      <c r="AY194" s="95"/>
      <c r="AZ194" s="95"/>
      <c r="BA194" s="95"/>
      <c r="BB194" s="95"/>
      <c r="BC194" s="95"/>
      <c r="BD194" s="95"/>
      <c r="BE194" s="95">
        <f t="shared" si="48"/>
        <v>1</v>
      </c>
      <c r="BF194" s="96" t="str">
        <f t="shared" si="49"/>
        <v>Y</v>
      </c>
      <c r="BG194" s="97"/>
      <c r="BH194" s="98">
        <v>1</v>
      </c>
      <c r="BI194" s="98"/>
      <c r="BJ194" s="98"/>
      <c r="BK194" s="98"/>
      <c r="BL194" s="111"/>
      <c r="BM194" s="98">
        <f t="shared" si="50"/>
        <v>1</v>
      </c>
      <c r="BN194" s="98" t="str">
        <f t="shared" si="51"/>
        <v>Y</v>
      </c>
      <c r="BO194" s="115"/>
      <c r="BP194" s="100">
        <v>1</v>
      </c>
      <c r="BQ194" s="100"/>
      <c r="BR194" s="100"/>
      <c r="BS194" s="100">
        <f t="shared" si="52"/>
        <v>1</v>
      </c>
      <c r="BT194" s="100" t="str">
        <f t="shared" si="53"/>
        <v>Y</v>
      </c>
      <c r="BU194" s="50"/>
      <c r="BV194" s="101">
        <v>1</v>
      </c>
      <c r="BW194" s="101"/>
      <c r="BX194" s="101"/>
      <c r="BY194" s="101"/>
      <c r="BZ194" s="101"/>
      <c r="CA194" s="101"/>
      <c r="CB194" s="101"/>
      <c r="CC194" s="101"/>
      <c r="CD194" s="101">
        <f t="shared" si="54"/>
        <v>1</v>
      </c>
      <c r="CE194" s="101" t="str">
        <f t="shared" si="55"/>
        <v>Y</v>
      </c>
      <c r="CF194" s="54"/>
      <c r="CG194" s="102">
        <v>1</v>
      </c>
      <c r="CH194" s="102"/>
      <c r="CI194" s="102"/>
      <c r="CJ194" s="102"/>
      <c r="CK194" s="102"/>
      <c r="CL194" s="102"/>
      <c r="CM194" s="102"/>
      <c r="CN194" s="102"/>
      <c r="CO194" s="102"/>
      <c r="CP194" s="102"/>
      <c r="CQ194" s="102"/>
      <c r="CR194" s="102"/>
      <c r="CS194" s="102"/>
      <c r="CT194" s="102"/>
      <c r="CU194" s="102"/>
      <c r="CV194" s="102"/>
      <c r="CW194" s="102"/>
      <c r="CX194" s="102"/>
      <c r="CY194" s="102"/>
      <c r="CZ194" s="102">
        <f t="shared" si="56"/>
        <v>1</v>
      </c>
      <c r="DA194" s="102" t="str">
        <f t="shared" si="57"/>
        <v>Y</v>
      </c>
      <c r="DB194" s="58"/>
      <c r="DC194" s="101">
        <v>1</v>
      </c>
      <c r="DD194" s="101"/>
      <c r="DE194" s="101"/>
      <c r="DF194" s="101"/>
      <c r="DG194" s="101"/>
      <c r="DH194" s="101"/>
      <c r="DI194" s="101"/>
      <c r="DJ194" s="101"/>
      <c r="DK194" s="101"/>
      <c r="DL194" s="101"/>
      <c r="DM194" s="101"/>
      <c r="DN194" s="101"/>
      <c r="DO194" s="101"/>
      <c r="DP194" s="101"/>
      <c r="DQ194" s="101"/>
      <c r="DR194" s="101"/>
      <c r="DS194" s="101"/>
      <c r="DT194" s="101"/>
      <c r="DU194" s="101"/>
      <c r="DV194" s="101">
        <f t="shared" si="58"/>
        <v>1</v>
      </c>
      <c r="DW194" s="101" t="str">
        <f t="shared" si="62"/>
        <v>Y</v>
      </c>
      <c r="DX194" s="103"/>
      <c r="DY194" s="104">
        <v>1</v>
      </c>
      <c r="DZ194" s="104"/>
      <c r="EA194" s="104"/>
      <c r="EB194" s="104"/>
      <c r="EC194" s="104"/>
      <c r="ED194" s="104"/>
      <c r="EE194" s="104"/>
      <c r="EF194" s="104"/>
      <c r="EG194" s="104"/>
      <c r="EH194" s="104"/>
      <c r="EI194" s="104"/>
      <c r="EJ194" s="104"/>
      <c r="EK194" s="104">
        <f t="shared" si="59"/>
        <v>1</v>
      </c>
      <c r="EL194" s="104" t="str">
        <f t="shared" si="60"/>
        <v>Y</v>
      </c>
      <c r="EM194" s="62"/>
      <c r="EN194" s="6"/>
      <c r="EO194" s="6"/>
      <c r="EP194" s="6"/>
      <c r="EQ194" s="6"/>
      <c r="ER194" s="6"/>
    </row>
    <row r="195" spans="1:148" ht="13.5" thickBot="1" x14ac:dyDescent="0.25">
      <c r="A195" s="1147"/>
      <c r="B195" s="1145"/>
      <c r="C195" s="1142"/>
      <c r="D195" s="1136"/>
      <c r="E195" s="1143"/>
      <c r="F195" s="1080"/>
      <c r="G195" s="1078"/>
      <c r="H195" s="1078"/>
      <c r="I195" s="1078"/>
      <c r="J195" s="1080"/>
      <c r="K195" s="1078"/>
      <c r="L195" s="176"/>
      <c r="M195" s="186"/>
      <c r="N195" s="177"/>
      <c r="O195" s="177"/>
      <c r="P195" s="177"/>
      <c r="Q195" s="172"/>
      <c r="R195" s="173"/>
      <c r="S195" s="173"/>
      <c r="T195" s="173"/>
      <c r="U195" s="173"/>
      <c r="V195" s="174"/>
      <c r="W195" s="175"/>
      <c r="X195" s="1100"/>
      <c r="Y195" s="1081"/>
      <c r="Z195" s="1081"/>
      <c r="AA195" s="1081"/>
      <c r="AB195" s="1081"/>
      <c r="AC195" s="1081"/>
      <c r="AD195" s="1081"/>
      <c r="AE195" s="1081"/>
      <c r="AF195" s="1081"/>
      <c r="AG195" s="1081"/>
      <c r="AH195" s="1081"/>
      <c r="AI195" s="1081"/>
      <c r="AJ195" s="1081"/>
      <c r="AK195" s="1082"/>
      <c r="AL195" s="1082"/>
      <c r="AM195" s="1082"/>
      <c r="AN195" s="1082"/>
      <c r="AO195" s="1081"/>
      <c r="AP195" s="1081"/>
      <c r="AQ195" s="95">
        <v>1</v>
      </c>
      <c r="AR195" s="95"/>
      <c r="AS195" s="95"/>
      <c r="AT195" s="95"/>
      <c r="AU195" s="95"/>
      <c r="AV195" s="95"/>
      <c r="AW195" s="95"/>
      <c r="AX195" s="95"/>
      <c r="AY195" s="95"/>
      <c r="AZ195" s="95"/>
      <c r="BA195" s="95"/>
      <c r="BB195" s="95"/>
      <c r="BC195" s="95"/>
      <c r="BD195" s="95"/>
      <c r="BE195" s="95">
        <f t="shared" si="48"/>
        <v>1</v>
      </c>
      <c r="BF195" s="96" t="str">
        <f t="shared" si="49"/>
        <v>Y</v>
      </c>
      <c r="BG195" s="97"/>
      <c r="BH195" s="98">
        <v>1</v>
      </c>
      <c r="BI195" s="98"/>
      <c r="BJ195" s="98"/>
      <c r="BK195" s="98"/>
      <c r="BL195" s="111"/>
      <c r="BM195" s="98">
        <f t="shared" si="50"/>
        <v>1</v>
      </c>
      <c r="BN195" s="98" t="str">
        <f t="shared" si="51"/>
        <v>Y</v>
      </c>
      <c r="BO195" s="115"/>
      <c r="BP195" s="100">
        <v>1</v>
      </c>
      <c r="BQ195" s="100"/>
      <c r="BR195" s="100"/>
      <c r="BS195" s="100">
        <f t="shared" si="52"/>
        <v>1</v>
      </c>
      <c r="BT195" s="100" t="str">
        <f t="shared" si="53"/>
        <v>Y</v>
      </c>
      <c r="BU195" s="50"/>
      <c r="BV195" s="101">
        <v>1</v>
      </c>
      <c r="BW195" s="101"/>
      <c r="BX195" s="101"/>
      <c r="BY195" s="101"/>
      <c r="BZ195" s="101"/>
      <c r="CA195" s="101"/>
      <c r="CB195" s="101"/>
      <c r="CC195" s="101"/>
      <c r="CD195" s="101">
        <f t="shared" si="54"/>
        <v>1</v>
      </c>
      <c r="CE195" s="101" t="str">
        <f t="shared" si="55"/>
        <v>Y</v>
      </c>
      <c r="CF195" s="54"/>
      <c r="CG195" s="102">
        <v>1</v>
      </c>
      <c r="CH195" s="102"/>
      <c r="CI195" s="102"/>
      <c r="CJ195" s="102"/>
      <c r="CK195" s="102"/>
      <c r="CL195" s="102"/>
      <c r="CM195" s="102"/>
      <c r="CN195" s="102"/>
      <c r="CO195" s="102"/>
      <c r="CP195" s="102"/>
      <c r="CQ195" s="102"/>
      <c r="CR195" s="102"/>
      <c r="CS195" s="102"/>
      <c r="CT195" s="102"/>
      <c r="CU195" s="102"/>
      <c r="CV195" s="102"/>
      <c r="CW195" s="102"/>
      <c r="CX195" s="102"/>
      <c r="CY195" s="102"/>
      <c r="CZ195" s="102">
        <f t="shared" si="56"/>
        <v>1</v>
      </c>
      <c r="DA195" s="102" t="str">
        <f t="shared" si="57"/>
        <v>Y</v>
      </c>
      <c r="DB195" s="58"/>
      <c r="DC195" s="101">
        <v>1</v>
      </c>
      <c r="DD195" s="101"/>
      <c r="DE195" s="101"/>
      <c r="DF195" s="101"/>
      <c r="DG195" s="101"/>
      <c r="DH195" s="101"/>
      <c r="DI195" s="101"/>
      <c r="DJ195" s="101"/>
      <c r="DK195" s="101"/>
      <c r="DL195" s="101"/>
      <c r="DM195" s="101"/>
      <c r="DN195" s="101"/>
      <c r="DO195" s="101"/>
      <c r="DP195" s="101"/>
      <c r="DQ195" s="101"/>
      <c r="DR195" s="101"/>
      <c r="DS195" s="101"/>
      <c r="DT195" s="101"/>
      <c r="DU195" s="101"/>
      <c r="DV195" s="101">
        <f t="shared" si="58"/>
        <v>1</v>
      </c>
      <c r="DW195" s="101" t="str">
        <f t="shared" si="62"/>
        <v>Y</v>
      </c>
      <c r="DX195" s="103"/>
      <c r="DY195" s="104">
        <v>1</v>
      </c>
      <c r="DZ195" s="104"/>
      <c r="EA195" s="104"/>
      <c r="EB195" s="104"/>
      <c r="EC195" s="104"/>
      <c r="ED195" s="104"/>
      <c r="EE195" s="104"/>
      <c r="EF195" s="104"/>
      <c r="EG195" s="104"/>
      <c r="EH195" s="104"/>
      <c r="EI195" s="104"/>
      <c r="EJ195" s="104"/>
      <c r="EK195" s="104">
        <f t="shared" si="59"/>
        <v>1</v>
      </c>
      <c r="EL195" s="104" t="str">
        <f t="shared" si="60"/>
        <v>Y</v>
      </c>
      <c r="EM195" s="62"/>
      <c r="EN195" s="6"/>
      <c r="EO195" s="6"/>
      <c r="EP195" s="6"/>
      <c r="EQ195" s="6"/>
      <c r="ER195" s="6"/>
    </row>
    <row r="196" spans="1:148" x14ac:dyDescent="0.2">
      <c r="A196" s="1147"/>
      <c r="B196" s="1138" t="s">
        <v>192</v>
      </c>
      <c r="C196" s="1140" t="s">
        <v>191</v>
      </c>
      <c r="D196" s="1133"/>
      <c r="E196" s="1085"/>
      <c r="F196" s="1144"/>
      <c r="G196" s="1076" t="s">
        <v>349</v>
      </c>
      <c r="H196" s="1076" t="s">
        <v>342</v>
      </c>
      <c r="I196" s="1076"/>
      <c r="J196" s="1079">
        <f>Y196+AA196+AC196+AE196+AG196+AI196+AK196+AM196+AO196</f>
        <v>2</v>
      </c>
      <c r="K196" s="1076"/>
      <c r="L196" s="176"/>
      <c r="M196" s="186"/>
      <c r="N196" s="177"/>
      <c r="O196" s="177"/>
      <c r="P196" s="177"/>
      <c r="Q196" s="172"/>
      <c r="R196" s="173"/>
      <c r="S196" s="173"/>
      <c r="T196" s="173"/>
      <c r="U196" s="173"/>
      <c r="V196" s="174"/>
      <c r="W196" s="175"/>
      <c r="X196" s="1098" t="s">
        <v>375</v>
      </c>
      <c r="Y196" s="1081">
        <f>IF(HC="Y",IF(BF196="Y",Z196,0),0)</f>
        <v>0</v>
      </c>
      <c r="Z196" s="1081">
        <v>2</v>
      </c>
      <c r="AA196" s="1081">
        <f>IF(OFF="Y",IF(BN196="Y",AB196,0),0)</f>
        <v>2</v>
      </c>
      <c r="AB196" s="1081">
        <v>2</v>
      </c>
      <c r="AC196" s="1081">
        <f>IF(COURTS="Y",IF(BT196="Y",AD196,0),0)</f>
        <v>0</v>
      </c>
      <c r="AD196" s="1081">
        <v>2</v>
      </c>
      <c r="AE196" s="1081">
        <f>IF(PRISONS="Y",IF(CE196="Y",AF196,0),0)</f>
        <v>0</v>
      </c>
      <c r="AF196" s="1081">
        <v>2</v>
      </c>
      <c r="AG196" s="1081">
        <f>IF(RET="Y",IF(DA196="Y",AH196,0),0)</f>
        <v>0</v>
      </c>
      <c r="AH196" s="1081">
        <v>2</v>
      </c>
      <c r="AI196" s="1081">
        <f>IF(SCHOOLS="y",IF(DW196="y",AJ196,0),0)</f>
        <v>0</v>
      </c>
      <c r="AJ196" s="1081">
        <v>2</v>
      </c>
      <c r="AK196" s="1082">
        <f>IF(FE="y",IF(DW196="y",AL196,0),0)</f>
        <v>0</v>
      </c>
      <c r="AL196" s="1082">
        <v>2</v>
      </c>
      <c r="AM196" s="1082">
        <f>IF(HE="Y",IF(DW196="Y",AN196,0),0)</f>
        <v>0</v>
      </c>
      <c r="AN196" s="1082">
        <v>2</v>
      </c>
      <c r="AO196" s="1081">
        <f>IF(INDUSTRIAL="Y",IF(EL196="Y",AP196,0),0)</f>
        <v>0</v>
      </c>
      <c r="AP196" s="1081">
        <v>2</v>
      </c>
      <c r="AQ196" s="95">
        <v>1</v>
      </c>
      <c r="AR196" s="95"/>
      <c r="AS196" s="95"/>
      <c r="AT196" s="95"/>
      <c r="AU196" s="95"/>
      <c r="AV196" s="95"/>
      <c r="AW196" s="95"/>
      <c r="AX196" s="95"/>
      <c r="AY196" s="95"/>
      <c r="AZ196" s="95"/>
      <c r="BA196" s="95"/>
      <c r="BB196" s="95"/>
      <c r="BC196" s="95"/>
      <c r="BD196" s="95"/>
      <c r="BE196" s="95">
        <f t="shared" si="48"/>
        <v>1</v>
      </c>
      <c r="BF196" s="96" t="str">
        <f t="shared" si="49"/>
        <v>Y</v>
      </c>
      <c r="BG196" s="97"/>
      <c r="BH196" s="98">
        <v>1</v>
      </c>
      <c r="BI196" s="98"/>
      <c r="BJ196" s="98"/>
      <c r="BK196" s="98"/>
      <c r="BL196" s="111"/>
      <c r="BM196" s="98">
        <f t="shared" si="50"/>
        <v>1</v>
      </c>
      <c r="BN196" s="98" t="str">
        <f t="shared" si="51"/>
        <v>Y</v>
      </c>
      <c r="BO196" s="115"/>
      <c r="BP196" s="100">
        <v>1</v>
      </c>
      <c r="BQ196" s="100"/>
      <c r="BR196" s="100"/>
      <c r="BS196" s="100">
        <f t="shared" si="52"/>
        <v>1</v>
      </c>
      <c r="BT196" s="100" t="str">
        <f t="shared" si="53"/>
        <v>Y</v>
      </c>
      <c r="BU196" s="50"/>
      <c r="BV196" s="101">
        <v>1</v>
      </c>
      <c r="BW196" s="101"/>
      <c r="BX196" s="101"/>
      <c r="BY196" s="101"/>
      <c r="BZ196" s="101"/>
      <c r="CA196" s="101"/>
      <c r="CB196" s="101"/>
      <c r="CC196" s="101"/>
      <c r="CD196" s="101">
        <f t="shared" si="54"/>
        <v>1</v>
      </c>
      <c r="CE196" s="101" t="str">
        <f t="shared" si="55"/>
        <v>Y</v>
      </c>
      <c r="CF196" s="54"/>
      <c r="CG196" s="102">
        <v>1</v>
      </c>
      <c r="CH196" s="102"/>
      <c r="CI196" s="102"/>
      <c r="CJ196" s="102"/>
      <c r="CK196" s="102"/>
      <c r="CL196" s="102"/>
      <c r="CM196" s="102"/>
      <c r="CN196" s="102"/>
      <c r="CO196" s="102"/>
      <c r="CP196" s="102"/>
      <c r="CQ196" s="102"/>
      <c r="CR196" s="102"/>
      <c r="CS196" s="102"/>
      <c r="CT196" s="102"/>
      <c r="CU196" s="102"/>
      <c r="CV196" s="102"/>
      <c r="CW196" s="102"/>
      <c r="CX196" s="102"/>
      <c r="CY196" s="102"/>
      <c r="CZ196" s="102">
        <f t="shared" si="56"/>
        <v>1</v>
      </c>
      <c r="DA196" s="102" t="str">
        <f t="shared" si="57"/>
        <v>Y</v>
      </c>
      <c r="DB196" s="58"/>
      <c r="DC196" s="101">
        <v>1</v>
      </c>
      <c r="DD196" s="101"/>
      <c r="DE196" s="101"/>
      <c r="DF196" s="101"/>
      <c r="DG196" s="101"/>
      <c r="DH196" s="101"/>
      <c r="DI196" s="101"/>
      <c r="DJ196" s="101"/>
      <c r="DK196" s="101"/>
      <c r="DL196" s="101"/>
      <c r="DM196" s="101"/>
      <c r="DN196" s="101"/>
      <c r="DO196" s="101"/>
      <c r="DP196" s="101"/>
      <c r="DQ196" s="101"/>
      <c r="DR196" s="101"/>
      <c r="DS196" s="101"/>
      <c r="DT196" s="101"/>
      <c r="DU196" s="101"/>
      <c r="DV196" s="101">
        <f t="shared" si="58"/>
        <v>1</v>
      </c>
      <c r="DW196" s="101" t="str">
        <f t="shared" si="62"/>
        <v>Y</v>
      </c>
      <c r="DX196" s="103"/>
      <c r="DY196" s="104">
        <v>1</v>
      </c>
      <c r="DZ196" s="104"/>
      <c r="EA196" s="104"/>
      <c r="EB196" s="104"/>
      <c r="EC196" s="104"/>
      <c r="ED196" s="104"/>
      <c r="EE196" s="104"/>
      <c r="EF196" s="104"/>
      <c r="EG196" s="104"/>
      <c r="EH196" s="104"/>
      <c r="EI196" s="104"/>
      <c r="EJ196" s="104"/>
      <c r="EK196" s="104">
        <f t="shared" si="59"/>
        <v>1</v>
      </c>
      <c r="EL196" s="104" t="str">
        <f t="shared" si="60"/>
        <v>Y</v>
      </c>
      <c r="EM196" s="62"/>
      <c r="EN196" s="6"/>
      <c r="EO196" s="6"/>
      <c r="EP196" s="6"/>
      <c r="EQ196" s="6"/>
      <c r="ER196" s="6"/>
    </row>
    <row r="197" spans="1:148" x14ac:dyDescent="0.2">
      <c r="A197" s="1147"/>
      <c r="B197" s="1139"/>
      <c r="C197" s="1141"/>
      <c r="D197" s="1134"/>
      <c r="E197" s="1086"/>
      <c r="F197" s="1079"/>
      <c r="G197" s="1077"/>
      <c r="H197" s="1077"/>
      <c r="I197" s="1077"/>
      <c r="J197" s="1079"/>
      <c r="K197" s="1077"/>
      <c r="L197" s="181"/>
      <c r="M197" s="186"/>
      <c r="N197" s="177"/>
      <c r="O197" s="177"/>
      <c r="P197" s="177"/>
      <c r="Q197" s="172"/>
      <c r="R197" s="173"/>
      <c r="S197" s="173"/>
      <c r="T197" s="173"/>
      <c r="U197" s="173"/>
      <c r="V197" s="174"/>
      <c r="W197" s="175"/>
      <c r="X197" s="1099"/>
      <c r="Y197" s="1081"/>
      <c r="Z197" s="1081"/>
      <c r="AA197" s="1081"/>
      <c r="AB197" s="1081"/>
      <c r="AC197" s="1081"/>
      <c r="AD197" s="1081"/>
      <c r="AE197" s="1081"/>
      <c r="AF197" s="1081"/>
      <c r="AG197" s="1081"/>
      <c r="AH197" s="1081"/>
      <c r="AI197" s="1081"/>
      <c r="AJ197" s="1081"/>
      <c r="AK197" s="1082"/>
      <c r="AL197" s="1082"/>
      <c r="AM197" s="1082"/>
      <c r="AN197" s="1082"/>
      <c r="AO197" s="1081"/>
      <c r="AP197" s="1081"/>
      <c r="AQ197" s="95">
        <v>1</v>
      </c>
      <c r="AR197" s="95"/>
      <c r="AS197" s="95"/>
      <c r="AT197" s="95"/>
      <c r="AU197" s="95"/>
      <c r="AV197" s="95"/>
      <c r="AW197" s="95"/>
      <c r="AX197" s="95"/>
      <c r="AY197" s="95"/>
      <c r="AZ197" s="95"/>
      <c r="BA197" s="95"/>
      <c r="BB197" s="95"/>
      <c r="BC197" s="95"/>
      <c r="BD197" s="95"/>
      <c r="BE197" s="95">
        <f t="shared" si="48"/>
        <v>1</v>
      </c>
      <c r="BF197" s="96" t="str">
        <f t="shared" si="49"/>
        <v>Y</v>
      </c>
      <c r="BG197" s="97"/>
      <c r="BH197" s="98">
        <v>1</v>
      </c>
      <c r="BI197" s="98"/>
      <c r="BJ197" s="98"/>
      <c r="BK197" s="98"/>
      <c r="BL197" s="111"/>
      <c r="BM197" s="98">
        <f t="shared" si="50"/>
        <v>1</v>
      </c>
      <c r="BN197" s="98" t="str">
        <f t="shared" si="51"/>
        <v>Y</v>
      </c>
      <c r="BO197" s="115"/>
      <c r="BP197" s="100">
        <v>1</v>
      </c>
      <c r="BQ197" s="100"/>
      <c r="BR197" s="100"/>
      <c r="BS197" s="100">
        <f t="shared" si="52"/>
        <v>1</v>
      </c>
      <c r="BT197" s="100" t="str">
        <f t="shared" si="53"/>
        <v>Y</v>
      </c>
      <c r="BU197" s="50"/>
      <c r="BV197" s="101">
        <v>1</v>
      </c>
      <c r="BW197" s="101"/>
      <c r="BX197" s="101"/>
      <c r="BY197" s="101"/>
      <c r="BZ197" s="101"/>
      <c r="CA197" s="101"/>
      <c r="CB197" s="101"/>
      <c r="CC197" s="101"/>
      <c r="CD197" s="101">
        <f t="shared" si="54"/>
        <v>1</v>
      </c>
      <c r="CE197" s="101" t="str">
        <f t="shared" si="55"/>
        <v>Y</v>
      </c>
      <c r="CF197" s="54"/>
      <c r="CG197" s="102">
        <v>1</v>
      </c>
      <c r="CH197" s="102"/>
      <c r="CI197" s="102"/>
      <c r="CJ197" s="102"/>
      <c r="CK197" s="102"/>
      <c r="CL197" s="102"/>
      <c r="CM197" s="102"/>
      <c r="CN197" s="102"/>
      <c r="CO197" s="102"/>
      <c r="CP197" s="102"/>
      <c r="CQ197" s="102"/>
      <c r="CR197" s="102"/>
      <c r="CS197" s="102"/>
      <c r="CT197" s="102"/>
      <c r="CU197" s="102"/>
      <c r="CV197" s="102"/>
      <c r="CW197" s="102"/>
      <c r="CX197" s="102"/>
      <c r="CY197" s="102"/>
      <c r="CZ197" s="102">
        <f t="shared" si="56"/>
        <v>1</v>
      </c>
      <c r="DA197" s="102" t="str">
        <f t="shared" si="57"/>
        <v>Y</v>
      </c>
      <c r="DB197" s="58"/>
      <c r="DC197" s="101">
        <v>1</v>
      </c>
      <c r="DD197" s="101"/>
      <c r="DE197" s="101"/>
      <c r="DF197" s="101"/>
      <c r="DG197" s="101"/>
      <c r="DH197" s="101"/>
      <c r="DI197" s="101"/>
      <c r="DJ197" s="101"/>
      <c r="DK197" s="101"/>
      <c r="DL197" s="101"/>
      <c r="DM197" s="101"/>
      <c r="DN197" s="101"/>
      <c r="DO197" s="101"/>
      <c r="DP197" s="101"/>
      <c r="DQ197" s="101"/>
      <c r="DR197" s="101"/>
      <c r="DS197" s="101"/>
      <c r="DT197" s="101"/>
      <c r="DU197" s="101"/>
      <c r="DV197" s="101">
        <f t="shared" si="58"/>
        <v>1</v>
      </c>
      <c r="DW197" s="101" t="str">
        <f t="shared" si="62"/>
        <v>Y</v>
      </c>
      <c r="DX197" s="103"/>
      <c r="DY197" s="104">
        <v>1</v>
      </c>
      <c r="DZ197" s="104"/>
      <c r="EA197" s="104"/>
      <c r="EB197" s="104"/>
      <c r="EC197" s="104"/>
      <c r="ED197" s="104"/>
      <c r="EE197" s="104"/>
      <c r="EF197" s="104"/>
      <c r="EG197" s="104"/>
      <c r="EH197" s="104"/>
      <c r="EI197" s="104"/>
      <c r="EJ197" s="104"/>
      <c r="EK197" s="104">
        <f t="shared" si="59"/>
        <v>1</v>
      </c>
      <c r="EL197" s="104" t="str">
        <f t="shared" si="60"/>
        <v>Y</v>
      </c>
      <c r="EM197" s="62"/>
      <c r="EN197" s="6"/>
      <c r="EO197" s="6"/>
      <c r="EP197" s="6"/>
      <c r="EQ197" s="6"/>
      <c r="ER197" s="6"/>
    </row>
    <row r="198" spans="1:148" ht="13.5" thickBot="1" x14ac:dyDescent="0.25">
      <c r="A198" s="1147"/>
      <c r="B198" s="1145"/>
      <c r="C198" s="1142"/>
      <c r="D198" s="1136"/>
      <c r="E198" s="1143"/>
      <c r="F198" s="1080"/>
      <c r="G198" s="1078"/>
      <c r="H198" s="1078"/>
      <c r="I198" s="1078"/>
      <c r="J198" s="1080"/>
      <c r="K198" s="1078"/>
      <c r="L198" s="180"/>
      <c r="M198" s="186"/>
      <c r="N198" s="177"/>
      <c r="O198" s="177"/>
      <c r="P198" s="177"/>
      <c r="Q198" s="172"/>
      <c r="R198" s="173"/>
      <c r="S198" s="173"/>
      <c r="T198" s="173"/>
      <c r="U198" s="173"/>
      <c r="V198" s="174"/>
      <c r="W198" s="175"/>
      <c r="X198" s="1100"/>
      <c r="Y198" s="1081"/>
      <c r="Z198" s="1081"/>
      <c r="AA198" s="1081"/>
      <c r="AB198" s="1081"/>
      <c r="AC198" s="1081"/>
      <c r="AD198" s="1081"/>
      <c r="AE198" s="1081"/>
      <c r="AF198" s="1081"/>
      <c r="AG198" s="1081"/>
      <c r="AH198" s="1081"/>
      <c r="AI198" s="1081"/>
      <c r="AJ198" s="1081"/>
      <c r="AK198" s="1082"/>
      <c r="AL198" s="1082"/>
      <c r="AM198" s="1082"/>
      <c r="AN198" s="1082"/>
      <c r="AO198" s="1081"/>
      <c r="AP198" s="1081"/>
      <c r="AQ198" s="95">
        <v>1</v>
      </c>
      <c r="AR198" s="95"/>
      <c r="AS198" s="95"/>
      <c r="AT198" s="95"/>
      <c r="AU198" s="95"/>
      <c r="AV198" s="95"/>
      <c r="AW198" s="95"/>
      <c r="AX198" s="95"/>
      <c r="AY198" s="95"/>
      <c r="AZ198" s="95"/>
      <c r="BA198" s="95"/>
      <c r="BB198" s="95"/>
      <c r="BC198" s="95"/>
      <c r="BD198" s="95"/>
      <c r="BE198" s="95">
        <f t="shared" si="48"/>
        <v>1</v>
      </c>
      <c r="BF198" s="96" t="str">
        <f t="shared" si="49"/>
        <v>Y</v>
      </c>
      <c r="BG198" s="97"/>
      <c r="BH198" s="98">
        <v>1</v>
      </c>
      <c r="BI198" s="98"/>
      <c r="BJ198" s="98"/>
      <c r="BK198" s="98"/>
      <c r="BL198" s="111"/>
      <c r="BM198" s="98">
        <f t="shared" si="50"/>
        <v>1</v>
      </c>
      <c r="BN198" s="98" t="str">
        <f t="shared" si="51"/>
        <v>Y</v>
      </c>
      <c r="BO198" s="115"/>
      <c r="BP198" s="100">
        <v>1</v>
      </c>
      <c r="BQ198" s="100"/>
      <c r="BR198" s="100"/>
      <c r="BS198" s="100">
        <f t="shared" si="52"/>
        <v>1</v>
      </c>
      <c r="BT198" s="100" t="str">
        <f t="shared" si="53"/>
        <v>Y</v>
      </c>
      <c r="BU198" s="50"/>
      <c r="BV198" s="101">
        <v>1</v>
      </c>
      <c r="BW198" s="101"/>
      <c r="BX198" s="101"/>
      <c r="BY198" s="101"/>
      <c r="BZ198" s="101"/>
      <c r="CA198" s="101"/>
      <c r="CB198" s="101"/>
      <c r="CC198" s="101"/>
      <c r="CD198" s="101">
        <f t="shared" si="54"/>
        <v>1</v>
      </c>
      <c r="CE198" s="101" t="str">
        <f t="shared" si="55"/>
        <v>Y</v>
      </c>
      <c r="CF198" s="54"/>
      <c r="CG198" s="102">
        <v>1</v>
      </c>
      <c r="CH198" s="102"/>
      <c r="CI198" s="102"/>
      <c r="CJ198" s="102"/>
      <c r="CK198" s="102"/>
      <c r="CL198" s="102"/>
      <c r="CM198" s="102"/>
      <c r="CN198" s="102"/>
      <c r="CO198" s="102"/>
      <c r="CP198" s="102"/>
      <c r="CQ198" s="102"/>
      <c r="CR198" s="102"/>
      <c r="CS198" s="102"/>
      <c r="CT198" s="102"/>
      <c r="CU198" s="102"/>
      <c r="CV198" s="102"/>
      <c r="CW198" s="102"/>
      <c r="CX198" s="102"/>
      <c r="CY198" s="102"/>
      <c r="CZ198" s="102">
        <f t="shared" si="56"/>
        <v>1</v>
      </c>
      <c r="DA198" s="102" t="str">
        <f t="shared" si="57"/>
        <v>Y</v>
      </c>
      <c r="DB198" s="58"/>
      <c r="DC198" s="101">
        <v>1</v>
      </c>
      <c r="DD198" s="101"/>
      <c r="DE198" s="101"/>
      <c r="DF198" s="101"/>
      <c r="DG198" s="101"/>
      <c r="DH198" s="101"/>
      <c r="DI198" s="101"/>
      <c r="DJ198" s="101"/>
      <c r="DK198" s="101"/>
      <c r="DL198" s="101"/>
      <c r="DM198" s="101"/>
      <c r="DN198" s="101"/>
      <c r="DO198" s="101"/>
      <c r="DP198" s="101"/>
      <c r="DQ198" s="101"/>
      <c r="DR198" s="101"/>
      <c r="DS198" s="101"/>
      <c r="DT198" s="101"/>
      <c r="DU198" s="101"/>
      <c r="DV198" s="101">
        <f t="shared" si="58"/>
        <v>1</v>
      </c>
      <c r="DW198" s="101" t="str">
        <f t="shared" si="62"/>
        <v>Y</v>
      </c>
      <c r="DX198" s="103"/>
      <c r="DY198" s="104">
        <v>1</v>
      </c>
      <c r="DZ198" s="104"/>
      <c r="EA198" s="104"/>
      <c r="EB198" s="104"/>
      <c r="EC198" s="104"/>
      <c r="ED198" s="104"/>
      <c r="EE198" s="104"/>
      <c r="EF198" s="104"/>
      <c r="EG198" s="104"/>
      <c r="EH198" s="104"/>
      <c r="EI198" s="104"/>
      <c r="EJ198" s="104"/>
      <c r="EK198" s="104">
        <f t="shared" si="59"/>
        <v>1</v>
      </c>
      <c r="EL198" s="104" t="str">
        <f t="shared" si="60"/>
        <v>Y</v>
      </c>
      <c r="EM198" s="62"/>
      <c r="EN198" s="6"/>
      <c r="EO198" s="6"/>
      <c r="EP198" s="6"/>
      <c r="EQ198" s="6"/>
      <c r="ER198" s="6"/>
    </row>
    <row r="199" spans="1:148" x14ac:dyDescent="0.2">
      <c r="A199" s="1147"/>
      <c r="B199" s="1138" t="s">
        <v>190</v>
      </c>
      <c r="C199" s="1140" t="s">
        <v>189</v>
      </c>
      <c r="D199" s="1133"/>
      <c r="E199" s="1085"/>
      <c r="F199" s="1144"/>
      <c r="G199" s="1076" t="s">
        <v>349</v>
      </c>
      <c r="H199" s="1076" t="s">
        <v>9</v>
      </c>
      <c r="I199" s="1076"/>
      <c r="J199" s="1079">
        <f>Y199+AA199+AC199+AE199+AG199+AI199+AK199+AM199+AO199</f>
        <v>1</v>
      </c>
      <c r="K199" s="1076"/>
      <c r="L199" s="180"/>
      <c r="M199" s="186"/>
      <c r="N199" s="177"/>
      <c r="O199" s="177"/>
      <c r="P199" s="177"/>
      <c r="Q199" s="172"/>
      <c r="R199" s="173"/>
      <c r="S199" s="173"/>
      <c r="T199" s="173"/>
      <c r="U199" s="173"/>
      <c r="V199" s="174"/>
      <c r="W199" s="175"/>
      <c r="X199" s="1098"/>
      <c r="Y199" s="1081">
        <f>IF(HC="Y",IF(BF199="Y",Z199,0),0)</f>
        <v>0</v>
      </c>
      <c r="Z199" s="1081">
        <v>1</v>
      </c>
      <c r="AA199" s="1081">
        <f>IF(OFF="Y",IF(BN199="Y",AB199,0),0)</f>
        <v>1</v>
      </c>
      <c r="AB199" s="1081">
        <v>1</v>
      </c>
      <c r="AC199" s="1081">
        <f>IF(COURTS="Y",IF(BT199="Y",AD199,0),0)</f>
        <v>0</v>
      </c>
      <c r="AD199" s="1081">
        <v>1</v>
      </c>
      <c r="AE199" s="1081">
        <f>IF(PRISONS="Y",IF(CE199="Y",AF199,0),0)</f>
        <v>0</v>
      </c>
      <c r="AF199" s="1081">
        <v>1</v>
      </c>
      <c r="AG199" s="1081">
        <f>IF(RET="Y",IF(DA199="Y",AH199,0),0)</f>
        <v>0</v>
      </c>
      <c r="AH199" s="1081">
        <v>1</v>
      </c>
      <c r="AI199" s="1081">
        <f>IF(SCHOOLS="y",IF(DW199="y",AJ199,0),0)</f>
        <v>0</v>
      </c>
      <c r="AJ199" s="1081">
        <v>1</v>
      </c>
      <c r="AK199" s="1082">
        <f>IF(FE="y",IF(DW199="y",AL199,0),0)</f>
        <v>0</v>
      </c>
      <c r="AL199" s="1082">
        <v>1</v>
      </c>
      <c r="AM199" s="1082">
        <f>IF(HE="Y",IF(DW199="Y",AN199,0),0)</f>
        <v>0</v>
      </c>
      <c r="AN199" s="1082">
        <v>1</v>
      </c>
      <c r="AO199" s="1081">
        <f>IF(INDUSTRIAL="Y",IF(EL199="Y",AP199,0),0)</f>
        <v>0</v>
      </c>
      <c r="AP199" s="1081">
        <v>1</v>
      </c>
      <c r="AQ199" s="95">
        <v>1</v>
      </c>
      <c r="AR199" s="95"/>
      <c r="AS199" s="95"/>
      <c r="AT199" s="95"/>
      <c r="AU199" s="95"/>
      <c r="AV199" s="95"/>
      <c r="AW199" s="95"/>
      <c r="AX199" s="95"/>
      <c r="AY199" s="95"/>
      <c r="AZ199" s="95"/>
      <c r="BA199" s="95"/>
      <c r="BB199" s="95"/>
      <c r="BC199" s="95"/>
      <c r="BD199" s="95"/>
      <c r="BE199" s="95">
        <f t="shared" si="48"/>
        <v>1</v>
      </c>
      <c r="BF199" s="96" t="str">
        <f t="shared" si="49"/>
        <v>Y</v>
      </c>
      <c r="BG199" s="97"/>
      <c r="BH199" s="98">
        <v>1</v>
      </c>
      <c r="BI199" s="98"/>
      <c r="BJ199" s="98"/>
      <c r="BK199" s="98"/>
      <c r="BL199" s="111"/>
      <c r="BM199" s="98">
        <f t="shared" si="50"/>
        <v>1</v>
      </c>
      <c r="BN199" s="98" t="str">
        <f t="shared" si="51"/>
        <v>Y</v>
      </c>
      <c r="BO199" s="115"/>
      <c r="BP199" s="100">
        <v>1</v>
      </c>
      <c r="BQ199" s="100"/>
      <c r="BR199" s="100"/>
      <c r="BS199" s="100">
        <f t="shared" si="52"/>
        <v>1</v>
      </c>
      <c r="BT199" s="100" t="str">
        <f t="shared" si="53"/>
        <v>Y</v>
      </c>
      <c r="BU199" s="50"/>
      <c r="BV199" s="101">
        <v>1</v>
      </c>
      <c r="BW199" s="101"/>
      <c r="BX199" s="101"/>
      <c r="BY199" s="101"/>
      <c r="BZ199" s="101"/>
      <c r="CA199" s="101"/>
      <c r="CB199" s="101"/>
      <c r="CC199" s="101"/>
      <c r="CD199" s="101">
        <f t="shared" si="54"/>
        <v>1</v>
      </c>
      <c r="CE199" s="101" t="str">
        <f t="shared" si="55"/>
        <v>Y</v>
      </c>
      <c r="CF199" s="54"/>
      <c r="CG199" s="102">
        <v>1</v>
      </c>
      <c r="CH199" s="102"/>
      <c r="CI199" s="102"/>
      <c r="CJ199" s="102"/>
      <c r="CK199" s="102"/>
      <c r="CL199" s="102"/>
      <c r="CM199" s="102"/>
      <c r="CN199" s="102"/>
      <c r="CO199" s="102"/>
      <c r="CP199" s="102"/>
      <c r="CQ199" s="102"/>
      <c r="CR199" s="102"/>
      <c r="CS199" s="102"/>
      <c r="CT199" s="102"/>
      <c r="CU199" s="102"/>
      <c r="CV199" s="102"/>
      <c r="CW199" s="102"/>
      <c r="CX199" s="102"/>
      <c r="CY199" s="102"/>
      <c r="CZ199" s="102">
        <f t="shared" si="56"/>
        <v>1</v>
      </c>
      <c r="DA199" s="102" t="str">
        <f t="shared" si="57"/>
        <v>Y</v>
      </c>
      <c r="DB199" s="58"/>
      <c r="DC199" s="101">
        <v>1</v>
      </c>
      <c r="DD199" s="101"/>
      <c r="DE199" s="101"/>
      <c r="DF199" s="101"/>
      <c r="DG199" s="101"/>
      <c r="DH199" s="101"/>
      <c r="DI199" s="101"/>
      <c r="DJ199" s="101"/>
      <c r="DK199" s="101"/>
      <c r="DL199" s="101"/>
      <c r="DM199" s="101"/>
      <c r="DN199" s="101"/>
      <c r="DO199" s="101"/>
      <c r="DP199" s="101"/>
      <c r="DQ199" s="101"/>
      <c r="DR199" s="101"/>
      <c r="DS199" s="101"/>
      <c r="DT199" s="101"/>
      <c r="DU199" s="101"/>
      <c r="DV199" s="101">
        <f t="shared" si="58"/>
        <v>1</v>
      </c>
      <c r="DW199" s="101" t="str">
        <f t="shared" si="62"/>
        <v>Y</v>
      </c>
      <c r="DX199" s="103"/>
      <c r="DY199" s="104">
        <v>1</v>
      </c>
      <c r="DZ199" s="104"/>
      <c r="EA199" s="104"/>
      <c r="EB199" s="104"/>
      <c r="EC199" s="104"/>
      <c r="ED199" s="104"/>
      <c r="EE199" s="104"/>
      <c r="EF199" s="104"/>
      <c r="EG199" s="104"/>
      <c r="EH199" s="104"/>
      <c r="EI199" s="104"/>
      <c r="EJ199" s="104"/>
      <c r="EK199" s="104">
        <f t="shared" si="59"/>
        <v>1</v>
      </c>
      <c r="EL199" s="104" t="str">
        <f t="shared" si="60"/>
        <v>Y</v>
      </c>
      <c r="EM199" s="62"/>
      <c r="EN199" s="6"/>
      <c r="EO199" s="6"/>
      <c r="EP199" s="6"/>
      <c r="EQ199" s="6"/>
      <c r="ER199" s="6"/>
    </row>
    <row r="200" spans="1:148" x14ac:dyDescent="0.2">
      <c r="A200" s="1147"/>
      <c r="B200" s="1139"/>
      <c r="C200" s="1141"/>
      <c r="D200" s="1134"/>
      <c r="E200" s="1086"/>
      <c r="F200" s="1079"/>
      <c r="G200" s="1077"/>
      <c r="H200" s="1077"/>
      <c r="I200" s="1077"/>
      <c r="J200" s="1079"/>
      <c r="K200" s="1077"/>
      <c r="L200" s="181"/>
      <c r="M200" s="186"/>
      <c r="N200" s="177"/>
      <c r="O200" s="177"/>
      <c r="P200" s="177"/>
      <c r="Q200" s="172"/>
      <c r="R200" s="173"/>
      <c r="S200" s="173"/>
      <c r="T200" s="173"/>
      <c r="U200" s="173"/>
      <c r="V200" s="174"/>
      <c r="W200" s="175"/>
      <c r="X200" s="1099"/>
      <c r="Y200" s="1081"/>
      <c r="Z200" s="1081"/>
      <c r="AA200" s="1081"/>
      <c r="AB200" s="1081"/>
      <c r="AC200" s="1081"/>
      <c r="AD200" s="1081"/>
      <c r="AE200" s="1081"/>
      <c r="AF200" s="1081"/>
      <c r="AG200" s="1081"/>
      <c r="AH200" s="1081"/>
      <c r="AI200" s="1081"/>
      <c r="AJ200" s="1081"/>
      <c r="AK200" s="1082"/>
      <c r="AL200" s="1082"/>
      <c r="AM200" s="1082"/>
      <c r="AN200" s="1082"/>
      <c r="AO200" s="1081"/>
      <c r="AP200" s="1081"/>
      <c r="AQ200" s="95">
        <v>1</v>
      </c>
      <c r="AR200" s="95"/>
      <c r="AS200" s="95"/>
      <c r="AT200" s="95"/>
      <c r="AU200" s="95"/>
      <c r="AV200" s="95"/>
      <c r="AW200" s="95"/>
      <c r="AX200" s="95"/>
      <c r="AY200" s="95"/>
      <c r="AZ200" s="95"/>
      <c r="BA200" s="95"/>
      <c r="BB200" s="95"/>
      <c r="BC200" s="95"/>
      <c r="BD200" s="95"/>
      <c r="BE200" s="95">
        <f t="shared" si="48"/>
        <v>1</v>
      </c>
      <c r="BF200" s="96" t="str">
        <f t="shared" si="49"/>
        <v>Y</v>
      </c>
      <c r="BG200" s="97"/>
      <c r="BH200" s="98">
        <v>1</v>
      </c>
      <c r="BI200" s="98"/>
      <c r="BJ200" s="98"/>
      <c r="BK200" s="98"/>
      <c r="BL200" s="111"/>
      <c r="BM200" s="98">
        <f t="shared" si="50"/>
        <v>1</v>
      </c>
      <c r="BN200" s="98" t="str">
        <f t="shared" si="51"/>
        <v>Y</v>
      </c>
      <c r="BO200" s="115"/>
      <c r="BP200" s="100">
        <v>1</v>
      </c>
      <c r="BQ200" s="100"/>
      <c r="BR200" s="100"/>
      <c r="BS200" s="100">
        <f t="shared" si="52"/>
        <v>1</v>
      </c>
      <c r="BT200" s="100" t="str">
        <f t="shared" si="53"/>
        <v>Y</v>
      </c>
      <c r="BU200" s="50"/>
      <c r="BV200" s="101">
        <v>1</v>
      </c>
      <c r="BW200" s="101"/>
      <c r="BX200" s="101"/>
      <c r="BY200" s="101"/>
      <c r="BZ200" s="101"/>
      <c r="CA200" s="101"/>
      <c r="CB200" s="101"/>
      <c r="CC200" s="101"/>
      <c r="CD200" s="101">
        <f t="shared" si="54"/>
        <v>1</v>
      </c>
      <c r="CE200" s="101" t="str">
        <f t="shared" si="55"/>
        <v>Y</v>
      </c>
      <c r="CF200" s="54"/>
      <c r="CG200" s="102">
        <v>1</v>
      </c>
      <c r="CH200" s="102"/>
      <c r="CI200" s="102"/>
      <c r="CJ200" s="102"/>
      <c r="CK200" s="102"/>
      <c r="CL200" s="102"/>
      <c r="CM200" s="102"/>
      <c r="CN200" s="102"/>
      <c r="CO200" s="102"/>
      <c r="CP200" s="102"/>
      <c r="CQ200" s="102"/>
      <c r="CR200" s="102"/>
      <c r="CS200" s="102"/>
      <c r="CT200" s="102"/>
      <c r="CU200" s="102"/>
      <c r="CV200" s="102"/>
      <c r="CW200" s="102"/>
      <c r="CX200" s="102"/>
      <c r="CY200" s="102"/>
      <c r="CZ200" s="102">
        <f t="shared" si="56"/>
        <v>1</v>
      </c>
      <c r="DA200" s="102" t="str">
        <f t="shared" si="57"/>
        <v>Y</v>
      </c>
      <c r="DB200" s="58"/>
      <c r="DC200" s="101">
        <v>1</v>
      </c>
      <c r="DD200" s="101"/>
      <c r="DE200" s="101"/>
      <c r="DF200" s="101"/>
      <c r="DG200" s="101"/>
      <c r="DH200" s="101"/>
      <c r="DI200" s="101"/>
      <c r="DJ200" s="101"/>
      <c r="DK200" s="101"/>
      <c r="DL200" s="101"/>
      <c r="DM200" s="101"/>
      <c r="DN200" s="101"/>
      <c r="DO200" s="101"/>
      <c r="DP200" s="101"/>
      <c r="DQ200" s="101"/>
      <c r="DR200" s="101"/>
      <c r="DS200" s="101"/>
      <c r="DT200" s="101"/>
      <c r="DU200" s="101"/>
      <c r="DV200" s="101">
        <f t="shared" si="58"/>
        <v>1</v>
      </c>
      <c r="DW200" s="101" t="str">
        <f t="shared" si="62"/>
        <v>Y</v>
      </c>
      <c r="DX200" s="103"/>
      <c r="DY200" s="104">
        <v>1</v>
      </c>
      <c r="DZ200" s="104"/>
      <c r="EA200" s="104"/>
      <c r="EB200" s="104"/>
      <c r="EC200" s="104"/>
      <c r="ED200" s="104"/>
      <c r="EE200" s="104"/>
      <c r="EF200" s="104"/>
      <c r="EG200" s="104"/>
      <c r="EH200" s="104"/>
      <c r="EI200" s="104"/>
      <c r="EJ200" s="104"/>
      <c r="EK200" s="104">
        <f t="shared" si="59"/>
        <v>1</v>
      </c>
      <c r="EL200" s="104" t="str">
        <f t="shared" si="60"/>
        <v>Y</v>
      </c>
      <c r="EM200" s="62"/>
      <c r="EN200" s="6"/>
      <c r="EO200" s="6"/>
      <c r="EP200" s="6"/>
      <c r="EQ200" s="6"/>
      <c r="ER200" s="6"/>
    </row>
    <row r="201" spans="1:148" ht="13.5" thickBot="1" x14ac:dyDescent="0.25">
      <c r="A201" s="1147"/>
      <c r="B201" s="1145"/>
      <c r="C201" s="1142"/>
      <c r="D201" s="1134"/>
      <c r="E201" s="1143"/>
      <c r="F201" s="1080"/>
      <c r="G201" s="1078"/>
      <c r="H201" s="1078"/>
      <c r="I201" s="1078"/>
      <c r="J201" s="1080"/>
      <c r="K201" s="1078"/>
      <c r="L201" s="180"/>
      <c r="M201" s="186"/>
      <c r="N201" s="177"/>
      <c r="O201" s="177"/>
      <c r="P201" s="177"/>
      <c r="Q201" s="172"/>
      <c r="R201" s="173"/>
      <c r="S201" s="173"/>
      <c r="T201" s="173"/>
      <c r="U201" s="173"/>
      <c r="V201" s="174"/>
      <c r="W201" s="175"/>
      <c r="X201" s="1100"/>
      <c r="Y201" s="1081"/>
      <c r="Z201" s="1081"/>
      <c r="AA201" s="1081"/>
      <c r="AB201" s="1081"/>
      <c r="AC201" s="1081"/>
      <c r="AD201" s="1081"/>
      <c r="AE201" s="1081"/>
      <c r="AF201" s="1081"/>
      <c r="AG201" s="1081"/>
      <c r="AH201" s="1081"/>
      <c r="AI201" s="1081"/>
      <c r="AJ201" s="1081"/>
      <c r="AK201" s="1082"/>
      <c r="AL201" s="1082"/>
      <c r="AM201" s="1082"/>
      <c r="AN201" s="1082"/>
      <c r="AO201" s="1081"/>
      <c r="AP201" s="1081"/>
      <c r="AQ201" s="95">
        <v>1</v>
      </c>
      <c r="AR201" s="95"/>
      <c r="AS201" s="95"/>
      <c r="AT201" s="95"/>
      <c r="AU201" s="95"/>
      <c r="AV201" s="95"/>
      <c r="AW201" s="95"/>
      <c r="AX201" s="95"/>
      <c r="AY201" s="95"/>
      <c r="AZ201" s="95"/>
      <c r="BA201" s="95"/>
      <c r="BB201" s="95"/>
      <c r="BC201" s="95"/>
      <c r="BD201" s="95"/>
      <c r="BE201" s="95">
        <f t="shared" si="48"/>
        <v>1</v>
      </c>
      <c r="BF201" s="96" t="str">
        <f t="shared" si="49"/>
        <v>Y</v>
      </c>
      <c r="BG201" s="97"/>
      <c r="BH201" s="98">
        <v>1</v>
      </c>
      <c r="BI201" s="98"/>
      <c r="BJ201" s="98"/>
      <c r="BK201" s="98"/>
      <c r="BL201" s="111"/>
      <c r="BM201" s="98">
        <f t="shared" si="50"/>
        <v>1</v>
      </c>
      <c r="BN201" s="98" t="str">
        <f t="shared" si="51"/>
        <v>Y</v>
      </c>
      <c r="BO201" s="115"/>
      <c r="BP201" s="100">
        <v>1</v>
      </c>
      <c r="BQ201" s="100"/>
      <c r="BR201" s="100"/>
      <c r="BS201" s="100">
        <f t="shared" si="52"/>
        <v>1</v>
      </c>
      <c r="BT201" s="100" t="str">
        <f t="shared" si="53"/>
        <v>Y</v>
      </c>
      <c r="BU201" s="50"/>
      <c r="BV201" s="101">
        <v>1</v>
      </c>
      <c r="BW201" s="101"/>
      <c r="BX201" s="101"/>
      <c r="BY201" s="101"/>
      <c r="BZ201" s="101"/>
      <c r="CA201" s="101"/>
      <c r="CB201" s="101"/>
      <c r="CC201" s="101"/>
      <c r="CD201" s="101">
        <f t="shared" si="54"/>
        <v>1</v>
      </c>
      <c r="CE201" s="101" t="str">
        <f t="shared" si="55"/>
        <v>Y</v>
      </c>
      <c r="CF201" s="54"/>
      <c r="CG201" s="102">
        <v>1</v>
      </c>
      <c r="CH201" s="102"/>
      <c r="CI201" s="102"/>
      <c r="CJ201" s="102"/>
      <c r="CK201" s="102"/>
      <c r="CL201" s="102"/>
      <c r="CM201" s="102"/>
      <c r="CN201" s="102"/>
      <c r="CO201" s="102"/>
      <c r="CP201" s="102"/>
      <c r="CQ201" s="102"/>
      <c r="CR201" s="102"/>
      <c r="CS201" s="102"/>
      <c r="CT201" s="102"/>
      <c r="CU201" s="102"/>
      <c r="CV201" s="102"/>
      <c r="CW201" s="102"/>
      <c r="CX201" s="102"/>
      <c r="CY201" s="102"/>
      <c r="CZ201" s="102">
        <f t="shared" si="56"/>
        <v>1</v>
      </c>
      <c r="DA201" s="102" t="str">
        <f t="shared" si="57"/>
        <v>Y</v>
      </c>
      <c r="DB201" s="58"/>
      <c r="DC201" s="101">
        <v>1</v>
      </c>
      <c r="DD201" s="101"/>
      <c r="DE201" s="101"/>
      <c r="DF201" s="101"/>
      <c r="DG201" s="101"/>
      <c r="DH201" s="101"/>
      <c r="DI201" s="101"/>
      <c r="DJ201" s="101"/>
      <c r="DK201" s="101"/>
      <c r="DL201" s="101"/>
      <c r="DM201" s="101"/>
      <c r="DN201" s="101"/>
      <c r="DO201" s="101"/>
      <c r="DP201" s="101"/>
      <c r="DQ201" s="101"/>
      <c r="DR201" s="101"/>
      <c r="DS201" s="101"/>
      <c r="DT201" s="101"/>
      <c r="DU201" s="101"/>
      <c r="DV201" s="101">
        <f t="shared" si="58"/>
        <v>1</v>
      </c>
      <c r="DW201" s="101" t="str">
        <f t="shared" si="62"/>
        <v>Y</v>
      </c>
      <c r="DX201" s="103"/>
      <c r="DY201" s="104">
        <v>1</v>
      </c>
      <c r="DZ201" s="104"/>
      <c r="EA201" s="104"/>
      <c r="EB201" s="104"/>
      <c r="EC201" s="104"/>
      <c r="ED201" s="104"/>
      <c r="EE201" s="104"/>
      <c r="EF201" s="104"/>
      <c r="EG201" s="104"/>
      <c r="EH201" s="104"/>
      <c r="EI201" s="104"/>
      <c r="EJ201" s="104"/>
      <c r="EK201" s="104">
        <f t="shared" si="59"/>
        <v>1</v>
      </c>
      <c r="EL201" s="104" t="str">
        <f t="shared" si="60"/>
        <v>Y</v>
      </c>
      <c r="EM201" s="62"/>
      <c r="EN201" s="6"/>
      <c r="EO201" s="6"/>
      <c r="EP201" s="6"/>
      <c r="EQ201" s="6"/>
      <c r="ER201" s="6"/>
    </row>
    <row r="202" spans="1:148" x14ac:dyDescent="0.2">
      <c r="A202" s="1146" t="s">
        <v>188</v>
      </c>
      <c r="B202" s="1138" t="s">
        <v>187</v>
      </c>
      <c r="C202" s="1140" t="s">
        <v>331</v>
      </c>
      <c r="D202" s="1133"/>
      <c r="E202" s="1085"/>
      <c r="F202" s="1144"/>
      <c r="G202" s="1076" t="s">
        <v>349</v>
      </c>
      <c r="H202" s="1076" t="s">
        <v>275</v>
      </c>
      <c r="I202" s="1076"/>
      <c r="J202" s="1079">
        <f>Y202+AA202+AC202+AE202+AG202+AI202+AK202+AM202+AO202</f>
        <v>1</v>
      </c>
      <c r="K202" s="1076"/>
      <c r="L202" s="180"/>
      <c r="M202" s="186"/>
      <c r="N202" s="177"/>
      <c r="O202" s="177"/>
      <c r="P202" s="177"/>
      <c r="Q202" s="172"/>
      <c r="R202" s="173"/>
      <c r="S202" s="173"/>
      <c r="T202" s="173"/>
      <c r="U202" s="173"/>
      <c r="V202" s="174"/>
      <c r="W202" s="175"/>
      <c r="X202" s="1098" t="s">
        <v>278</v>
      </c>
      <c r="Y202" s="1081">
        <f>IF(HC="Y",IF(BF202="Y",Z202,0),0)</f>
        <v>0</v>
      </c>
      <c r="Z202" s="1081">
        <v>1</v>
      </c>
      <c r="AA202" s="1081">
        <f>IF(OFF="Y",IF(BN202="Y",AB202,0),0)</f>
        <v>1</v>
      </c>
      <c r="AB202" s="1081">
        <v>1</v>
      </c>
      <c r="AC202" s="1081">
        <f>IF(COURTS="Y",IF(BT202="Y",AD202,0),0)</f>
        <v>0</v>
      </c>
      <c r="AD202" s="1081">
        <v>1</v>
      </c>
      <c r="AE202" s="1081">
        <f>IF(PRISONS="Y",IF(CE202="Y",AF202,0),0)</f>
        <v>0</v>
      </c>
      <c r="AF202" s="1081">
        <v>2</v>
      </c>
      <c r="AG202" s="1081">
        <f>IF(RET="Y",IF(DA202="Y",AH202,0),0)</f>
        <v>0</v>
      </c>
      <c r="AH202" s="1081">
        <v>1</v>
      </c>
      <c r="AI202" s="1081">
        <f>IF(SCHOOLS="y",IF(DW202="y",AJ202,0),0)</f>
        <v>0</v>
      </c>
      <c r="AJ202" s="1081">
        <v>1</v>
      </c>
      <c r="AK202" s="1082">
        <f>IF(FE="y",IF(DW202="y",AL202,0),0)</f>
        <v>0</v>
      </c>
      <c r="AL202" s="1082">
        <v>1</v>
      </c>
      <c r="AM202" s="1082">
        <f>IF(HE="Y",IF(DW202="Y",AN202,0),0)</f>
        <v>0</v>
      </c>
      <c r="AN202" s="1082">
        <v>1</v>
      </c>
      <c r="AO202" s="1081">
        <f>IF(INDUSTRIAL="Y",IF(EL202="Y",AP202,0),0)</f>
        <v>0</v>
      </c>
      <c r="AP202" s="1081">
        <v>1</v>
      </c>
      <c r="AQ202" s="95">
        <v>1</v>
      </c>
      <c r="AR202" s="95"/>
      <c r="AS202" s="95"/>
      <c r="AT202" s="95"/>
      <c r="AU202" s="95"/>
      <c r="AV202" s="95"/>
      <c r="AW202" s="95"/>
      <c r="AX202" s="95"/>
      <c r="AY202" s="95"/>
      <c r="AZ202" s="95"/>
      <c r="BA202" s="95"/>
      <c r="BB202" s="95"/>
      <c r="BC202" s="95"/>
      <c r="BD202" s="95"/>
      <c r="BE202" s="95">
        <f t="shared" si="48"/>
        <v>1</v>
      </c>
      <c r="BF202" s="96" t="str">
        <f t="shared" si="49"/>
        <v>Y</v>
      </c>
      <c r="BG202" s="97"/>
      <c r="BH202" s="98">
        <v>1</v>
      </c>
      <c r="BI202" s="98"/>
      <c r="BJ202" s="98"/>
      <c r="BK202" s="98"/>
      <c r="BL202" s="111"/>
      <c r="BM202" s="98">
        <f t="shared" si="50"/>
        <v>1</v>
      </c>
      <c r="BN202" s="98" t="str">
        <f t="shared" si="51"/>
        <v>Y</v>
      </c>
      <c r="BO202" s="115"/>
      <c r="BP202" s="100">
        <v>1</v>
      </c>
      <c r="BQ202" s="100"/>
      <c r="BR202" s="100"/>
      <c r="BS202" s="100">
        <f t="shared" si="52"/>
        <v>1</v>
      </c>
      <c r="BT202" s="100" t="str">
        <f t="shared" si="53"/>
        <v>Y</v>
      </c>
      <c r="BU202" s="50"/>
      <c r="BV202" s="101">
        <v>1</v>
      </c>
      <c r="BW202" s="101"/>
      <c r="BX202" s="101"/>
      <c r="BY202" s="101"/>
      <c r="BZ202" s="101"/>
      <c r="CA202" s="101"/>
      <c r="CB202" s="101"/>
      <c r="CC202" s="101"/>
      <c r="CD202" s="101">
        <f t="shared" si="54"/>
        <v>1</v>
      </c>
      <c r="CE202" s="101" t="str">
        <f t="shared" si="55"/>
        <v>Y</v>
      </c>
      <c r="CF202" s="54"/>
      <c r="CG202" s="102">
        <v>1</v>
      </c>
      <c r="CH202" s="102"/>
      <c r="CI202" s="102"/>
      <c r="CJ202" s="102"/>
      <c r="CK202" s="102"/>
      <c r="CL202" s="102"/>
      <c r="CM202" s="102"/>
      <c r="CN202" s="102"/>
      <c r="CO202" s="102"/>
      <c r="CP202" s="102"/>
      <c r="CQ202" s="102"/>
      <c r="CR202" s="102"/>
      <c r="CS202" s="102"/>
      <c r="CT202" s="102"/>
      <c r="CU202" s="102"/>
      <c r="CV202" s="102"/>
      <c r="CW202" s="102"/>
      <c r="CX202" s="102"/>
      <c r="CY202" s="102"/>
      <c r="CZ202" s="102">
        <f t="shared" si="56"/>
        <v>1</v>
      </c>
      <c r="DA202" s="102" t="str">
        <f t="shared" si="57"/>
        <v>Y</v>
      </c>
      <c r="DB202" s="58"/>
      <c r="DC202" s="101">
        <v>1</v>
      </c>
      <c r="DD202" s="101"/>
      <c r="DE202" s="101"/>
      <c r="DF202" s="101"/>
      <c r="DG202" s="101"/>
      <c r="DH202" s="101"/>
      <c r="DI202" s="101"/>
      <c r="DJ202" s="101"/>
      <c r="DK202" s="101"/>
      <c r="DL202" s="101"/>
      <c r="DM202" s="101"/>
      <c r="DN202" s="101"/>
      <c r="DO202" s="101"/>
      <c r="DP202" s="101"/>
      <c r="DQ202" s="101"/>
      <c r="DR202" s="101"/>
      <c r="DS202" s="101"/>
      <c r="DT202" s="101"/>
      <c r="DU202" s="101"/>
      <c r="DV202" s="101">
        <f t="shared" si="58"/>
        <v>1</v>
      </c>
      <c r="DW202" s="101" t="str">
        <f t="shared" si="62"/>
        <v>Y</v>
      </c>
      <c r="DX202" s="103"/>
      <c r="DY202" s="104">
        <v>1</v>
      </c>
      <c r="DZ202" s="104"/>
      <c r="EA202" s="104"/>
      <c r="EB202" s="104"/>
      <c r="EC202" s="104"/>
      <c r="ED202" s="104"/>
      <c r="EE202" s="104"/>
      <c r="EF202" s="104"/>
      <c r="EG202" s="104"/>
      <c r="EH202" s="104"/>
      <c r="EI202" s="104"/>
      <c r="EJ202" s="104"/>
      <c r="EK202" s="104">
        <f t="shared" si="59"/>
        <v>1</v>
      </c>
      <c r="EL202" s="104" t="str">
        <f t="shared" si="60"/>
        <v>Y</v>
      </c>
      <c r="EM202" s="62"/>
      <c r="EN202" s="6"/>
      <c r="EO202" s="6"/>
      <c r="EP202" s="6"/>
      <c r="EQ202" s="6"/>
      <c r="ER202" s="6"/>
    </row>
    <row r="203" spans="1:148" x14ac:dyDescent="0.2">
      <c r="A203" s="1147"/>
      <c r="B203" s="1139"/>
      <c r="C203" s="1141"/>
      <c r="D203" s="1134"/>
      <c r="E203" s="1086"/>
      <c r="F203" s="1079"/>
      <c r="G203" s="1077"/>
      <c r="H203" s="1077"/>
      <c r="I203" s="1077"/>
      <c r="J203" s="1079"/>
      <c r="K203" s="1077"/>
      <c r="L203" s="181"/>
      <c r="M203" s="186"/>
      <c r="N203" s="177"/>
      <c r="O203" s="177"/>
      <c r="P203" s="177"/>
      <c r="Q203" s="172"/>
      <c r="R203" s="173"/>
      <c r="S203" s="173"/>
      <c r="T203" s="173"/>
      <c r="U203" s="173"/>
      <c r="V203" s="174"/>
      <c r="W203" s="175"/>
      <c r="X203" s="1099"/>
      <c r="Y203" s="1081"/>
      <c r="Z203" s="1081"/>
      <c r="AA203" s="1081"/>
      <c r="AB203" s="1081"/>
      <c r="AC203" s="1081"/>
      <c r="AD203" s="1081"/>
      <c r="AE203" s="1081"/>
      <c r="AF203" s="1081"/>
      <c r="AG203" s="1081"/>
      <c r="AH203" s="1081"/>
      <c r="AI203" s="1081"/>
      <c r="AJ203" s="1081"/>
      <c r="AK203" s="1082"/>
      <c r="AL203" s="1082"/>
      <c r="AM203" s="1082"/>
      <c r="AN203" s="1082"/>
      <c r="AO203" s="1081"/>
      <c r="AP203" s="1081"/>
      <c r="AQ203" s="95">
        <v>1</v>
      </c>
      <c r="AR203" s="95"/>
      <c r="AS203" s="95"/>
      <c r="AT203" s="95"/>
      <c r="AU203" s="95"/>
      <c r="AV203" s="95"/>
      <c r="AW203" s="95"/>
      <c r="AX203" s="95"/>
      <c r="AY203" s="95"/>
      <c r="AZ203" s="95"/>
      <c r="BA203" s="95"/>
      <c r="BB203" s="95"/>
      <c r="BC203" s="95"/>
      <c r="BD203" s="95"/>
      <c r="BE203" s="95">
        <f t="shared" si="48"/>
        <v>1</v>
      </c>
      <c r="BF203" s="96" t="str">
        <f t="shared" si="49"/>
        <v>Y</v>
      </c>
      <c r="BG203" s="97"/>
      <c r="BH203" s="98">
        <v>1</v>
      </c>
      <c r="BI203" s="98"/>
      <c r="BJ203" s="98"/>
      <c r="BK203" s="98"/>
      <c r="BL203" s="111"/>
      <c r="BM203" s="98">
        <f t="shared" si="50"/>
        <v>1</v>
      </c>
      <c r="BN203" s="98" t="str">
        <f t="shared" si="51"/>
        <v>Y</v>
      </c>
      <c r="BO203" s="115"/>
      <c r="BP203" s="100">
        <v>1</v>
      </c>
      <c r="BQ203" s="100"/>
      <c r="BR203" s="100"/>
      <c r="BS203" s="100">
        <f t="shared" si="52"/>
        <v>1</v>
      </c>
      <c r="BT203" s="100" t="str">
        <f t="shared" si="53"/>
        <v>Y</v>
      </c>
      <c r="BU203" s="50"/>
      <c r="BV203" s="101">
        <v>1</v>
      </c>
      <c r="BW203" s="101"/>
      <c r="BX203" s="101"/>
      <c r="BY203" s="101"/>
      <c r="BZ203" s="101"/>
      <c r="CA203" s="101"/>
      <c r="CB203" s="101"/>
      <c r="CC203" s="101"/>
      <c r="CD203" s="101">
        <f t="shared" si="54"/>
        <v>1</v>
      </c>
      <c r="CE203" s="101" t="str">
        <f t="shared" si="55"/>
        <v>Y</v>
      </c>
      <c r="CF203" s="54"/>
      <c r="CG203" s="102">
        <v>1</v>
      </c>
      <c r="CH203" s="102"/>
      <c r="CI203" s="102"/>
      <c r="CJ203" s="102"/>
      <c r="CK203" s="102"/>
      <c r="CL203" s="102"/>
      <c r="CM203" s="102"/>
      <c r="CN203" s="102"/>
      <c r="CO203" s="102"/>
      <c r="CP203" s="102"/>
      <c r="CQ203" s="102"/>
      <c r="CR203" s="102"/>
      <c r="CS203" s="102"/>
      <c r="CT203" s="102"/>
      <c r="CU203" s="102"/>
      <c r="CV203" s="102"/>
      <c r="CW203" s="102"/>
      <c r="CX203" s="102"/>
      <c r="CY203" s="102"/>
      <c r="CZ203" s="102">
        <f t="shared" si="56"/>
        <v>1</v>
      </c>
      <c r="DA203" s="102" t="str">
        <f t="shared" si="57"/>
        <v>Y</v>
      </c>
      <c r="DB203" s="58"/>
      <c r="DC203" s="101">
        <v>1</v>
      </c>
      <c r="DD203" s="101"/>
      <c r="DE203" s="101"/>
      <c r="DF203" s="101"/>
      <c r="DG203" s="101"/>
      <c r="DH203" s="101"/>
      <c r="DI203" s="101"/>
      <c r="DJ203" s="101"/>
      <c r="DK203" s="101"/>
      <c r="DL203" s="101"/>
      <c r="DM203" s="101"/>
      <c r="DN203" s="101"/>
      <c r="DO203" s="101"/>
      <c r="DP203" s="101"/>
      <c r="DQ203" s="101"/>
      <c r="DR203" s="101"/>
      <c r="DS203" s="101"/>
      <c r="DT203" s="101"/>
      <c r="DU203" s="101"/>
      <c r="DV203" s="101">
        <f t="shared" si="58"/>
        <v>1</v>
      </c>
      <c r="DW203" s="101" t="str">
        <f t="shared" si="62"/>
        <v>Y</v>
      </c>
      <c r="DX203" s="103"/>
      <c r="DY203" s="104">
        <v>1</v>
      </c>
      <c r="DZ203" s="104"/>
      <c r="EA203" s="104"/>
      <c r="EB203" s="104"/>
      <c r="EC203" s="104"/>
      <c r="ED203" s="104"/>
      <c r="EE203" s="104"/>
      <c r="EF203" s="104"/>
      <c r="EG203" s="104"/>
      <c r="EH203" s="104"/>
      <c r="EI203" s="104"/>
      <c r="EJ203" s="104"/>
      <c r="EK203" s="104">
        <f t="shared" si="59"/>
        <v>1</v>
      </c>
      <c r="EL203" s="104" t="str">
        <f t="shared" si="60"/>
        <v>Y</v>
      </c>
      <c r="EM203" s="62"/>
      <c r="EN203" s="6"/>
      <c r="EO203" s="6"/>
      <c r="EP203" s="6"/>
      <c r="EQ203" s="6"/>
      <c r="ER203" s="6"/>
    </row>
    <row r="204" spans="1:148" ht="13.5" thickBot="1" x14ac:dyDescent="0.25">
      <c r="A204" s="1147"/>
      <c r="B204" s="1145"/>
      <c r="C204" s="1142"/>
      <c r="D204" s="1136"/>
      <c r="E204" s="1143"/>
      <c r="F204" s="1080"/>
      <c r="G204" s="1078"/>
      <c r="H204" s="1078"/>
      <c r="I204" s="1078"/>
      <c r="J204" s="1080"/>
      <c r="K204" s="1078"/>
      <c r="L204" s="181"/>
      <c r="M204" s="186"/>
      <c r="N204" s="177"/>
      <c r="O204" s="177"/>
      <c r="P204" s="177"/>
      <c r="Q204" s="172"/>
      <c r="R204" s="173"/>
      <c r="S204" s="173"/>
      <c r="T204" s="173"/>
      <c r="U204" s="173"/>
      <c r="V204" s="174"/>
      <c r="W204" s="175"/>
      <c r="X204" s="1100"/>
      <c r="Y204" s="1081"/>
      <c r="Z204" s="1081"/>
      <c r="AA204" s="1081"/>
      <c r="AB204" s="1081"/>
      <c r="AC204" s="1081"/>
      <c r="AD204" s="1081"/>
      <c r="AE204" s="1081"/>
      <c r="AF204" s="1081"/>
      <c r="AG204" s="1081"/>
      <c r="AH204" s="1081"/>
      <c r="AI204" s="1081"/>
      <c r="AJ204" s="1081"/>
      <c r="AK204" s="1082"/>
      <c r="AL204" s="1082"/>
      <c r="AM204" s="1082"/>
      <c r="AN204" s="1082"/>
      <c r="AO204" s="1081"/>
      <c r="AP204" s="1081"/>
      <c r="AQ204" s="95">
        <v>1</v>
      </c>
      <c r="AR204" s="95"/>
      <c r="AS204" s="95"/>
      <c r="AT204" s="95"/>
      <c r="AU204" s="95"/>
      <c r="AV204" s="95"/>
      <c r="AW204" s="95"/>
      <c r="AX204" s="95"/>
      <c r="AY204" s="95"/>
      <c r="AZ204" s="95"/>
      <c r="BA204" s="95"/>
      <c r="BB204" s="95"/>
      <c r="BC204" s="95"/>
      <c r="BD204" s="95"/>
      <c r="BE204" s="95">
        <f t="shared" si="48"/>
        <v>1</v>
      </c>
      <c r="BF204" s="96" t="str">
        <f t="shared" si="49"/>
        <v>Y</v>
      </c>
      <c r="BG204" s="97"/>
      <c r="BH204" s="98">
        <v>1</v>
      </c>
      <c r="BI204" s="98"/>
      <c r="BJ204" s="98"/>
      <c r="BK204" s="98"/>
      <c r="BL204" s="111"/>
      <c r="BM204" s="98">
        <f t="shared" si="50"/>
        <v>1</v>
      </c>
      <c r="BN204" s="98" t="str">
        <f t="shared" si="51"/>
        <v>Y</v>
      </c>
      <c r="BO204" s="115"/>
      <c r="BP204" s="100">
        <v>1</v>
      </c>
      <c r="BQ204" s="100"/>
      <c r="BR204" s="100"/>
      <c r="BS204" s="100">
        <f t="shared" si="52"/>
        <v>1</v>
      </c>
      <c r="BT204" s="100" t="str">
        <f t="shared" si="53"/>
        <v>Y</v>
      </c>
      <c r="BU204" s="50"/>
      <c r="BV204" s="101">
        <v>1</v>
      </c>
      <c r="BW204" s="101"/>
      <c r="BX204" s="101"/>
      <c r="BY204" s="101"/>
      <c r="BZ204" s="101"/>
      <c r="CA204" s="101"/>
      <c r="CB204" s="101"/>
      <c r="CC204" s="101"/>
      <c r="CD204" s="101">
        <f t="shared" si="54"/>
        <v>1</v>
      </c>
      <c r="CE204" s="101" t="str">
        <f t="shared" si="55"/>
        <v>Y</v>
      </c>
      <c r="CF204" s="54"/>
      <c r="CG204" s="102">
        <v>1</v>
      </c>
      <c r="CH204" s="102"/>
      <c r="CI204" s="102"/>
      <c r="CJ204" s="102"/>
      <c r="CK204" s="102"/>
      <c r="CL204" s="102"/>
      <c r="CM204" s="102"/>
      <c r="CN204" s="102"/>
      <c r="CO204" s="102"/>
      <c r="CP204" s="102"/>
      <c r="CQ204" s="102"/>
      <c r="CR204" s="102"/>
      <c r="CS204" s="102"/>
      <c r="CT204" s="102"/>
      <c r="CU204" s="102"/>
      <c r="CV204" s="102"/>
      <c r="CW204" s="102"/>
      <c r="CX204" s="102"/>
      <c r="CY204" s="102"/>
      <c r="CZ204" s="102">
        <f t="shared" si="56"/>
        <v>1</v>
      </c>
      <c r="DA204" s="102" t="str">
        <f t="shared" si="57"/>
        <v>Y</v>
      </c>
      <c r="DB204" s="58"/>
      <c r="DC204" s="101">
        <v>1</v>
      </c>
      <c r="DD204" s="101"/>
      <c r="DE204" s="101"/>
      <c r="DF204" s="101"/>
      <c r="DG204" s="101"/>
      <c r="DH204" s="101"/>
      <c r="DI204" s="101"/>
      <c r="DJ204" s="101"/>
      <c r="DK204" s="101"/>
      <c r="DL204" s="101"/>
      <c r="DM204" s="101"/>
      <c r="DN204" s="101"/>
      <c r="DO204" s="101"/>
      <c r="DP204" s="101"/>
      <c r="DQ204" s="101"/>
      <c r="DR204" s="101"/>
      <c r="DS204" s="101"/>
      <c r="DT204" s="101"/>
      <c r="DU204" s="101"/>
      <c r="DV204" s="101">
        <f t="shared" si="58"/>
        <v>1</v>
      </c>
      <c r="DW204" s="101" t="str">
        <f t="shared" si="62"/>
        <v>Y</v>
      </c>
      <c r="DX204" s="103"/>
      <c r="DY204" s="104">
        <v>1</v>
      </c>
      <c r="DZ204" s="104"/>
      <c r="EA204" s="104"/>
      <c r="EB204" s="104"/>
      <c r="EC204" s="104"/>
      <c r="ED204" s="104"/>
      <c r="EE204" s="104"/>
      <c r="EF204" s="104"/>
      <c r="EG204" s="104"/>
      <c r="EH204" s="104"/>
      <c r="EI204" s="104"/>
      <c r="EJ204" s="104"/>
      <c r="EK204" s="104">
        <f t="shared" si="59"/>
        <v>1</v>
      </c>
      <c r="EL204" s="104" t="str">
        <f t="shared" si="60"/>
        <v>Y</v>
      </c>
      <c r="EM204" s="62"/>
      <c r="EN204" s="6"/>
      <c r="EO204" s="6"/>
      <c r="EP204" s="6"/>
      <c r="EQ204" s="6"/>
      <c r="ER204" s="6"/>
    </row>
    <row r="205" spans="1:148" x14ac:dyDescent="0.2">
      <c r="A205" s="1147"/>
      <c r="B205" s="1139" t="s">
        <v>357</v>
      </c>
      <c r="C205" s="1141" t="s">
        <v>358</v>
      </c>
      <c r="D205" s="1133"/>
      <c r="E205" s="1085"/>
      <c r="F205" s="1144"/>
      <c r="G205" s="1076" t="s">
        <v>356</v>
      </c>
      <c r="H205" s="1076" t="s">
        <v>341</v>
      </c>
      <c r="I205" s="4"/>
      <c r="J205" s="1079">
        <v>3</v>
      </c>
      <c r="K205" s="1076"/>
      <c r="L205" s="180"/>
      <c r="M205" s="186"/>
      <c r="N205" s="177"/>
      <c r="O205" s="177"/>
      <c r="P205" s="177"/>
      <c r="Q205" s="172"/>
      <c r="R205" s="173"/>
      <c r="S205" s="173"/>
      <c r="T205" s="173"/>
      <c r="U205" s="173"/>
      <c r="V205" s="174"/>
      <c r="W205" s="175"/>
      <c r="X205" s="1197" t="s">
        <v>415</v>
      </c>
      <c r="Y205" s="116"/>
      <c r="Z205" s="116"/>
      <c r="AA205" s="116"/>
      <c r="AB205" s="116"/>
      <c r="AC205" s="116"/>
      <c r="AD205" s="116"/>
      <c r="AE205" s="116"/>
      <c r="AF205" s="116"/>
      <c r="AG205" s="116"/>
      <c r="AH205" s="116"/>
      <c r="AI205" s="116"/>
      <c r="AJ205" s="116"/>
      <c r="AK205" s="117"/>
      <c r="AL205" s="117"/>
      <c r="AM205" s="117"/>
      <c r="AN205" s="117"/>
      <c r="AO205" s="116"/>
      <c r="AP205" s="116"/>
      <c r="AQ205" s="95"/>
      <c r="AR205" s="95"/>
      <c r="AS205" s="95"/>
      <c r="AT205" s="95"/>
      <c r="AU205" s="95"/>
      <c r="AV205" s="95"/>
      <c r="AW205" s="95"/>
      <c r="AX205" s="95"/>
      <c r="AY205" s="95"/>
      <c r="AZ205" s="95"/>
      <c r="BA205" s="95"/>
      <c r="BB205" s="95"/>
      <c r="BC205" s="95"/>
      <c r="BD205" s="95"/>
      <c r="BE205" s="95"/>
      <c r="BF205" s="96"/>
      <c r="BG205" s="97"/>
      <c r="BH205" s="98"/>
      <c r="BI205" s="98"/>
      <c r="BJ205" s="98"/>
      <c r="BK205" s="98"/>
      <c r="BL205" s="111"/>
      <c r="BM205" s="98"/>
      <c r="BN205" s="98"/>
      <c r="BO205" s="115"/>
      <c r="BP205" s="100"/>
      <c r="BQ205" s="100"/>
      <c r="BR205" s="100"/>
      <c r="BS205" s="100"/>
      <c r="BT205" s="100"/>
      <c r="BU205" s="50"/>
      <c r="BV205" s="101"/>
      <c r="BW205" s="101"/>
      <c r="BX205" s="101"/>
      <c r="BY205" s="101"/>
      <c r="BZ205" s="101"/>
      <c r="CA205" s="101"/>
      <c r="CB205" s="101"/>
      <c r="CC205" s="101"/>
      <c r="CD205" s="101"/>
      <c r="CE205" s="101"/>
      <c r="CF205" s="54"/>
      <c r="CG205" s="102"/>
      <c r="CH205" s="102"/>
      <c r="CI205" s="102"/>
      <c r="CJ205" s="102"/>
      <c r="CK205" s="102"/>
      <c r="CL205" s="102"/>
      <c r="CM205" s="102"/>
      <c r="CN205" s="102"/>
      <c r="CO205" s="102"/>
      <c r="CP205" s="102"/>
      <c r="CQ205" s="102"/>
      <c r="CR205" s="102"/>
      <c r="CS205" s="102"/>
      <c r="CT205" s="102"/>
      <c r="CU205" s="102"/>
      <c r="CV205" s="102"/>
      <c r="CW205" s="102"/>
      <c r="CX205" s="102"/>
      <c r="CY205" s="102"/>
      <c r="CZ205" s="102"/>
      <c r="DA205" s="102"/>
      <c r="DB205" s="58"/>
      <c r="DC205" s="101"/>
      <c r="DD205" s="101"/>
      <c r="DE205" s="101"/>
      <c r="DF205" s="101"/>
      <c r="DG205" s="101"/>
      <c r="DH205" s="101"/>
      <c r="DI205" s="101"/>
      <c r="DJ205" s="101"/>
      <c r="DK205" s="101"/>
      <c r="DL205" s="101"/>
      <c r="DM205" s="101"/>
      <c r="DN205" s="101"/>
      <c r="DO205" s="101"/>
      <c r="DP205" s="101"/>
      <c r="DQ205" s="101"/>
      <c r="DR205" s="101"/>
      <c r="DS205" s="101"/>
      <c r="DT205" s="101"/>
      <c r="DU205" s="101"/>
      <c r="DV205" s="101"/>
      <c r="DW205" s="101"/>
      <c r="DX205" s="103"/>
      <c r="DY205" s="104"/>
      <c r="DZ205" s="104"/>
      <c r="EA205" s="104"/>
      <c r="EB205" s="104"/>
      <c r="EC205" s="104"/>
      <c r="ED205" s="104"/>
      <c r="EE205" s="104"/>
      <c r="EF205" s="104"/>
      <c r="EG205" s="104"/>
      <c r="EH205" s="104"/>
      <c r="EI205" s="104"/>
      <c r="EJ205" s="104"/>
      <c r="EK205" s="104"/>
      <c r="EL205" s="104"/>
      <c r="EM205" s="62"/>
      <c r="EN205" s="6"/>
      <c r="EO205" s="6"/>
      <c r="EP205" s="6"/>
      <c r="EQ205" s="6"/>
      <c r="ER205" s="6"/>
    </row>
    <row r="206" spans="1:148" x14ac:dyDescent="0.2">
      <c r="A206" s="1147"/>
      <c r="B206" s="1139"/>
      <c r="C206" s="1141"/>
      <c r="D206" s="1134"/>
      <c r="E206" s="1086"/>
      <c r="F206" s="1079"/>
      <c r="G206" s="1077"/>
      <c r="H206" s="1077"/>
      <c r="I206" s="255"/>
      <c r="J206" s="1079"/>
      <c r="K206" s="1077"/>
      <c r="L206" s="181"/>
      <c r="M206" s="186"/>
      <c r="N206" s="177"/>
      <c r="O206" s="177"/>
      <c r="P206" s="177"/>
      <c r="Q206" s="172"/>
      <c r="R206" s="173"/>
      <c r="S206" s="173"/>
      <c r="T206" s="173"/>
      <c r="U206" s="173"/>
      <c r="V206" s="174"/>
      <c r="W206" s="175"/>
      <c r="X206" s="1198"/>
      <c r="Y206" s="116"/>
      <c r="Z206" s="116"/>
      <c r="AA206" s="116"/>
      <c r="AB206" s="116"/>
      <c r="AC206" s="116"/>
      <c r="AD206" s="116"/>
      <c r="AE206" s="116"/>
      <c r="AF206" s="116"/>
      <c r="AG206" s="116"/>
      <c r="AH206" s="116"/>
      <c r="AI206" s="116"/>
      <c r="AJ206" s="116"/>
      <c r="AK206" s="117"/>
      <c r="AL206" s="117"/>
      <c r="AM206" s="117"/>
      <c r="AN206" s="117"/>
      <c r="AO206" s="116"/>
      <c r="AP206" s="116"/>
      <c r="AQ206" s="95"/>
      <c r="AR206" s="95"/>
      <c r="AS206" s="95"/>
      <c r="AT206" s="95"/>
      <c r="AU206" s="95"/>
      <c r="AV206" s="95"/>
      <c r="AW206" s="95"/>
      <c r="AX206" s="95"/>
      <c r="AY206" s="95"/>
      <c r="AZ206" s="95"/>
      <c r="BA206" s="95"/>
      <c r="BB206" s="95"/>
      <c r="BC206" s="95"/>
      <c r="BD206" s="95"/>
      <c r="BE206" s="95"/>
      <c r="BF206" s="96"/>
      <c r="BG206" s="97"/>
      <c r="BH206" s="98"/>
      <c r="BI206" s="98"/>
      <c r="BJ206" s="98"/>
      <c r="BK206" s="98"/>
      <c r="BL206" s="111"/>
      <c r="BM206" s="98"/>
      <c r="BN206" s="98"/>
      <c r="BO206" s="115"/>
      <c r="BP206" s="100"/>
      <c r="BQ206" s="100"/>
      <c r="BR206" s="100"/>
      <c r="BS206" s="100"/>
      <c r="BT206" s="100"/>
      <c r="BU206" s="50"/>
      <c r="BV206" s="101"/>
      <c r="BW206" s="101"/>
      <c r="BX206" s="101"/>
      <c r="BY206" s="101"/>
      <c r="BZ206" s="101"/>
      <c r="CA206" s="101"/>
      <c r="CB206" s="101"/>
      <c r="CC206" s="101"/>
      <c r="CD206" s="101"/>
      <c r="CE206" s="101"/>
      <c r="CF206" s="54"/>
      <c r="CG206" s="102"/>
      <c r="CH206" s="102"/>
      <c r="CI206" s="102"/>
      <c r="CJ206" s="102"/>
      <c r="CK206" s="102"/>
      <c r="CL206" s="102"/>
      <c r="CM206" s="102"/>
      <c r="CN206" s="102"/>
      <c r="CO206" s="102"/>
      <c r="CP206" s="102"/>
      <c r="CQ206" s="102"/>
      <c r="CR206" s="102"/>
      <c r="CS206" s="102"/>
      <c r="CT206" s="102"/>
      <c r="CU206" s="102"/>
      <c r="CV206" s="102"/>
      <c r="CW206" s="102"/>
      <c r="CX206" s="102"/>
      <c r="CY206" s="102"/>
      <c r="CZ206" s="102"/>
      <c r="DA206" s="102"/>
      <c r="DB206" s="58"/>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3"/>
      <c r="DY206" s="104"/>
      <c r="DZ206" s="104"/>
      <c r="EA206" s="104"/>
      <c r="EB206" s="104"/>
      <c r="EC206" s="104"/>
      <c r="ED206" s="104"/>
      <c r="EE206" s="104"/>
      <c r="EF206" s="104"/>
      <c r="EG206" s="104"/>
      <c r="EH206" s="104"/>
      <c r="EI206" s="104"/>
      <c r="EJ206" s="104"/>
      <c r="EK206" s="104"/>
      <c r="EL206" s="104"/>
      <c r="EM206" s="62"/>
      <c r="EN206" s="6"/>
      <c r="EO206" s="6"/>
      <c r="EP206" s="6"/>
      <c r="EQ206" s="6"/>
      <c r="ER206" s="6"/>
    </row>
    <row r="207" spans="1:148" ht="13.5" thickBot="1" x14ac:dyDescent="0.25">
      <c r="A207" s="1147"/>
      <c r="B207" s="1145"/>
      <c r="C207" s="1142"/>
      <c r="D207" s="1136"/>
      <c r="E207" s="1143"/>
      <c r="F207" s="1080"/>
      <c r="G207" s="1078"/>
      <c r="H207" s="1078"/>
      <c r="I207" s="4"/>
      <c r="J207" s="1080"/>
      <c r="K207" s="1078"/>
      <c r="L207" s="180"/>
      <c r="M207" s="186"/>
      <c r="N207" s="177"/>
      <c r="O207" s="177"/>
      <c r="P207" s="177"/>
      <c r="Q207" s="172"/>
      <c r="R207" s="173"/>
      <c r="S207" s="173"/>
      <c r="T207" s="173"/>
      <c r="U207" s="173"/>
      <c r="V207" s="174"/>
      <c r="W207" s="175"/>
      <c r="X207" s="1199"/>
      <c r="Y207" s="116"/>
      <c r="Z207" s="116"/>
      <c r="AA207" s="116"/>
      <c r="AB207" s="116"/>
      <c r="AC207" s="116"/>
      <c r="AD207" s="116"/>
      <c r="AE207" s="116"/>
      <c r="AF207" s="116"/>
      <c r="AG207" s="116"/>
      <c r="AH207" s="116"/>
      <c r="AI207" s="116"/>
      <c r="AJ207" s="116"/>
      <c r="AK207" s="117"/>
      <c r="AL207" s="117"/>
      <c r="AM207" s="117"/>
      <c r="AN207" s="117"/>
      <c r="AO207" s="116"/>
      <c r="AP207" s="116"/>
      <c r="AQ207" s="95"/>
      <c r="AR207" s="95"/>
      <c r="AS207" s="95"/>
      <c r="AT207" s="95"/>
      <c r="AU207" s="95"/>
      <c r="AV207" s="95"/>
      <c r="AW207" s="95"/>
      <c r="AX207" s="95"/>
      <c r="AY207" s="95"/>
      <c r="AZ207" s="95"/>
      <c r="BA207" s="95"/>
      <c r="BB207" s="95"/>
      <c r="BC207" s="95"/>
      <c r="BD207" s="95"/>
      <c r="BE207" s="95"/>
      <c r="BF207" s="96"/>
      <c r="BG207" s="97"/>
      <c r="BH207" s="98"/>
      <c r="BI207" s="98"/>
      <c r="BJ207" s="98"/>
      <c r="BK207" s="98"/>
      <c r="BL207" s="111"/>
      <c r="BM207" s="98"/>
      <c r="BN207" s="98"/>
      <c r="BO207" s="115"/>
      <c r="BP207" s="100"/>
      <c r="BQ207" s="100"/>
      <c r="BR207" s="100"/>
      <c r="BS207" s="100"/>
      <c r="BT207" s="100"/>
      <c r="BU207" s="50"/>
      <c r="BV207" s="101"/>
      <c r="BW207" s="101"/>
      <c r="BX207" s="101"/>
      <c r="BY207" s="101"/>
      <c r="BZ207" s="101"/>
      <c r="CA207" s="101"/>
      <c r="CB207" s="101"/>
      <c r="CC207" s="101"/>
      <c r="CD207" s="101"/>
      <c r="CE207" s="101"/>
      <c r="CF207" s="54"/>
      <c r="CG207" s="102"/>
      <c r="CH207" s="102"/>
      <c r="CI207" s="102"/>
      <c r="CJ207" s="102"/>
      <c r="CK207" s="102"/>
      <c r="CL207" s="102"/>
      <c r="CM207" s="102"/>
      <c r="CN207" s="102"/>
      <c r="CO207" s="102"/>
      <c r="CP207" s="102"/>
      <c r="CQ207" s="102"/>
      <c r="CR207" s="102"/>
      <c r="CS207" s="102"/>
      <c r="CT207" s="102"/>
      <c r="CU207" s="102"/>
      <c r="CV207" s="102"/>
      <c r="CW207" s="102"/>
      <c r="CX207" s="102"/>
      <c r="CY207" s="102"/>
      <c r="CZ207" s="102"/>
      <c r="DA207" s="102"/>
      <c r="DB207" s="58"/>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3"/>
      <c r="DY207" s="104"/>
      <c r="DZ207" s="104"/>
      <c r="EA207" s="104"/>
      <c r="EB207" s="104"/>
      <c r="EC207" s="104"/>
      <c r="ED207" s="104"/>
      <c r="EE207" s="104"/>
      <c r="EF207" s="104"/>
      <c r="EG207" s="104"/>
      <c r="EH207" s="104"/>
      <c r="EI207" s="104"/>
      <c r="EJ207" s="104"/>
      <c r="EK207" s="104"/>
      <c r="EL207" s="104"/>
      <c r="EM207" s="62"/>
      <c r="EN207" s="6"/>
      <c r="EO207" s="6"/>
      <c r="EP207" s="6"/>
      <c r="EQ207" s="6"/>
      <c r="ER207" s="6"/>
    </row>
    <row r="208" spans="1:148" x14ac:dyDescent="0.2">
      <c r="A208" s="1147"/>
      <c r="B208" s="1138" t="s">
        <v>186</v>
      </c>
      <c r="C208" s="1140" t="s">
        <v>48</v>
      </c>
      <c r="D208" s="1133"/>
      <c r="E208" s="1085"/>
      <c r="F208" s="1144"/>
      <c r="G208" s="1076" t="s">
        <v>349</v>
      </c>
      <c r="H208" s="1076" t="s">
        <v>281</v>
      </c>
      <c r="I208" s="1076"/>
      <c r="J208" s="1079">
        <f>Y208+AA208+AC208+AE208+AG208+AI208+AK208+AM208+AO208</f>
        <v>2</v>
      </c>
      <c r="K208" s="1076"/>
      <c r="L208" s="180"/>
      <c r="M208" s="186"/>
      <c r="N208" s="177"/>
      <c r="O208" s="177"/>
      <c r="P208" s="177"/>
      <c r="Q208" s="172"/>
      <c r="R208" s="173"/>
      <c r="S208" s="173"/>
      <c r="T208" s="173"/>
      <c r="U208" s="173"/>
      <c r="V208" s="174"/>
      <c r="W208" s="175"/>
      <c r="X208" s="1098" t="s">
        <v>369</v>
      </c>
      <c r="Y208" s="1081">
        <f>IF(HC="Y",IF(BF208="Y",Z208,0),0)</f>
        <v>0</v>
      </c>
      <c r="Z208" s="1081">
        <v>2</v>
      </c>
      <c r="AA208" s="1081">
        <f>IF(OFF="Y",IF(BN208="Y",AB208,0),0)</f>
        <v>2</v>
      </c>
      <c r="AB208" s="1081">
        <v>2</v>
      </c>
      <c r="AC208" s="1081">
        <f>IF(COURTS="Y",IF(BT208="Y",AD208,0),0)</f>
        <v>0</v>
      </c>
      <c r="AD208" s="1081">
        <v>2</v>
      </c>
      <c r="AE208" s="1081">
        <f>IF(PRISONS="Y",IF(CE208="Y",AF208,0),0)</f>
        <v>0</v>
      </c>
      <c r="AF208" s="1081">
        <v>2</v>
      </c>
      <c r="AG208" s="1081">
        <f>IF(RET="Y",IF(DA208="Y",AH208,0),0)</f>
        <v>0</v>
      </c>
      <c r="AH208" s="1081">
        <v>2</v>
      </c>
      <c r="AI208" s="1081">
        <f>IF(SCHOOLS="y",IF(DW208="y",AJ208,0),0)</f>
        <v>0</v>
      </c>
      <c r="AJ208" s="1081">
        <v>2</v>
      </c>
      <c r="AK208" s="1082">
        <f>IF(FE="y",IF(DW208="y",AL208,0),0)</f>
        <v>0</v>
      </c>
      <c r="AL208" s="1082">
        <v>2</v>
      </c>
      <c r="AM208" s="1082">
        <f>IF(HE="Y",IF(DW208="Y",AN208,0),0)</f>
        <v>0</v>
      </c>
      <c r="AN208" s="1082">
        <v>2</v>
      </c>
      <c r="AO208" s="1081">
        <f>IF(INDUSTRIAL="Y",IF(EL208="Y",AP208,0),0)</f>
        <v>0</v>
      </c>
      <c r="AP208" s="1081">
        <v>2</v>
      </c>
      <c r="AQ208" s="95"/>
      <c r="AR208" s="95"/>
      <c r="AS208" s="95"/>
      <c r="AT208" s="95"/>
      <c r="AU208" s="95"/>
      <c r="AV208" s="95"/>
      <c r="AW208" s="95"/>
      <c r="AX208" s="95"/>
      <c r="AY208" s="95"/>
      <c r="AZ208" s="95"/>
      <c r="BA208" s="95">
        <f>IF(HClifts = "y",1,0)</f>
        <v>0</v>
      </c>
      <c r="BB208" s="95"/>
      <c r="BC208" s="95"/>
      <c r="BD208" s="95"/>
      <c r="BE208" s="95">
        <f t="shared" si="48"/>
        <v>0</v>
      </c>
      <c r="BF208" s="96" t="str">
        <f t="shared" si="49"/>
        <v>N</v>
      </c>
      <c r="BG208" s="97"/>
      <c r="BH208" s="98"/>
      <c r="BI208" s="98"/>
      <c r="BJ208" s="98"/>
      <c r="BK208" s="98">
        <v>1</v>
      </c>
      <c r="BL208" s="111"/>
      <c r="BM208" s="98">
        <f t="shared" si="50"/>
        <v>1</v>
      </c>
      <c r="BN208" s="98" t="str">
        <f t="shared" si="51"/>
        <v>Y</v>
      </c>
      <c r="BO208" s="115"/>
      <c r="BP208" s="100"/>
      <c r="BQ208" s="100"/>
      <c r="BR208" s="100" t="e">
        <v>#REF!</v>
      </c>
      <c r="BS208" s="100" t="e">
        <f t="shared" si="52"/>
        <v>#REF!</v>
      </c>
      <c r="BT208" s="100" t="e">
        <f t="shared" si="53"/>
        <v>#REF!</v>
      </c>
      <c r="BU208" s="50"/>
      <c r="BV208" s="101"/>
      <c r="BW208" s="101"/>
      <c r="BX208" s="101"/>
      <c r="BY208" s="101"/>
      <c r="BZ208" s="101" t="e">
        <v>#REF!</v>
      </c>
      <c r="CA208" s="101"/>
      <c r="CB208" s="101"/>
      <c r="CC208" s="101"/>
      <c r="CD208" s="101" t="e">
        <f t="shared" si="54"/>
        <v>#REF!</v>
      </c>
      <c r="CE208" s="101" t="e">
        <f t="shared" si="55"/>
        <v>#REF!</v>
      </c>
      <c r="CF208" s="54"/>
      <c r="CG208" s="102"/>
      <c r="CH208" s="102"/>
      <c r="CI208" s="102"/>
      <c r="CJ208" s="102"/>
      <c r="CK208" s="102"/>
      <c r="CL208" s="102"/>
      <c r="CM208" s="102"/>
      <c r="CN208" s="102"/>
      <c r="CO208" s="102"/>
      <c r="CP208" s="102"/>
      <c r="CQ208" s="102"/>
      <c r="CR208" s="102" t="e">
        <v>#REF!</v>
      </c>
      <c r="CS208" s="102"/>
      <c r="CT208" s="102"/>
      <c r="CU208" s="102"/>
      <c r="CV208" s="102"/>
      <c r="CW208" s="102"/>
      <c r="CX208" s="102"/>
      <c r="CY208" s="102"/>
      <c r="CZ208" s="102" t="e">
        <f t="shared" si="56"/>
        <v>#REF!</v>
      </c>
      <c r="DA208" s="102" t="e">
        <f t="shared" si="57"/>
        <v>#REF!</v>
      </c>
      <c r="DB208" s="58"/>
      <c r="DC208" s="101"/>
      <c r="DD208" s="101"/>
      <c r="DE208" s="101"/>
      <c r="DF208" s="101"/>
      <c r="DG208" s="101"/>
      <c r="DH208" s="101"/>
      <c r="DI208" s="101"/>
      <c r="DJ208" s="101"/>
      <c r="DK208" s="101" t="e">
        <v>#REF!</v>
      </c>
      <c r="DL208" s="101"/>
      <c r="DM208" s="101"/>
      <c r="DN208" s="101"/>
      <c r="DO208" s="101"/>
      <c r="DP208" s="101"/>
      <c r="DQ208" s="101"/>
      <c r="DR208" s="101"/>
      <c r="DS208" s="101"/>
      <c r="DT208" s="101"/>
      <c r="DU208" s="101"/>
      <c r="DV208" s="101" t="e">
        <f t="shared" si="58"/>
        <v>#REF!</v>
      </c>
      <c r="DW208" s="101" t="e">
        <f t="shared" ref="DW208:DW228" si="63">IF(DV208&gt;=0.1,"Y","N")</f>
        <v>#REF!</v>
      </c>
      <c r="DX208" s="103"/>
      <c r="DY208" s="104"/>
      <c r="DZ208" s="104"/>
      <c r="EA208" s="104"/>
      <c r="EB208" s="104"/>
      <c r="EC208" s="104"/>
      <c r="ED208" s="104"/>
      <c r="EE208" s="104"/>
      <c r="EF208" s="104"/>
      <c r="EG208" s="104"/>
      <c r="EH208" s="104"/>
      <c r="EI208" s="104"/>
      <c r="EJ208" s="104" t="e">
        <v>#REF!</v>
      </c>
      <c r="EK208" s="104" t="e">
        <f t="shared" si="59"/>
        <v>#REF!</v>
      </c>
      <c r="EL208" s="104" t="e">
        <f t="shared" si="60"/>
        <v>#REF!</v>
      </c>
      <c r="EM208" s="62"/>
      <c r="EN208" s="6"/>
      <c r="EO208" s="6"/>
      <c r="EP208" s="6"/>
      <c r="EQ208" s="6"/>
      <c r="ER208" s="6"/>
    </row>
    <row r="209" spans="1:148" x14ac:dyDescent="0.2">
      <c r="A209" s="1147"/>
      <c r="B209" s="1139"/>
      <c r="C209" s="1141"/>
      <c r="D209" s="1134"/>
      <c r="E209" s="1086"/>
      <c r="F209" s="1079"/>
      <c r="G209" s="1077"/>
      <c r="H209" s="1077"/>
      <c r="I209" s="1077"/>
      <c r="J209" s="1079"/>
      <c r="K209" s="1077"/>
      <c r="L209" s="181"/>
      <c r="M209" s="186"/>
      <c r="N209" s="177"/>
      <c r="O209" s="177"/>
      <c r="P209" s="177"/>
      <c r="Q209" s="172"/>
      <c r="R209" s="173"/>
      <c r="S209" s="173"/>
      <c r="T209" s="173"/>
      <c r="U209" s="173"/>
      <c r="V209" s="174"/>
      <c r="W209" s="175"/>
      <c r="X209" s="1099"/>
      <c r="Y209" s="1081"/>
      <c r="Z209" s="1081"/>
      <c r="AA209" s="1081"/>
      <c r="AB209" s="1081"/>
      <c r="AC209" s="1081"/>
      <c r="AD209" s="1081"/>
      <c r="AE209" s="1081"/>
      <c r="AF209" s="1081"/>
      <c r="AG209" s="1081"/>
      <c r="AH209" s="1081"/>
      <c r="AI209" s="1081"/>
      <c r="AJ209" s="1081"/>
      <c r="AK209" s="1082"/>
      <c r="AL209" s="1082"/>
      <c r="AM209" s="1082"/>
      <c r="AN209" s="1082"/>
      <c r="AO209" s="1081"/>
      <c r="AP209" s="1081"/>
      <c r="AQ209" s="95"/>
      <c r="AR209" s="95"/>
      <c r="AS209" s="95"/>
      <c r="AT209" s="95"/>
      <c r="AU209" s="95"/>
      <c r="AV209" s="95"/>
      <c r="AW209" s="95"/>
      <c r="AX209" s="95"/>
      <c r="AY209" s="95"/>
      <c r="AZ209" s="95"/>
      <c r="BA209" s="95">
        <f>IF(HClifts = "y",1,0)</f>
        <v>0</v>
      </c>
      <c r="BB209" s="95"/>
      <c r="BC209" s="95"/>
      <c r="BD209" s="95"/>
      <c r="BE209" s="95">
        <f t="shared" si="48"/>
        <v>0</v>
      </c>
      <c r="BF209" s="96" t="str">
        <f t="shared" si="49"/>
        <v>N</v>
      </c>
      <c r="BG209" s="97"/>
      <c r="BH209" s="98"/>
      <c r="BI209" s="98"/>
      <c r="BJ209" s="98"/>
      <c r="BK209" s="98">
        <v>1</v>
      </c>
      <c r="BL209" s="111"/>
      <c r="BM209" s="98">
        <f t="shared" si="50"/>
        <v>1</v>
      </c>
      <c r="BN209" s="98" t="str">
        <f t="shared" si="51"/>
        <v>Y</v>
      </c>
      <c r="BO209" s="115"/>
      <c r="BP209" s="100"/>
      <c r="BQ209" s="100"/>
      <c r="BR209" s="100" t="e">
        <v>#REF!</v>
      </c>
      <c r="BS209" s="100" t="e">
        <f t="shared" si="52"/>
        <v>#REF!</v>
      </c>
      <c r="BT209" s="100" t="e">
        <f t="shared" si="53"/>
        <v>#REF!</v>
      </c>
      <c r="BU209" s="50"/>
      <c r="BV209" s="101"/>
      <c r="BW209" s="101"/>
      <c r="BX209" s="101"/>
      <c r="BY209" s="101"/>
      <c r="BZ209" s="101" t="e">
        <v>#REF!</v>
      </c>
      <c r="CA209" s="101"/>
      <c r="CB209" s="101"/>
      <c r="CC209" s="101"/>
      <c r="CD209" s="101" t="e">
        <f t="shared" si="54"/>
        <v>#REF!</v>
      </c>
      <c r="CE209" s="101" t="e">
        <f t="shared" si="55"/>
        <v>#REF!</v>
      </c>
      <c r="CF209" s="54"/>
      <c r="CG209" s="102"/>
      <c r="CH209" s="102"/>
      <c r="CI209" s="102"/>
      <c r="CJ209" s="102"/>
      <c r="CK209" s="102"/>
      <c r="CL209" s="102"/>
      <c r="CM209" s="102"/>
      <c r="CN209" s="102"/>
      <c r="CO209" s="102"/>
      <c r="CP209" s="102"/>
      <c r="CQ209" s="102"/>
      <c r="CR209" s="102" t="e">
        <v>#REF!</v>
      </c>
      <c r="CS209" s="102"/>
      <c r="CT209" s="102"/>
      <c r="CU209" s="102"/>
      <c r="CV209" s="102"/>
      <c r="CW209" s="102"/>
      <c r="CX209" s="102"/>
      <c r="CY209" s="102"/>
      <c r="CZ209" s="102" t="e">
        <f t="shared" si="56"/>
        <v>#REF!</v>
      </c>
      <c r="DA209" s="102" t="e">
        <f t="shared" si="57"/>
        <v>#REF!</v>
      </c>
      <c r="DB209" s="58"/>
      <c r="DC209" s="101"/>
      <c r="DD209" s="101"/>
      <c r="DE209" s="101"/>
      <c r="DF209" s="101"/>
      <c r="DG209" s="101"/>
      <c r="DH209" s="101"/>
      <c r="DI209" s="101"/>
      <c r="DJ209" s="101"/>
      <c r="DK209" s="101" t="e">
        <v>#REF!</v>
      </c>
      <c r="DL209" s="101"/>
      <c r="DM209" s="101"/>
      <c r="DN209" s="101"/>
      <c r="DO209" s="101"/>
      <c r="DP209" s="101"/>
      <c r="DQ209" s="101"/>
      <c r="DR209" s="101"/>
      <c r="DS209" s="101"/>
      <c r="DT209" s="101"/>
      <c r="DU209" s="101"/>
      <c r="DV209" s="101" t="e">
        <f t="shared" si="58"/>
        <v>#REF!</v>
      </c>
      <c r="DW209" s="101" t="e">
        <f t="shared" si="63"/>
        <v>#REF!</v>
      </c>
      <c r="DX209" s="103"/>
      <c r="DY209" s="104"/>
      <c r="DZ209" s="104"/>
      <c r="EA209" s="104"/>
      <c r="EB209" s="104"/>
      <c r="EC209" s="104"/>
      <c r="ED209" s="104"/>
      <c r="EE209" s="104"/>
      <c r="EF209" s="104"/>
      <c r="EG209" s="104"/>
      <c r="EH209" s="104"/>
      <c r="EI209" s="104"/>
      <c r="EJ209" s="104" t="e">
        <v>#REF!</v>
      </c>
      <c r="EK209" s="104" t="e">
        <f t="shared" si="59"/>
        <v>#REF!</v>
      </c>
      <c r="EL209" s="104" t="e">
        <f t="shared" si="60"/>
        <v>#REF!</v>
      </c>
      <c r="EM209" s="62"/>
      <c r="EN209" s="6"/>
      <c r="EO209" s="6"/>
      <c r="EP209" s="6"/>
      <c r="EQ209" s="6"/>
      <c r="ER209" s="6"/>
    </row>
    <row r="210" spans="1:148" ht="13.5" thickBot="1" x14ac:dyDescent="0.25">
      <c r="A210" s="1147"/>
      <c r="B210" s="1145"/>
      <c r="C210" s="1142"/>
      <c r="D210" s="1136"/>
      <c r="E210" s="1143"/>
      <c r="F210" s="1080"/>
      <c r="G210" s="1078"/>
      <c r="H210" s="1078"/>
      <c r="I210" s="1078"/>
      <c r="J210" s="1080"/>
      <c r="K210" s="1078"/>
      <c r="L210" s="180"/>
      <c r="M210" s="186"/>
      <c r="N210" s="177"/>
      <c r="O210" s="177"/>
      <c r="P210" s="177"/>
      <c r="Q210" s="172"/>
      <c r="R210" s="173"/>
      <c r="S210" s="173"/>
      <c r="T210" s="173"/>
      <c r="U210" s="173"/>
      <c r="V210" s="174"/>
      <c r="W210" s="175"/>
      <c r="X210" s="1100"/>
      <c r="Y210" s="1081"/>
      <c r="Z210" s="1081"/>
      <c r="AA210" s="1081"/>
      <c r="AB210" s="1081"/>
      <c r="AC210" s="1081"/>
      <c r="AD210" s="1081"/>
      <c r="AE210" s="1081"/>
      <c r="AF210" s="1081"/>
      <c r="AG210" s="1081"/>
      <c r="AH210" s="1081"/>
      <c r="AI210" s="1081"/>
      <c r="AJ210" s="1081"/>
      <c r="AK210" s="1082"/>
      <c r="AL210" s="1082"/>
      <c r="AM210" s="1082"/>
      <c r="AN210" s="1082"/>
      <c r="AO210" s="1081"/>
      <c r="AP210" s="1081"/>
      <c r="AQ210" s="95"/>
      <c r="AR210" s="95"/>
      <c r="AS210" s="95"/>
      <c r="AT210" s="95"/>
      <c r="AU210" s="95"/>
      <c r="AV210" s="95"/>
      <c r="AW210" s="95"/>
      <c r="AX210" s="95"/>
      <c r="AY210" s="95"/>
      <c r="AZ210" s="95"/>
      <c r="BA210" s="95">
        <f>IF(HClifts = "y",1,0)</f>
        <v>0</v>
      </c>
      <c r="BB210" s="95"/>
      <c r="BC210" s="95"/>
      <c r="BD210" s="95"/>
      <c r="BE210" s="95">
        <f t="shared" si="48"/>
        <v>0</v>
      </c>
      <c r="BF210" s="96" t="str">
        <f t="shared" si="49"/>
        <v>N</v>
      </c>
      <c r="BG210" s="97"/>
      <c r="BH210" s="98"/>
      <c r="BI210" s="98"/>
      <c r="BJ210" s="98"/>
      <c r="BK210" s="98">
        <v>1</v>
      </c>
      <c r="BL210" s="111"/>
      <c r="BM210" s="98">
        <f t="shared" si="50"/>
        <v>1</v>
      </c>
      <c r="BN210" s="98" t="str">
        <f t="shared" si="51"/>
        <v>Y</v>
      </c>
      <c r="BO210" s="115"/>
      <c r="BP210" s="100"/>
      <c r="BQ210" s="100"/>
      <c r="BR210" s="100" t="e">
        <v>#REF!</v>
      </c>
      <c r="BS210" s="100" t="e">
        <f t="shared" si="52"/>
        <v>#REF!</v>
      </c>
      <c r="BT210" s="100" t="e">
        <f t="shared" si="53"/>
        <v>#REF!</v>
      </c>
      <c r="BU210" s="50"/>
      <c r="BV210" s="101"/>
      <c r="BW210" s="101"/>
      <c r="BX210" s="101"/>
      <c r="BY210" s="101"/>
      <c r="BZ210" s="101" t="e">
        <v>#REF!</v>
      </c>
      <c r="CA210" s="101"/>
      <c r="CB210" s="101"/>
      <c r="CC210" s="101"/>
      <c r="CD210" s="101" t="e">
        <f t="shared" si="54"/>
        <v>#REF!</v>
      </c>
      <c r="CE210" s="101" t="e">
        <f t="shared" si="55"/>
        <v>#REF!</v>
      </c>
      <c r="CF210" s="54"/>
      <c r="CG210" s="102"/>
      <c r="CH210" s="102"/>
      <c r="CI210" s="102"/>
      <c r="CJ210" s="102"/>
      <c r="CK210" s="102"/>
      <c r="CL210" s="102"/>
      <c r="CM210" s="102"/>
      <c r="CN210" s="102"/>
      <c r="CO210" s="102"/>
      <c r="CP210" s="102"/>
      <c r="CQ210" s="102"/>
      <c r="CR210" s="102" t="e">
        <v>#REF!</v>
      </c>
      <c r="CS210" s="102"/>
      <c r="CT210" s="102"/>
      <c r="CU210" s="102"/>
      <c r="CV210" s="102"/>
      <c r="CW210" s="102"/>
      <c r="CX210" s="102"/>
      <c r="CY210" s="102"/>
      <c r="CZ210" s="102" t="e">
        <f t="shared" si="56"/>
        <v>#REF!</v>
      </c>
      <c r="DA210" s="102" t="e">
        <f t="shared" si="57"/>
        <v>#REF!</v>
      </c>
      <c r="DB210" s="58"/>
      <c r="DC210" s="101"/>
      <c r="DD210" s="101"/>
      <c r="DE210" s="101"/>
      <c r="DF210" s="101"/>
      <c r="DG210" s="101"/>
      <c r="DH210" s="101"/>
      <c r="DI210" s="101"/>
      <c r="DJ210" s="101"/>
      <c r="DK210" s="101" t="e">
        <v>#REF!</v>
      </c>
      <c r="DL210" s="101"/>
      <c r="DM210" s="101"/>
      <c r="DN210" s="101"/>
      <c r="DO210" s="101"/>
      <c r="DP210" s="101"/>
      <c r="DQ210" s="101"/>
      <c r="DR210" s="101"/>
      <c r="DS210" s="101"/>
      <c r="DT210" s="101"/>
      <c r="DU210" s="101"/>
      <c r="DV210" s="101" t="e">
        <f t="shared" si="58"/>
        <v>#REF!</v>
      </c>
      <c r="DW210" s="101" t="e">
        <f t="shared" si="63"/>
        <v>#REF!</v>
      </c>
      <c r="DX210" s="103"/>
      <c r="DY210" s="104"/>
      <c r="DZ210" s="104"/>
      <c r="EA210" s="104"/>
      <c r="EB210" s="104"/>
      <c r="EC210" s="104"/>
      <c r="ED210" s="104"/>
      <c r="EE210" s="104"/>
      <c r="EF210" s="104"/>
      <c r="EG210" s="104"/>
      <c r="EH210" s="104"/>
      <c r="EI210" s="104"/>
      <c r="EJ210" s="104" t="e">
        <v>#REF!</v>
      </c>
      <c r="EK210" s="104" t="e">
        <f t="shared" si="59"/>
        <v>#REF!</v>
      </c>
      <c r="EL210" s="104" t="e">
        <f t="shared" si="60"/>
        <v>#REF!</v>
      </c>
      <c r="EM210" s="62"/>
      <c r="EN210" s="6"/>
      <c r="EO210" s="6"/>
      <c r="EP210" s="6"/>
      <c r="EQ210" s="6"/>
      <c r="ER210" s="6"/>
    </row>
    <row r="211" spans="1:148" x14ac:dyDescent="0.2">
      <c r="A211" s="1147"/>
      <c r="B211" s="1138" t="s">
        <v>185</v>
      </c>
      <c r="C211" s="1140" t="s">
        <v>184</v>
      </c>
      <c r="D211" s="1133"/>
      <c r="E211" s="1085"/>
      <c r="F211" s="1144"/>
      <c r="G211" s="1076" t="s">
        <v>349</v>
      </c>
      <c r="H211" s="1076" t="s">
        <v>281</v>
      </c>
      <c r="I211" s="1076"/>
      <c r="J211" s="1079">
        <v>1</v>
      </c>
      <c r="K211" s="1076"/>
      <c r="L211" s="180"/>
      <c r="M211" s="186"/>
      <c r="N211" s="177"/>
      <c r="O211" s="177"/>
      <c r="P211" s="177"/>
      <c r="Q211" s="172"/>
      <c r="R211" s="173"/>
      <c r="S211" s="173"/>
      <c r="T211" s="173"/>
      <c r="U211" s="173"/>
      <c r="V211" s="174"/>
      <c r="W211" s="175"/>
      <c r="X211" s="1098" t="s">
        <v>370</v>
      </c>
      <c r="Y211" s="1081">
        <f>IF(HC="Y",IF(BF211="Y",Z211,0),0)</f>
        <v>0</v>
      </c>
      <c r="Z211" s="1081">
        <v>0</v>
      </c>
      <c r="AA211" s="1081" t="e">
        <f>IF(OFF="Y",IF(BN211="Y",AB211,0),0)</f>
        <v>#REF!</v>
      </c>
      <c r="AB211" s="1081">
        <v>1</v>
      </c>
      <c r="AC211" s="1081">
        <f>IF(COURTS="Y",IF(BT211="Y",AD211,0),0)</f>
        <v>0</v>
      </c>
      <c r="AD211" s="1081">
        <v>0</v>
      </c>
      <c r="AE211" s="1081">
        <f>IF(PRISONS="Y",IF(CE211="Y",AF211,0),0)</f>
        <v>0</v>
      </c>
      <c r="AF211" s="1081">
        <v>0</v>
      </c>
      <c r="AG211" s="1081">
        <f>IF(RET="Y",IF(DA211="Y",AH211,0),0)</f>
        <v>0</v>
      </c>
      <c r="AH211" s="1081">
        <v>1</v>
      </c>
      <c r="AI211" s="1081">
        <f>IF(SCHOOLS="y",IF(DW211="y",AJ211,0),0)</f>
        <v>0</v>
      </c>
      <c r="AJ211" s="1081">
        <v>0</v>
      </c>
      <c r="AK211" s="1082">
        <f>IF(FE="y",IF(DW211="y",AL211,0),0)</f>
        <v>0</v>
      </c>
      <c r="AL211" s="1082">
        <v>0</v>
      </c>
      <c r="AM211" s="1082">
        <f>IF(HE="Y",IF(DW211="Y",AN211,0),0)</f>
        <v>0</v>
      </c>
      <c r="AN211" s="1082">
        <v>0</v>
      </c>
      <c r="AO211" s="1081">
        <f>IF(INDUSTRIAL="Y",IF(EL211="Y",AP211,0),0)</f>
        <v>0</v>
      </c>
      <c r="AP211" s="1081">
        <v>0</v>
      </c>
      <c r="AQ211" s="95">
        <v>0</v>
      </c>
      <c r="AR211" s="95"/>
      <c r="AS211" s="95"/>
      <c r="AT211" s="95"/>
      <c r="AU211" s="95"/>
      <c r="AV211" s="95"/>
      <c r="AW211" s="95"/>
      <c r="AX211" s="95"/>
      <c r="AY211" s="95"/>
      <c r="AZ211" s="95"/>
      <c r="BA211" s="95"/>
      <c r="BB211" s="95"/>
      <c r="BC211" s="95"/>
      <c r="BD211" s="95"/>
      <c r="BE211" s="95">
        <f t="shared" si="48"/>
        <v>0</v>
      </c>
      <c r="BF211" s="96" t="str">
        <f t="shared" si="49"/>
        <v>N</v>
      </c>
      <c r="BG211" s="97"/>
      <c r="BH211" s="98"/>
      <c r="BI211" s="98"/>
      <c r="BJ211" s="98"/>
      <c r="BK211" s="98"/>
      <c r="BL211" s="99" t="e">
        <v>#REF!</v>
      </c>
      <c r="BM211" s="98" t="e">
        <f t="shared" si="50"/>
        <v>#REF!</v>
      </c>
      <c r="BN211" s="98" t="e">
        <f t="shared" si="51"/>
        <v>#REF!</v>
      </c>
      <c r="BO211" s="115"/>
      <c r="BP211" s="100"/>
      <c r="BQ211" s="100"/>
      <c r="BR211" s="100"/>
      <c r="BS211" s="100">
        <f t="shared" si="52"/>
        <v>0</v>
      </c>
      <c r="BT211" s="100" t="str">
        <f t="shared" si="53"/>
        <v>N</v>
      </c>
      <c r="BU211" s="50"/>
      <c r="BV211" s="101"/>
      <c r="BW211" s="101"/>
      <c r="BX211" s="101"/>
      <c r="BY211" s="101"/>
      <c r="BZ211" s="101"/>
      <c r="CA211" s="101"/>
      <c r="CB211" s="101"/>
      <c r="CC211" s="101"/>
      <c r="CD211" s="101">
        <f t="shared" si="54"/>
        <v>0</v>
      </c>
      <c r="CE211" s="101" t="str">
        <f t="shared" si="55"/>
        <v>N</v>
      </c>
      <c r="CF211" s="54"/>
      <c r="CG211" s="102"/>
      <c r="CH211" s="102"/>
      <c r="CI211" s="102"/>
      <c r="CJ211" s="102"/>
      <c r="CK211" s="102"/>
      <c r="CL211" s="102"/>
      <c r="CM211" s="102"/>
      <c r="CN211" s="102"/>
      <c r="CO211" s="102"/>
      <c r="CP211" s="102"/>
      <c r="CQ211" s="102"/>
      <c r="CR211" s="102"/>
      <c r="CS211" s="102" t="e">
        <v>#REF!</v>
      </c>
      <c r="CT211" s="102"/>
      <c r="CU211" s="102"/>
      <c r="CV211" s="102"/>
      <c r="CW211" s="102"/>
      <c r="CX211" s="102"/>
      <c r="CY211" s="102"/>
      <c r="CZ211" s="102" t="e">
        <f t="shared" si="56"/>
        <v>#REF!</v>
      </c>
      <c r="DA211" s="102" t="e">
        <f t="shared" si="57"/>
        <v>#REF!</v>
      </c>
      <c r="DB211" s="58"/>
      <c r="DC211" s="101">
        <v>0</v>
      </c>
      <c r="DD211" s="101"/>
      <c r="DE211" s="101"/>
      <c r="DF211" s="101"/>
      <c r="DG211" s="101"/>
      <c r="DH211" s="101"/>
      <c r="DI211" s="101"/>
      <c r="DJ211" s="101"/>
      <c r="DK211" s="101"/>
      <c r="DL211" s="101"/>
      <c r="DM211" s="101"/>
      <c r="DN211" s="101"/>
      <c r="DO211" s="101"/>
      <c r="DP211" s="101"/>
      <c r="DQ211" s="101"/>
      <c r="DR211" s="101"/>
      <c r="DS211" s="101"/>
      <c r="DT211" s="101"/>
      <c r="DU211" s="101"/>
      <c r="DV211" s="101">
        <f t="shared" si="58"/>
        <v>0</v>
      </c>
      <c r="DW211" s="101" t="str">
        <f t="shared" si="63"/>
        <v>N</v>
      </c>
      <c r="DX211" s="103"/>
      <c r="DY211" s="104"/>
      <c r="DZ211" s="104"/>
      <c r="EA211" s="104"/>
      <c r="EB211" s="104"/>
      <c r="EC211" s="104"/>
      <c r="ED211" s="104"/>
      <c r="EE211" s="104"/>
      <c r="EF211" s="104"/>
      <c r="EG211" s="104"/>
      <c r="EH211" s="104"/>
      <c r="EI211" s="104"/>
      <c r="EJ211" s="104"/>
      <c r="EK211" s="104">
        <f t="shared" si="59"/>
        <v>0</v>
      </c>
      <c r="EL211" s="104" t="str">
        <f t="shared" si="60"/>
        <v>N</v>
      </c>
      <c r="EM211" s="62"/>
      <c r="EN211" s="6"/>
      <c r="EO211" s="6"/>
      <c r="EP211" s="6"/>
      <c r="EQ211" s="6"/>
      <c r="ER211" s="6"/>
    </row>
    <row r="212" spans="1:148" x14ac:dyDescent="0.2">
      <c r="A212" s="1147"/>
      <c r="B212" s="1139"/>
      <c r="C212" s="1141"/>
      <c r="D212" s="1134"/>
      <c r="E212" s="1086"/>
      <c r="F212" s="1079"/>
      <c r="G212" s="1077"/>
      <c r="H212" s="1077"/>
      <c r="I212" s="1077"/>
      <c r="J212" s="1079"/>
      <c r="K212" s="1077"/>
      <c r="L212" s="181"/>
      <c r="M212" s="186"/>
      <c r="N212" s="177"/>
      <c r="O212" s="177"/>
      <c r="P212" s="177"/>
      <c r="Q212" s="172"/>
      <c r="R212" s="173"/>
      <c r="S212" s="173"/>
      <c r="T212" s="173"/>
      <c r="U212" s="173"/>
      <c r="V212" s="174"/>
      <c r="W212" s="175"/>
      <c r="X212" s="1099"/>
      <c r="Y212" s="1081"/>
      <c r="Z212" s="1081"/>
      <c r="AA212" s="1081"/>
      <c r="AB212" s="1081"/>
      <c r="AC212" s="1081"/>
      <c r="AD212" s="1081"/>
      <c r="AE212" s="1081"/>
      <c r="AF212" s="1081"/>
      <c r="AG212" s="1081"/>
      <c r="AH212" s="1081"/>
      <c r="AI212" s="1081"/>
      <c r="AJ212" s="1081"/>
      <c r="AK212" s="1082"/>
      <c r="AL212" s="1082"/>
      <c r="AM212" s="1082"/>
      <c r="AN212" s="1082"/>
      <c r="AO212" s="1081"/>
      <c r="AP212" s="1081"/>
      <c r="AQ212" s="95">
        <v>0</v>
      </c>
      <c r="AR212" s="95"/>
      <c r="AS212" s="95"/>
      <c r="AT212" s="95"/>
      <c r="AU212" s="95"/>
      <c r="AV212" s="95"/>
      <c r="AW212" s="95"/>
      <c r="AX212" s="95"/>
      <c r="AY212" s="95"/>
      <c r="AZ212" s="95"/>
      <c r="BA212" s="95"/>
      <c r="BB212" s="95"/>
      <c r="BC212" s="95"/>
      <c r="BD212" s="95"/>
      <c r="BE212" s="95">
        <f t="shared" ref="BE212:BE228" si="64">SUM(AQ212:BD212)</f>
        <v>0</v>
      </c>
      <c r="BF212" s="96" t="str">
        <f t="shared" ref="BF212:BF228" si="65">IF(BE212&gt;=0.1,"Y","N")</f>
        <v>N</v>
      </c>
      <c r="BG212" s="97"/>
      <c r="BH212" s="98"/>
      <c r="BI212" s="98"/>
      <c r="BJ212" s="98"/>
      <c r="BK212" s="98"/>
      <c r="BL212" s="99" t="e">
        <v>#REF!</v>
      </c>
      <c r="BM212" s="98" t="e">
        <f t="shared" ref="BM212:BM228" si="66">SUM(BH212:BL212)</f>
        <v>#REF!</v>
      </c>
      <c r="BN212" s="98" t="e">
        <f t="shared" ref="BN212:BN228" si="67">IF(BM212&gt;=0.1,"Y","N")</f>
        <v>#REF!</v>
      </c>
      <c r="BO212" s="115"/>
      <c r="BP212" s="100"/>
      <c r="BQ212" s="100"/>
      <c r="BR212" s="100"/>
      <c r="BS212" s="100">
        <f t="shared" ref="BS212:BS228" si="68">SUM(BP212:BR212)</f>
        <v>0</v>
      </c>
      <c r="BT212" s="100" t="str">
        <f t="shared" ref="BT212:BT228" si="69">IF(BS212&gt;=0.1,"Y","N")</f>
        <v>N</v>
      </c>
      <c r="BU212" s="50"/>
      <c r="BV212" s="101"/>
      <c r="BW212" s="101"/>
      <c r="BX212" s="101"/>
      <c r="BY212" s="101"/>
      <c r="BZ212" s="101"/>
      <c r="CA212" s="101"/>
      <c r="CB212" s="101"/>
      <c r="CC212" s="101"/>
      <c r="CD212" s="101">
        <f t="shared" ref="CD212:CD228" si="70">SUM(BV212:CC212)</f>
        <v>0</v>
      </c>
      <c r="CE212" s="101" t="str">
        <f t="shared" ref="CE212:CE228" si="71">IF(CD212&gt;=0.1,"Y","N")</f>
        <v>N</v>
      </c>
      <c r="CF212" s="54"/>
      <c r="CG212" s="102"/>
      <c r="CH212" s="102"/>
      <c r="CI212" s="102"/>
      <c r="CJ212" s="102"/>
      <c r="CK212" s="102"/>
      <c r="CL212" s="102"/>
      <c r="CM212" s="102"/>
      <c r="CN212" s="102"/>
      <c r="CO212" s="102"/>
      <c r="CP212" s="102"/>
      <c r="CQ212" s="102"/>
      <c r="CR212" s="102"/>
      <c r="CS212" s="102" t="e">
        <v>#REF!</v>
      </c>
      <c r="CT212" s="102"/>
      <c r="CU212" s="102"/>
      <c r="CV212" s="102"/>
      <c r="CW212" s="102"/>
      <c r="CX212" s="102"/>
      <c r="CY212" s="102"/>
      <c r="CZ212" s="102" t="e">
        <f t="shared" ref="CZ212:CZ228" si="72">SUM(CG212:CY212)</f>
        <v>#REF!</v>
      </c>
      <c r="DA212" s="102" t="e">
        <f t="shared" ref="DA212:DA228" si="73">IF(CZ212&gt;=0.1,"Y","N")</f>
        <v>#REF!</v>
      </c>
      <c r="DB212" s="58"/>
      <c r="DC212" s="101">
        <v>0</v>
      </c>
      <c r="DD212" s="101"/>
      <c r="DE212" s="101"/>
      <c r="DF212" s="101"/>
      <c r="DG212" s="101"/>
      <c r="DH212" s="101"/>
      <c r="DI212" s="101"/>
      <c r="DJ212" s="101"/>
      <c r="DK212" s="101"/>
      <c r="DL212" s="101"/>
      <c r="DM212" s="101"/>
      <c r="DN212" s="101"/>
      <c r="DO212" s="101"/>
      <c r="DP212" s="101"/>
      <c r="DQ212" s="101"/>
      <c r="DR212" s="101"/>
      <c r="DS212" s="101"/>
      <c r="DT212" s="101"/>
      <c r="DU212" s="101"/>
      <c r="DV212" s="101">
        <f t="shared" ref="DV212:DV228" si="74">SUM(DC212:DU212)</f>
        <v>0</v>
      </c>
      <c r="DW212" s="101" t="str">
        <f t="shared" si="63"/>
        <v>N</v>
      </c>
      <c r="DX212" s="103"/>
      <c r="DY212" s="104"/>
      <c r="DZ212" s="104"/>
      <c r="EA212" s="104"/>
      <c r="EB212" s="104"/>
      <c r="EC212" s="104"/>
      <c r="ED212" s="104"/>
      <c r="EE212" s="104"/>
      <c r="EF212" s="104"/>
      <c r="EG212" s="104"/>
      <c r="EH212" s="104"/>
      <c r="EI212" s="104"/>
      <c r="EJ212" s="104"/>
      <c r="EK212" s="104">
        <f t="shared" ref="EK212:EK228" si="75">SUM(DY212:EJ212)</f>
        <v>0</v>
      </c>
      <c r="EL212" s="104" t="str">
        <f t="shared" ref="EL212:EL228" si="76">IF(EK212&gt;=0.1,"Y","N")</f>
        <v>N</v>
      </c>
      <c r="EM212" s="62"/>
      <c r="EN212" s="6"/>
      <c r="EO212" s="6"/>
      <c r="EP212" s="6"/>
      <c r="EQ212" s="6"/>
      <c r="ER212" s="6"/>
    </row>
    <row r="213" spans="1:148" ht="13.5" thickBot="1" x14ac:dyDescent="0.25">
      <c r="A213" s="1147"/>
      <c r="B213" s="1139"/>
      <c r="C213" s="1141"/>
      <c r="D213" s="1136"/>
      <c r="E213" s="1143"/>
      <c r="F213" s="1080"/>
      <c r="G213" s="1078"/>
      <c r="H213" s="1078"/>
      <c r="I213" s="1078"/>
      <c r="J213" s="1080"/>
      <c r="K213" s="1078"/>
      <c r="L213" s="180"/>
      <c r="M213" s="186"/>
      <c r="N213" s="177"/>
      <c r="O213" s="177"/>
      <c r="P213" s="177"/>
      <c r="Q213" s="172"/>
      <c r="R213" s="173"/>
      <c r="S213" s="173"/>
      <c r="T213" s="173"/>
      <c r="U213" s="173"/>
      <c r="V213" s="174"/>
      <c r="W213" s="175"/>
      <c r="X213" s="1100"/>
      <c r="Y213" s="1081"/>
      <c r="Z213" s="1081"/>
      <c r="AA213" s="1081"/>
      <c r="AB213" s="1081"/>
      <c r="AC213" s="1081"/>
      <c r="AD213" s="1081"/>
      <c r="AE213" s="1081"/>
      <c r="AF213" s="1081"/>
      <c r="AG213" s="1081"/>
      <c r="AH213" s="1081"/>
      <c r="AI213" s="1081"/>
      <c r="AJ213" s="1081"/>
      <c r="AK213" s="1082"/>
      <c r="AL213" s="1082"/>
      <c r="AM213" s="1082"/>
      <c r="AN213" s="1082"/>
      <c r="AO213" s="1081"/>
      <c r="AP213" s="1081"/>
      <c r="AQ213" s="95">
        <v>0</v>
      </c>
      <c r="AR213" s="95"/>
      <c r="AS213" s="95"/>
      <c r="AT213" s="95"/>
      <c r="AU213" s="95"/>
      <c r="AV213" s="95"/>
      <c r="AW213" s="95"/>
      <c r="AX213" s="95"/>
      <c r="AY213" s="95"/>
      <c r="AZ213" s="95"/>
      <c r="BA213" s="95"/>
      <c r="BB213" s="95"/>
      <c r="BC213" s="95"/>
      <c r="BD213" s="95"/>
      <c r="BE213" s="95">
        <f t="shared" si="64"/>
        <v>0</v>
      </c>
      <c r="BF213" s="96" t="str">
        <f t="shared" si="65"/>
        <v>N</v>
      </c>
      <c r="BG213" s="97"/>
      <c r="BH213" s="98"/>
      <c r="BI213" s="98"/>
      <c r="BJ213" s="98"/>
      <c r="BK213" s="98"/>
      <c r="BL213" s="99" t="e">
        <v>#REF!</v>
      </c>
      <c r="BM213" s="98" t="e">
        <f t="shared" si="66"/>
        <v>#REF!</v>
      </c>
      <c r="BN213" s="98" t="e">
        <f t="shared" si="67"/>
        <v>#REF!</v>
      </c>
      <c r="BO213" s="115"/>
      <c r="BP213" s="100"/>
      <c r="BQ213" s="100"/>
      <c r="BR213" s="100"/>
      <c r="BS213" s="100">
        <f t="shared" si="68"/>
        <v>0</v>
      </c>
      <c r="BT213" s="100" t="str">
        <f t="shared" si="69"/>
        <v>N</v>
      </c>
      <c r="BU213" s="50"/>
      <c r="BV213" s="101"/>
      <c r="BW213" s="101"/>
      <c r="BX213" s="101"/>
      <c r="BY213" s="101"/>
      <c r="BZ213" s="101"/>
      <c r="CA213" s="101"/>
      <c r="CB213" s="101"/>
      <c r="CC213" s="101"/>
      <c r="CD213" s="101">
        <f t="shared" si="70"/>
        <v>0</v>
      </c>
      <c r="CE213" s="101" t="str">
        <f t="shared" si="71"/>
        <v>N</v>
      </c>
      <c r="CF213" s="54"/>
      <c r="CG213" s="102"/>
      <c r="CH213" s="102"/>
      <c r="CI213" s="102"/>
      <c r="CJ213" s="102"/>
      <c r="CK213" s="102"/>
      <c r="CL213" s="102"/>
      <c r="CM213" s="102"/>
      <c r="CN213" s="102"/>
      <c r="CO213" s="102"/>
      <c r="CP213" s="102"/>
      <c r="CQ213" s="102"/>
      <c r="CR213" s="102"/>
      <c r="CS213" s="102" t="e">
        <v>#REF!</v>
      </c>
      <c r="CT213" s="102"/>
      <c r="CU213" s="102"/>
      <c r="CV213" s="102"/>
      <c r="CW213" s="102"/>
      <c r="CX213" s="102"/>
      <c r="CY213" s="102"/>
      <c r="CZ213" s="102" t="e">
        <f t="shared" si="72"/>
        <v>#REF!</v>
      </c>
      <c r="DA213" s="102" t="e">
        <f t="shared" si="73"/>
        <v>#REF!</v>
      </c>
      <c r="DB213" s="58"/>
      <c r="DC213" s="101">
        <v>0</v>
      </c>
      <c r="DD213" s="101"/>
      <c r="DE213" s="101"/>
      <c r="DF213" s="101"/>
      <c r="DG213" s="101"/>
      <c r="DH213" s="101"/>
      <c r="DI213" s="101"/>
      <c r="DJ213" s="101"/>
      <c r="DK213" s="101"/>
      <c r="DL213" s="101"/>
      <c r="DM213" s="101"/>
      <c r="DN213" s="101"/>
      <c r="DO213" s="101"/>
      <c r="DP213" s="101"/>
      <c r="DQ213" s="101"/>
      <c r="DR213" s="101"/>
      <c r="DS213" s="101"/>
      <c r="DT213" s="101"/>
      <c r="DU213" s="101"/>
      <c r="DV213" s="101">
        <f t="shared" si="74"/>
        <v>0</v>
      </c>
      <c r="DW213" s="101" t="str">
        <f t="shared" si="63"/>
        <v>N</v>
      </c>
      <c r="DX213" s="103"/>
      <c r="DY213" s="104"/>
      <c r="DZ213" s="104"/>
      <c r="EA213" s="104"/>
      <c r="EB213" s="104"/>
      <c r="EC213" s="104"/>
      <c r="ED213" s="104"/>
      <c r="EE213" s="104"/>
      <c r="EF213" s="104"/>
      <c r="EG213" s="104"/>
      <c r="EH213" s="104"/>
      <c r="EI213" s="104"/>
      <c r="EJ213" s="104"/>
      <c r="EK213" s="104">
        <f t="shared" si="75"/>
        <v>0</v>
      </c>
      <c r="EL213" s="104" t="str">
        <f t="shared" si="76"/>
        <v>N</v>
      </c>
      <c r="EM213" s="62"/>
      <c r="EN213" s="6"/>
      <c r="EO213" s="6"/>
      <c r="EP213" s="6"/>
      <c r="EQ213" s="6"/>
      <c r="ER213" s="6"/>
    </row>
    <row r="214" spans="1:148" x14ac:dyDescent="0.2">
      <c r="A214" s="144"/>
      <c r="B214" s="1138" t="s">
        <v>359</v>
      </c>
      <c r="C214" s="1140" t="s">
        <v>360</v>
      </c>
      <c r="D214" s="1133"/>
      <c r="E214" s="1085"/>
      <c r="F214" s="1144"/>
      <c r="G214" s="1076" t="s">
        <v>183</v>
      </c>
      <c r="H214" s="1076" t="s">
        <v>342</v>
      </c>
      <c r="I214" s="4"/>
      <c r="J214" s="1079">
        <v>1</v>
      </c>
      <c r="K214" s="1076"/>
      <c r="L214" s="180"/>
      <c r="M214" s="186"/>
      <c r="N214" s="177"/>
      <c r="O214" s="177"/>
      <c r="P214" s="177"/>
      <c r="Q214" s="177"/>
      <c r="R214" s="172"/>
      <c r="S214" s="173"/>
      <c r="T214" s="173"/>
      <c r="U214" s="173"/>
      <c r="V214" s="174"/>
      <c r="W214" s="175"/>
      <c r="X214" s="1197"/>
      <c r="Y214" s="116"/>
      <c r="Z214" s="116"/>
      <c r="AA214" s="116"/>
      <c r="AB214" s="116"/>
      <c r="AC214" s="116"/>
      <c r="AD214" s="116"/>
      <c r="AE214" s="116"/>
      <c r="AF214" s="116"/>
      <c r="AG214" s="116"/>
      <c r="AH214" s="116"/>
      <c r="AI214" s="116"/>
      <c r="AJ214" s="116"/>
      <c r="AK214" s="117"/>
      <c r="AL214" s="117"/>
      <c r="AM214" s="117"/>
      <c r="AN214" s="117"/>
      <c r="AO214" s="116"/>
      <c r="AP214" s="116"/>
      <c r="AQ214" s="95"/>
      <c r="AR214" s="95"/>
      <c r="AS214" s="95"/>
      <c r="AT214" s="95"/>
      <c r="AU214" s="95"/>
      <c r="AV214" s="95"/>
      <c r="AW214" s="95"/>
      <c r="AX214" s="95"/>
      <c r="AY214" s="95"/>
      <c r="AZ214" s="95"/>
      <c r="BA214" s="95"/>
      <c r="BB214" s="95"/>
      <c r="BC214" s="95"/>
      <c r="BD214" s="95"/>
      <c r="BE214" s="95"/>
      <c r="BF214" s="96"/>
      <c r="BG214" s="97"/>
      <c r="BH214" s="98"/>
      <c r="BI214" s="98"/>
      <c r="BJ214" s="98"/>
      <c r="BK214" s="98"/>
      <c r="BL214" s="99"/>
      <c r="BM214" s="98"/>
      <c r="BN214" s="98"/>
      <c r="BO214" s="115"/>
      <c r="BP214" s="100"/>
      <c r="BQ214" s="100"/>
      <c r="BR214" s="100"/>
      <c r="BS214" s="100"/>
      <c r="BT214" s="100"/>
      <c r="BU214" s="50"/>
      <c r="BV214" s="101"/>
      <c r="BW214" s="101"/>
      <c r="BX214" s="101"/>
      <c r="BY214" s="101"/>
      <c r="BZ214" s="101"/>
      <c r="CA214" s="101"/>
      <c r="CB214" s="101"/>
      <c r="CC214" s="101"/>
      <c r="CD214" s="101"/>
      <c r="CE214" s="101"/>
      <c r="CF214" s="54"/>
      <c r="CG214" s="102"/>
      <c r="CH214" s="102"/>
      <c r="CI214" s="102"/>
      <c r="CJ214" s="102"/>
      <c r="CK214" s="102"/>
      <c r="CL214" s="102"/>
      <c r="CM214" s="102"/>
      <c r="CN214" s="102"/>
      <c r="CO214" s="102"/>
      <c r="CP214" s="102"/>
      <c r="CQ214" s="102"/>
      <c r="CR214" s="102"/>
      <c r="CS214" s="102"/>
      <c r="CT214" s="102"/>
      <c r="CU214" s="102"/>
      <c r="CV214" s="102"/>
      <c r="CW214" s="102"/>
      <c r="CX214" s="102"/>
      <c r="CY214" s="102"/>
      <c r="CZ214" s="102"/>
      <c r="DA214" s="102"/>
      <c r="DB214" s="58"/>
      <c r="DC214" s="101"/>
      <c r="DD214" s="101"/>
      <c r="DE214" s="101"/>
      <c r="DF214" s="101"/>
      <c r="DG214" s="101"/>
      <c r="DH214" s="101"/>
      <c r="DI214" s="101"/>
      <c r="DJ214" s="101"/>
      <c r="DK214" s="101"/>
      <c r="DL214" s="101"/>
      <c r="DM214" s="101"/>
      <c r="DN214" s="101"/>
      <c r="DO214" s="101"/>
      <c r="DP214" s="101"/>
      <c r="DQ214" s="101"/>
      <c r="DR214" s="101"/>
      <c r="DS214" s="101"/>
      <c r="DT214" s="101"/>
      <c r="DU214" s="101"/>
      <c r="DV214" s="101"/>
      <c r="DW214" s="101"/>
      <c r="DX214" s="103"/>
      <c r="DY214" s="104"/>
      <c r="DZ214" s="104"/>
      <c r="EA214" s="104"/>
      <c r="EB214" s="104"/>
      <c r="EC214" s="104"/>
      <c r="ED214" s="104"/>
      <c r="EE214" s="104"/>
      <c r="EF214" s="104"/>
      <c r="EG214" s="104"/>
      <c r="EH214" s="104"/>
      <c r="EI214" s="104"/>
      <c r="EJ214" s="104"/>
      <c r="EK214" s="104"/>
      <c r="EL214" s="104"/>
      <c r="EM214" s="62"/>
      <c r="EN214" s="6"/>
      <c r="EO214" s="6"/>
      <c r="EP214" s="6"/>
      <c r="EQ214" s="6"/>
      <c r="ER214" s="6"/>
    </row>
    <row r="215" spans="1:148" x14ac:dyDescent="0.2">
      <c r="A215" s="144"/>
      <c r="B215" s="1139"/>
      <c r="C215" s="1141"/>
      <c r="D215" s="1134"/>
      <c r="E215" s="1086"/>
      <c r="F215" s="1079"/>
      <c r="G215" s="1077"/>
      <c r="H215" s="1077"/>
      <c r="I215" s="254"/>
      <c r="J215" s="1079"/>
      <c r="K215" s="1077"/>
      <c r="L215" s="181"/>
      <c r="M215" s="186"/>
      <c r="N215" s="177"/>
      <c r="O215" s="177"/>
      <c r="P215" s="177"/>
      <c r="Q215" s="177"/>
      <c r="R215" s="172"/>
      <c r="S215" s="173"/>
      <c r="T215" s="173"/>
      <c r="U215" s="173"/>
      <c r="V215" s="174"/>
      <c r="W215" s="175"/>
      <c r="X215" s="1198"/>
      <c r="Y215" s="116"/>
      <c r="Z215" s="116"/>
      <c r="AA215" s="116"/>
      <c r="AB215" s="116"/>
      <c r="AC215" s="116"/>
      <c r="AD215" s="116"/>
      <c r="AE215" s="116"/>
      <c r="AF215" s="116"/>
      <c r="AG215" s="116"/>
      <c r="AH215" s="116"/>
      <c r="AI215" s="116"/>
      <c r="AJ215" s="116"/>
      <c r="AK215" s="117"/>
      <c r="AL215" s="117"/>
      <c r="AM215" s="117"/>
      <c r="AN215" s="117"/>
      <c r="AO215" s="116"/>
      <c r="AP215" s="116"/>
      <c r="AQ215" s="95"/>
      <c r="AR215" s="95"/>
      <c r="AS215" s="95"/>
      <c r="AT215" s="95"/>
      <c r="AU215" s="95"/>
      <c r="AV215" s="95"/>
      <c r="AW215" s="95"/>
      <c r="AX215" s="95"/>
      <c r="AY215" s="95"/>
      <c r="AZ215" s="95"/>
      <c r="BA215" s="95"/>
      <c r="BB215" s="95"/>
      <c r="BC215" s="95"/>
      <c r="BD215" s="95"/>
      <c r="BE215" s="95"/>
      <c r="BF215" s="96"/>
      <c r="BG215" s="97"/>
      <c r="BH215" s="98"/>
      <c r="BI215" s="98"/>
      <c r="BJ215" s="98"/>
      <c r="BK215" s="98"/>
      <c r="BL215" s="99"/>
      <c r="BM215" s="98"/>
      <c r="BN215" s="98"/>
      <c r="BO215" s="115"/>
      <c r="BP215" s="100"/>
      <c r="BQ215" s="100"/>
      <c r="BR215" s="100"/>
      <c r="BS215" s="100"/>
      <c r="BT215" s="100"/>
      <c r="BU215" s="50"/>
      <c r="BV215" s="101"/>
      <c r="BW215" s="101"/>
      <c r="BX215" s="101"/>
      <c r="BY215" s="101"/>
      <c r="BZ215" s="101"/>
      <c r="CA215" s="101"/>
      <c r="CB215" s="101"/>
      <c r="CC215" s="101"/>
      <c r="CD215" s="101"/>
      <c r="CE215" s="101"/>
      <c r="CF215" s="54"/>
      <c r="CG215" s="102"/>
      <c r="CH215" s="102"/>
      <c r="CI215" s="102"/>
      <c r="CJ215" s="102"/>
      <c r="CK215" s="102"/>
      <c r="CL215" s="102"/>
      <c r="CM215" s="102"/>
      <c r="CN215" s="102"/>
      <c r="CO215" s="102"/>
      <c r="CP215" s="102"/>
      <c r="CQ215" s="102"/>
      <c r="CR215" s="102"/>
      <c r="CS215" s="102"/>
      <c r="CT215" s="102"/>
      <c r="CU215" s="102"/>
      <c r="CV215" s="102"/>
      <c r="CW215" s="102"/>
      <c r="CX215" s="102"/>
      <c r="CY215" s="102"/>
      <c r="CZ215" s="102"/>
      <c r="DA215" s="102"/>
      <c r="DB215" s="58"/>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3"/>
      <c r="DY215" s="104"/>
      <c r="DZ215" s="104"/>
      <c r="EA215" s="104"/>
      <c r="EB215" s="104"/>
      <c r="EC215" s="104"/>
      <c r="ED215" s="104"/>
      <c r="EE215" s="104"/>
      <c r="EF215" s="104"/>
      <c r="EG215" s="104"/>
      <c r="EH215" s="104"/>
      <c r="EI215" s="104"/>
      <c r="EJ215" s="104"/>
      <c r="EK215" s="104"/>
      <c r="EL215" s="104"/>
      <c r="EM215" s="62"/>
      <c r="EN215" s="6"/>
      <c r="EO215" s="6"/>
      <c r="EP215" s="6"/>
      <c r="EQ215" s="6"/>
      <c r="ER215" s="6"/>
    </row>
    <row r="216" spans="1:148" ht="13.5" thickBot="1" x14ac:dyDescent="0.25">
      <c r="A216" s="144"/>
      <c r="B216" s="1145"/>
      <c r="C216" s="1142"/>
      <c r="D216" s="1136"/>
      <c r="E216" s="1143"/>
      <c r="F216" s="1080"/>
      <c r="G216" s="1078"/>
      <c r="H216" s="1078"/>
      <c r="I216" s="4"/>
      <c r="J216" s="1080"/>
      <c r="K216" s="1078"/>
      <c r="L216" s="180"/>
      <c r="M216" s="186"/>
      <c r="N216" s="177"/>
      <c r="O216" s="177"/>
      <c r="P216" s="177"/>
      <c r="Q216" s="177"/>
      <c r="R216" s="172"/>
      <c r="S216" s="173"/>
      <c r="T216" s="173"/>
      <c r="U216" s="173"/>
      <c r="V216" s="174"/>
      <c r="W216" s="175"/>
      <c r="X216" s="1199"/>
      <c r="Y216" s="116"/>
      <c r="Z216" s="116"/>
      <c r="AA216" s="116"/>
      <c r="AB216" s="116"/>
      <c r="AC216" s="116"/>
      <c r="AD216" s="116"/>
      <c r="AE216" s="116"/>
      <c r="AF216" s="116"/>
      <c r="AG216" s="116"/>
      <c r="AH216" s="116"/>
      <c r="AI216" s="116"/>
      <c r="AJ216" s="116"/>
      <c r="AK216" s="117"/>
      <c r="AL216" s="117"/>
      <c r="AM216" s="117"/>
      <c r="AN216" s="117"/>
      <c r="AO216" s="116"/>
      <c r="AP216" s="116"/>
      <c r="AQ216" s="95"/>
      <c r="AR216" s="95"/>
      <c r="AS216" s="95"/>
      <c r="AT216" s="95"/>
      <c r="AU216" s="95"/>
      <c r="AV216" s="95"/>
      <c r="AW216" s="95"/>
      <c r="AX216" s="95"/>
      <c r="AY216" s="95"/>
      <c r="AZ216" s="95"/>
      <c r="BA216" s="95"/>
      <c r="BB216" s="95"/>
      <c r="BC216" s="95"/>
      <c r="BD216" s="95"/>
      <c r="BE216" s="95"/>
      <c r="BF216" s="96"/>
      <c r="BG216" s="97"/>
      <c r="BH216" s="98"/>
      <c r="BI216" s="98"/>
      <c r="BJ216" s="98"/>
      <c r="BK216" s="98"/>
      <c r="BL216" s="99"/>
      <c r="BM216" s="98"/>
      <c r="BN216" s="98"/>
      <c r="BO216" s="115"/>
      <c r="BP216" s="100"/>
      <c r="BQ216" s="100"/>
      <c r="BR216" s="100"/>
      <c r="BS216" s="100"/>
      <c r="BT216" s="100"/>
      <c r="BU216" s="50"/>
      <c r="BV216" s="101"/>
      <c r="BW216" s="101"/>
      <c r="BX216" s="101"/>
      <c r="BY216" s="101"/>
      <c r="BZ216" s="101"/>
      <c r="CA216" s="101"/>
      <c r="CB216" s="101"/>
      <c r="CC216" s="101"/>
      <c r="CD216" s="101"/>
      <c r="CE216" s="101"/>
      <c r="CF216" s="54"/>
      <c r="CG216" s="102"/>
      <c r="CH216" s="102"/>
      <c r="CI216" s="102"/>
      <c r="CJ216" s="102"/>
      <c r="CK216" s="102"/>
      <c r="CL216" s="102"/>
      <c r="CM216" s="102"/>
      <c r="CN216" s="102"/>
      <c r="CO216" s="102"/>
      <c r="CP216" s="102"/>
      <c r="CQ216" s="102"/>
      <c r="CR216" s="102"/>
      <c r="CS216" s="102"/>
      <c r="CT216" s="102"/>
      <c r="CU216" s="102"/>
      <c r="CV216" s="102"/>
      <c r="CW216" s="102"/>
      <c r="CX216" s="102"/>
      <c r="CY216" s="102"/>
      <c r="CZ216" s="102"/>
      <c r="DA216" s="102"/>
      <c r="DB216" s="58"/>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3"/>
      <c r="DY216" s="104"/>
      <c r="DZ216" s="104"/>
      <c r="EA216" s="104"/>
      <c r="EB216" s="104"/>
      <c r="EC216" s="104"/>
      <c r="ED216" s="104"/>
      <c r="EE216" s="104"/>
      <c r="EF216" s="104"/>
      <c r="EG216" s="104"/>
      <c r="EH216" s="104"/>
      <c r="EI216" s="104"/>
      <c r="EJ216" s="104"/>
      <c r="EK216" s="104"/>
      <c r="EL216" s="104"/>
      <c r="EM216" s="62"/>
      <c r="EN216" s="6"/>
      <c r="EO216" s="6"/>
      <c r="EP216" s="6"/>
      <c r="EQ216" s="6"/>
      <c r="ER216" s="6"/>
    </row>
    <row r="217" spans="1:148" x14ac:dyDescent="0.2">
      <c r="A217" s="1146" t="s">
        <v>182</v>
      </c>
      <c r="B217" s="1161" t="s">
        <v>181</v>
      </c>
      <c r="C217" s="1166" t="s">
        <v>180</v>
      </c>
      <c r="D217" s="1158" t="s">
        <v>49</v>
      </c>
      <c r="E217" s="1085"/>
      <c r="F217" s="1144"/>
      <c r="G217" s="1076" t="s">
        <v>269</v>
      </c>
      <c r="H217" s="1076" t="s">
        <v>362</v>
      </c>
      <c r="I217" s="1076"/>
      <c r="J217" s="1079">
        <f>Y217+AA217+AC217+AE217+AG217+AI217+AK217+AM217+AO217</f>
        <v>2</v>
      </c>
      <c r="K217" s="1076"/>
      <c r="L217" s="180"/>
      <c r="M217" s="186"/>
      <c r="N217" s="177"/>
      <c r="O217" s="177"/>
      <c r="P217" s="177"/>
      <c r="Q217" s="177"/>
      <c r="R217" s="177"/>
      <c r="S217" s="172"/>
      <c r="T217" s="173"/>
      <c r="U217" s="173"/>
      <c r="V217" s="174"/>
      <c r="W217" s="175"/>
      <c r="X217" s="1098"/>
      <c r="Y217" s="1081">
        <f>IF(HC="Y",IF(BF217="Y",Z217,0),0)</f>
        <v>0</v>
      </c>
      <c r="Z217" s="1081">
        <v>2</v>
      </c>
      <c r="AA217" s="1081">
        <f>IF(OFF="Y",IF(BN217="Y",AB217,0),0)</f>
        <v>2</v>
      </c>
      <c r="AB217" s="1081">
        <v>2</v>
      </c>
      <c r="AC217" s="1081">
        <f>IF(COURTS="Y",IF(BT217="Y",AD217,0),0)</f>
        <v>0</v>
      </c>
      <c r="AD217" s="1081">
        <v>2</v>
      </c>
      <c r="AE217" s="1081">
        <f>IF(PRISONS="Y",IF(CE217="Y",AF217,0),0)</f>
        <v>0</v>
      </c>
      <c r="AF217" s="1081">
        <v>2</v>
      </c>
      <c r="AG217" s="1081">
        <f>IF(RET="Y",IF(DA217="Y",AH217,0),0)</f>
        <v>0</v>
      </c>
      <c r="AH217" s="1081">
        <v>2</v>
      </c>
      <c r="AI217" s="1081">
        <f>IF(SCHOOLS="y",IF(DW217="y",AJ217,0),0)</f>
        <v>0</v>
      </c>
      <c r="AJ217" s="1081">
        <v>2</v>
      </c>
      <c r="AK217" s="1082">
        <f>IF(FE="y",IF(DW217="y",AL217,0),0)</f>
        <v>0</v>
      </c>
      <c r="AL217" s="1082">
        <v>2</v>
      </c>
      <c r="AM217" s="1082">
        <f>IF(HE="Y",IF(DW217="Y",AN217,0),0)</f>
        <v>0</v>
      </c>
      <c r="AN217" s="1082">
        <v>2</v>
      </c>
      <c r="AO217" s="1081">
        <f>IF(INDUSTRIAL="Y",IF(EL217="Y",AP217,0),0)</f>
        <v>0</v>
      </c>
      <c r="AP217" s="1081">
        <v>2</v>
      </c>
      <c r="AQ217" s="95">
        <v>1</v>
      </c>
      <c r="AR217" s="95"/>
      <c r="AS217" s="95"/>
      <c r="AT217" s="95"/>
      <c r="AU217" s="95"/>
      <c r="AV217" s="95"/>
      <c r="AW217" s="95"/>
      <c r="AX217" s="95"/>
      <c r="AY217" s="95"/>
      <c r="AZ217" s="95"/>
      <c r="BA217" s="95"/>
      <c r="BB217" s="95"/>
      <c r="BC217" s="95"/>
      <c r="BD217" s="95"/>
      <c r="BE217" s="95">
        <f t="shared" si="64"/>
        <v>1</v>
      </c>
      <c r="BF217" s="96" t="str">
        <f t="shared" si="65"/>
        <v>Y</v>
      </c>
      <c r="BG217" s="97"/>
      <c r="BH217" s="98">
        <v>1</v>
      </c>
      <c r="BI217" s="98"/>
      <c r="BJ217" s="98"/>
      <c r="BK217" s="98"/>
      <c r="BL217" s="111"/>
      <c r="BM217" s="98">
        <f t="shared" si="66"/>
        <v>1</v>
      </c>
      <c r="BN217" s="98" t="str">
        <f t="shared" si="67"/>
        <v>Y</v>
      </c>
      <c r="BO217" s="115"/>
      <c r="BP217" s="100">
        <v>1</v>
      </c>
      <c r="BQ217" s="100"/>
      <c r="BR217" s="100"/>
      <c r="BS217" s="100">
        <f t="shared" si="68"/>
        <v>1</v>
      </c>
      <c r="BT217" s="100" t="str">
        <f t="shared" si="69"/>
        <v>Y</v>
      </c>
      <c r="BU217" s="50"/>
      <c r="BV217" s="101">
        <v>1</v>
      </c>
      <c r="BW217" s="101"/>
      <c r="BX217" s="101"/>
      <c r="BY217" s="101"/>
      <c r="BZ217" s="101"/>
      <c r="CA217" s="101"/>
      <c r="CB217" s="101"/>
      <c r="CC217" s="101"/>
      <c r="CD217" s="101">
        <f t="shared" si="70"/>
        <v>1</v>
      </c>
      <c r="CE217" s="101" t="str">
        <f t="shared" si="71"/>
        <v>Y</v>
      </c>
      <c r="CF217" s="54"/>
      <c r="CG217" s="102">
        <v>1</v>
      </c>
      <c r="CH217" s="102"/>
      <c r="CI217" s="102"/>
      <c r="CJ217" s="102"/>
      <c r="CK217" s="102"/>
      <c r="CL217" s="102"/>
      <c r="CM217" s="102"/>
      <c r="CN217" s="102"/>
      <c r="CO217" s="102"/>
      <c r="CP217" s="102"/>
      <c r="CQ217" s="102"/>
      <c r="CR217" s="102"/>
      <c r="CS217" s="102"/>
      <c r="CT217" s="102"/>
      <c r="CU217" s="102"/>
      <c r="CV217" s="102"/>
      <c r="CW217" s="102"/>
      <c r="CX217" s="102"/>
      <c r="CY217" s="102"/>
      <c r="CZ217" s="102">
        <f t="shared" si="72"/>
        <v>1</v>
      </c>
      <c r="DA217" s="102" t="str">
        <f t="shared" si="73"/>
        <v>Y</v>
      </c>
      <c r="DB217" s="58"/>
      <c r="DC217" s="101">
        <v>1</v>
      </c>
      <c r="DD217" s="101"/>
      <c r="DE217" s="101"/>
      <c r="DF217" s="101"/>
      <c r="DG217" s="101"/>
      <c r="DH217" s="101"/>
      <c r="DI217" s="101"/>
      <c r="DJ217" s="101"/>
      <c r="DK217" s="101"/>
      <c r="DL217" s="101"/>
      <c r="DM217" s="101"/>
      <c r="DN217" s="101"/>
      <c r="DO217" s="101"/>
      <c r="DP217" s="101"/>
      <c r="DQ217" s="101"/>
      <c r="DR217" s="101"/>
      <c r="DS217" s="101"/>
      <c r="DT217" s="101"/>
      <c r="DU217" s="101"/>
      <c r="DV217" s="101">
        <f t="shared" si="74"/>
        <v>1</v>
      </c>
      <c r="DW217" s="101" t="str">
        <f t="shared" si="63"/>
        <v>Y</v>
      </c>
      <c r="DX217" s="103"/>
      <c r="DY217" s="104">
        <v>1</v>
      </c>
      <c r="DZ217" s="104"/>
      <c r="EA217" s="104"/>
      <c r="EB217" s="104"/>
      <c r="EC217" s="104"/>
      <c r="ED217" s="104"/>
      <c r="EE217" s="104"/>
      <c r="EF217" s="104"/>
      <c r="EG217" s="104"/>
      <c r="EH217" s="104"/>
      <c r="EI217" s="104"/>
      <c r="EJ217" s="104"/>
      <c r="EK217" s="104">
        <f t="shared" si="75"/>
        <v>1</v>
      </c>
      <c r="EL217" s="104" t="str">
        <f t="shared" si="76"/>
        <v>Y</v>
      </c>
      <c r="EM217" s="62"/>
      <c r="EN217" s="6"/>
      <c r="EO217" s="6"/>
      <c r="EP217" s="6"/>
      <c r="EQ217" s="6"/>
      <c r="ER217" s="6"/>
    </row>
    <row r="218" spans="1:148" x14ac:dyDescent="0.2">
      <c r="A218" s="1189"/>
      <c r="B218" s="1139"/>
      <c r="C218" s="1141"/>
      <c r="D218" s="1134"/>
      <c r="E218" s="1086"/>
      <c r="F218" s="1079"/>
      <c r="G218" s="1077"/>
      <c r="H218" s="1077"/>
      <c r="I218" s="1077"/>
      <c r="J218" s="1079"/>
      <c r="K218" s="1077"/>
      <c r="L218" s="181"/>
      <c r="M218" s="186"/>
      <c r="N218" s="177"/>
      <c r="O218" s="177"/>
      <c r="P218" s="177"/>
      <c r="Q218" s="177"/>
      <c r="R218" s="177"/>
      <c r="S218" s="172"/>
      <c r="T218" s="173"/>
      <c r="U218" s="173"/>
      <c r="V218" s="174"/>
      <c r="W218" s="175"/>
      <c r="X218" s="1099"/>
      <c r="Y218" s="1081"/>
      <c r="Z218" s="1081"/>
      <c r="AA218" s="1081"/>
      <c r="AB218" s="1081"/>
      <c r="AC218" s="1081"/>
      <c r="AD218" s="1081"/>
      <c r="AE218" s="1081"/>
      <c r="AF218" s="1081"/>
      <c r="AG218" s="1081"/>
      <c r="AH218" s="1081"/>
      <c r="AI218" s="1081"/>
      <c r="AJ218" s="1081"/>
      <c r="AK218" s="1082"/>
      <c r="AL218" s="1082"/>
      <c r="AM218" s="1082"/>
      <c r="AN218" s="1082"/>
      <c r="AO218" s="1081"/>
      <c r="AP218" s="1081"/>
      <c r="AQ218" s="95">
        <v>1</v>
      </c>
      <c r="AR218" s="95"/>
      <c r="AS218" s="95"/>
      <c r="AT218" s="95"/>
      <c r="AU218" s="95"/>
      <c r="AV218" s="95"/>
      <c r="AW218" s="95"/>
      <c r="AX218" s="95"/>
      <c r="AY218" s="95"/>
      <c r="AZ218" s="95"/>
      <c r="BA218" s="95"/>
      <c r="BB218" s="95"/>
      <c r="BC218" s="95"/>
      <c r="BD218" s="95"/>
      <c r="BE218" s="95">
        <f t="shared" si="64"/>
        <v>1</v>
      </c>
      <c r="BF218" s="96" t="str">
        <f t="shared" si="65"/>
        <v>Y</v>
      </c>
      <c r="BG218" s="97"/>
      <c r="BH218" s="98">
        <v>1</v>
      </c>
      <c r="BI218" s="98"/>
      <c r="BJ218" s="98"/>
      <c r="BK218" s="98"/>
      <c r="BL218" s="111"/>
      <c r="BM218" s="98">
        <f t="shared" si="66"/>
        <v>1</v>
      </c>
      <c r="BN218" s="98" t="str">
        <f t="shared" si="67"/>
        <v>Y</v>
      </c>
      <c r="BO218" s="115"/>
      <c r="BP218" s="100">
        <v>1</v>
      </c>
      <c r="BQ218" s="100"/>
      <c r="BR218" s="100"/>
      <c r="BS218" s="100">
        <f t="shared" si="68"/>
        <v>1</v>
      </c>
      <c r="BT218" s="100" t="str">
        <f t="shared" si="69"/>
        <v>Y</v>
      </c>
      <c r="BU218" s="50"/>
      <c r="BV218" s="101">
        <v>1</v>
      </c>
      <c r="BW218" s="101"/>
      <c r="BX218" s="101"/>
      <c r="BY218" s="101"/>
      <c r="BZ218" s="101"/>
      <c r="CA218" s="101"/>
      <c r="CB218" s="101"/>
      <c r="CC218" s="101"/>
      <c r="CD218" s="101">
        <f t="shared" si="70"/>
        <v>1</v>
      </c>
      <c r="CE218" s="101" t="str">
        <f t="shared" si="71"/>
        <v>Y</v>
      </c>
      <c r="CF218" s="54"/>
      <c r="CG218" s="102">
        <v>1</v>
      </c>
      <c r="CH218" s="102"/>
      <c r="CI218" s="102"/>
      <c r="CJ218" s="102"/>
      <c r="CK218" s="102"/>
      <c r="CL218" s="102"/>
      <c r="CM218" s="102"/>
      <c r="CN218" s="102"/>
      <c r="CO218" s="102"/>
      <c r="CP218" s="102"/>
      <c r="CQ218" s="102"/>
      <c r="CR218" s="102"/>
      <c r="CS218" s="102"/>
      <c r="CT218" s="102"/>
      <c r="CU218" s="102"/>
      <c r="CV218" s="102"/>
      <c r="CW218" s="102"/>
      <c r="CX218" s="102"/>
      <c r="CY218" s="102"/>
      <c r="CZ218" s="102">
        <f t="shared" si="72"/>
        <v>1</v>
      </c>
      <c r="DA218" s="102" t="str">
        <f t="shared" si="73"/>
        <v>Y</v>
      </c>
      <c r="DB218" s="58"/>
      <c r="DC218" s="101">
        <v>1</v>
      </c>
      <c r="DD218" s="101"/>
      <c r="DE218" s="101"/>
      <c r="DF218" s="101"/>
      <c r="DG218" s="101"/>
      <c r="DH218" s="101"/>
      <c r="DI218" s="101"/>
      <c r="DJ218" s="101"/>
      <c r="DK218" s="101"/>
      <c r="DL218" s="101"/>
      <c r="DM218" s="101"/>
      <c r="DN218" s="101"/>
      <c r="DO218" s="101"/>
      <c r="DP218" s="101"/>
      <c r="DQ218" s="101"/>
      <c r="DR218" s="101"/>
      <c r="DS218" s="101"/>
      <c r="DT218" s="101"/>
      <c r="DU218" s="101"/>
      <c r="DV218" s="101">
        <f t="shared" si="74"/>
        <v>1</v>
      </c>
      <c r="DW218" s="101" t="str">
        <f t="shared" si="63"/>
        <v>Y</v>
      </c>
      <c r="DX218" s="103"/>
      <c r="DY218" s="104">
        <v>1</v>
      </c>
      <c r="DZ218" s="104"/>
      <c r="EA218" s="104"/>
      <c r="EB218" s="104"/>
      <c r="EC218" s="104"/>
      <c r="ED218" s="104"/>
      <c r="EE218" s="104"/>
      <c r="EF218" s="104"/>
      <c r="EG218" s="104"/>
      <c r="EH218" s="104"/>
      <c r="EI218" s="104"/>
      <c r="EJ218" s="104"/>
      <c r="EK218" s="104">
        <f t="shared" si="75"/>
        <v>1</v>
      </c>
      <c r="EL218" s="104" t="str">
        <f t="shared" si="76"/>
        <v>Y</v>
      </c>
      <c r="EM218" s="62"/>
      <c r="EN218" s="6"/>
      <c r="EO218" s="6"/>
      <c r="EP218" s="6"/>
      <c r="EQ218" s="6"/>
      <c r="ER218" s="6"/>
    </row>
    <row r="219" spans="1:148" ht="13.5" thickBot="1" x14ac:dyDescent="0.25">
      <c r="A219" s="1189"/>
      <c r="B219" s="1159"/>
      <c r="C219" s="1162"/>
      <c r="D219" s="1135"/>
      <c r="E219" s="1143"/>
      <c r="F219" s="1080"/>
      <c r="G219" s="1078"/>
      <c r="H219" s="1078"/>
      <c r="I219" s="1078"/>
      <c r="J219" s="1080"/>
      <c r="K219" s="1078"/>
      <c r="L219" s="180"/>
      <c r="M219" s="186"/>
      <c r="N219" s="177"/>
      <c r="O219" s="177"/>
      <c r="P219" s="177"/>
      <c r="Q219" s="177"/>
      <c r="R219" s="177"/>
      <c r="S219" s="172"/>
      <c r="T219" s="173"/>
      <c r="U219" s="173"/>
      <c r="V219" s="174"/>
      <c r="W219" s="175"/>
      <c r="X219" s="1100"/>
      <c r="Y219" s="1081"/>
      <c r="Z219" s="1081"/>
      <c r="AA219" s="1081"/>
      <c r="AB219" s="1081"/>
      <c r="AC219" s="1081"/>
      <c r="AD219" s="1081"/>
      <c r="AE219" s="1081"/>
      <c r="AF219" s="1081"/>
      <c r="AG219" s="1081"/>
      <c r="AH219" s="1081"/>
      <c r="AI219" s="1081"/>
      <c r="AJ219" s="1081"/>
      <c r="AK219" s="1082"/>
      <c r="AL219" s="1082"/>
      <c r="AM219" s="1082"/>
      <c r="AN219" s="1082"/>
      <c r="AO219" s="1081"/>
      <c r="AP219" s="1081"/>
      <c r="AQ219" s="95">
        <v>1</v>
      </c>
      <c r="AR219" s="95"/>
      <c r="AS219" s="95"/>
      <c r="AT219" s="95"/>
      <c r="AU219" s="95"/>
      <c r="AV219" s="95"/>
      <c r="AW219" s="95"/>
      <c r="AX219" s="95"/>
      <c r="AY219" s="95"/>
      <c r="AZ219" s="95"/>
      <c r="BA219" s="95"/>
      <c r="BB219" s="95"/>
      <c r="BC219" s="95"/>
      <c r="BD219" s="95"/>
      <c r="BE219" s="95">
        <f t="shared" si="64"/>
        <v>1</v>
      </c>
      <c r="BF219" s="96" t="str">
        <f t="shared" si="65"/>
        <v>Y</v>
      </c>
      <c r="BG219" s="97"/>
      <c r="BH219" s="98">
        <v>1</v>
      </c>
      <c r="BI219" s="98"/>
      <c r="BJ219" s="98"/>
      <c r="BK219" s="98"/>
      <c r="BL219" s="111"/>
      <c r="BM219" s="98">
        <f t="shared" si="66"/>
        <v>1</v>
      </c>
      <c r="BN219" s="98" t="str">
        <f t="shared" si="67"/>
        <v>Y</v>
      </c>
      <c r="BO219" s="115"/>
      <c r="BP219" s="100">
        <v>1</v>
      </c>
      <c r="BQ219" s="100"/>
      <c r="BR219" s="100"/>
      <c r="BS219" s="100">
        <f t="shared" si="68"/>
        <v>1</v>
      </c>
      <c r="BT219" s="100" t="str">
        <f t="shared" si="69"/>
        <v>Y</v>
      </c>
      <c r="BU219" s="50"/>
      <c r="BV219" s="101">
        <v>1</v>
      </c>
      <c r="BW219" s="101"/>
      <c r="BX219" s="101"/>
      <c r="BY219" s="101"/>
      <c r="BZ219" s="101"/>
      <c r="CA219" s="101"/>
      <c r="CB219" s="101"/>
      <c r="CC219" s="101"/>
      <c r="CD219" s="101">
        <f t="shared" si="70"/>
        <v>1</v>
      </c>
      <c r="CE219" s="101" t="str">
        <f t="shared" si="71"/>
        <v>Y</v>
      </c>
      <c r="CF219" s="54"/>
      <c r="CG219" s="102">
        <v>1</v>
      </c>
      <c r="CH219" s="102"/>
      <c r="CI219" s="102"/>
      <c r="CJ219" s="102"/>
      <c r="CK219" s="102"/>
      <c r="CL219" s="102"/>
      <c r="CM219" s="102"/>
      <c r="CN219" s="102"/>
      <c r="CO219" s="102"/>
      <c r="CP219" s="102"/>
      <c r="CQ219" s="102"/>
      <c r="CR219" s="102"/>
      <c r="CS219" s="102"/>
      <c r="CT219" s="102"/>
      <c r="CU219" s="102"/>
      <c r="CV219" s="102"/>
      <c r="CW219" s="102"/>
      <c r="CX219" s="102"/>
      <c r="CY219" s="102"/>
      <c r="CZ219" s="102">
        <f t="shared" si="72"/>
        <v>1</v>
      </c>
      <c r="DA219" s="102" t="str">
        <f t="shared" si="73"/>
        <v>Y</v>
      </c>
      <c r="DB219" s="58"/>
      <c r="DC219" s="101">
        <v>1</v>
      </c>
      <c r="DD219" s="101"/>
      <c r="DE219" s="101"/>
      <c r="DF219" s="101"/>
      <c r="DG219" s="101"/>
      <c r="DH219" s="101"/>
      <c r="DI219" s="101"/>
      <c r="DJ219" s="101"/>
      <c r="DK219" s="101"/>
      <c r="DL219" s="101"/>
      <c r="DM219" s="101"/>
      <c r="DN219" s="101"/>
      <c r="DO219" s="101"/>
      <c r="DP219" s="101"/>
      <c r="DQ219" s="101"/>
      <c r="DR219" s="101"/>
      <c r="DS219" s="101"/>
      <c r="DT219" s="101"/>
      <c r="DU219" s="101"/>
      <c r="DV219" s="101">
        <f t="shared" si="74"/>
        <v>1</v>
      </c>
      <c r="DW219" s="101" t="str">
        <f t="shared" si="63"/>
        <v>Y</v>
      </c>
      <c r="DX219" s="103"/>
      <c r="DY219" s="104">
        <v>1</v>
      </c>
      <c r="DZ219" s="104"/>
      <c r="EA219" s="104"/>
      <c r="EB219" s="104"/>
      <c r="EC219" s="104"/>
      <c r="ED219" s="104"/>
      <c r="EE219" s="104"/>
      <c r="EF219" s="104"/>
      <c r="EG219" s="104"/>
      <c r="EH219" s="104"/>
      <c r="EI219" s="104"/>
      <c r="EJ219" s="104"/>
      <c r="EK219" s="104">
        <f t="shared" si="75"/>
        <v>1</v>
      </c>
      <c r="EL219" s="104" t="str">
        <f t="shared" si="76"/>
        <v>Y</v>
      </c>
      <c r="EM219" s="62"/>
      <c r="EN219" s="6"/>
      <c r="EO219" s="6"/>
      <c r="EP219" s="6"/>
      <c r="EQ219" s="6"/>
      <c r="ER219" s="6"/>
    </row>
    <row r="220" spans="1:148" x14ac:dyDescent="0.2">
      <c r="A220" s="1189"/>
      <c r="B220" s="1149" t="s">
        <v>178</v>
      </c>
      <c r="C220" s="1152" t="s">
        <v>177</v>
      </c>
      <c r="D220" s="1155"/>
      <c r="E220" s="1085"/>
      <c r="F220" s="1144"/>
      <c r="G220" s="1076" t="s">
        <v>271</v>
      </c>
      <c r="H220" s="1076" t="s">
        <v>285</v>
      </c>
      <c r="I220" s="1076"/>
      <c r="J220" s="1079">
        <f>Y220+AA220+AC220+AE220+AG220+AI220+AK220+AM220+AO220</f>
        <v>1</v>
      </c>
      <c r="K220" s="1076"/>
      <c r="L220" s="180"/>
      <c r="M220" s="186"/>
      <c r="N220" s="177"/>
      <c r="O220" s="177"/>
      <c r="P220" s="177"/>
      <c r="Q220" s="177"/>
      <c r="R220" s="177"/>
      <c r="S220" s="172"/>
      <c r="T220" s="173"/>
      <c r="U220" s="173"/>
      <c r="V220" s="174"/>
      <c r="W220" s="172"/>
      <c r="X220" s="1098" t="s">
        <v>416</v>
      </c>
      <c r="Y220" s="1081">
        <f>IF(HC="Y",IF(BF220="Y",Z220,0),0)</f>
        <v>0</v>
      </c>
      <c r="Z220" s="1081">
        <v>1</v>
      </c>
      <c r="AA220" s="1081">
        <f>IF(OFF="Y",IF(BN220="Y",AB220,0),0)</f>
        <v>1</v>
      </c>
      <c r="AB220" s="1081">
        <v>1</v>
      </c>
      <c r="AC220" s="1081">
        <f>IF(COURTS="Y",IF(BT220="Y",AD220,0),0)</f>
        <v>0</v>
      </c>
      <c r="AD220" s="1081">
        <v>1</v>
      </c>
      <c r="AE220" s="1081">
        <f>IF(PRISONS="Y",IF(CE220="Y",AF220,0),0)</f>
        <v>0</v>
      </c>
      <c r="AF220" s="1081">
        <v>1</v>
      </c>
      <c r="AG220" s="1081">
        <f>IF(RET="Y",IF(DA220="Y",AH220,0),0)</f>
        <v>0</v>
      </c>
      <c r="AH220" s="1081">
        <v>1</v>
      </c>
      <c r="AI220" s="1081">
        <f>IF(SCHOOLS="y",IF(DW220="y",AJ220,0),0)</f>
        <v>0</v>
      </c>
      <c r="AJ220" s="1081">
        <v>1</v>
      </c>
      <c r="AK220" s="1082">
        <f>IF(FE="y",IF(DW220="y",AL220,0),0)</f>
        <v>0</v>
      </c>
      <c r="AL220" s="1082">
        <v>1</v>
      </c>
      <c r="AM220" s="1082">
        <f>IF(HE="Y",IF(DW220="Y",AN220,0),0)</f>
        <v>0</v>
      </c>
      <c r="AN220" s="1082" t="e">
        <v>#REF!</v>
      </c>
      <c r="AO220" s="1081">
        <f>IF(INDUSTRIAL="Y",IF(EL220="Y",AP220,0),0)</f>
        <v>0</v>
      </c>
      <c r="AP220" s="1081">
        <v>1</v>
      </c>
      <c r="AQ220" s="95">
        <v>1</v>
      </c>
      <c r="AR220" s="95"/>
      <c r="AS220" s="95"/>
      <c r="AT220" s="95"/>
      <c r="AU220" s="95"/>
      <c r="AV220" s="95"/>
      <c r="AW220" s="95"/>
      <c r="AX220" s="95"/>
      <c r="AY220" s="95"/>
      <c r="AZ220" s="95"/>
      <c r="BA220" s="95"/>
      <c r="BB220" s="95"/>
      <c r="BC220" s="95"/>
      <c r="BD220" s="95"/>
      <c r="BE220" s="95">
        <f t="shared" si="64"/>
        <v>1</v>
      </c>
      <c r="BF220" s="96" t="str">
        <f t="shared" si="65"/>
        <v>Y</v>
      </c>
      <c r="BG220" s="97"/>
      <c r="BH220" s="98">
        <v>1</v>
      </c>
      <c r="BI220" s="98"/>
      <c r="BJ220" s="98"/>
      <c r="BK220" s="98"/>
      <c r="BL220" s="111"/>
      <c r="BM220" s="98">
        <f t="shared" si="66"/>
        <v>1</v>
      </c>
      <c r="BN220" s="98" t="str">
        <f t="shared" si="67"/>
        <v>Y</v>
      </c>
      <c r="BO220" s="115"/>
      <c r="BP220" s="100">
        <v>1</v>
      </c>
      <c r="BQ220" s="100"/>
      <c r="BR220" s="100"/>
      <c r="BS220" s="100">
        <f t="shared" si="68"/>
        <v>1</v>
      </c>
      <c r="BT220" s="100" t="str">
        <f t="shared" si="69"/>
        <v>Y</v>
      </c>
      <c r="BU220" s="50"/>
      <c r="BV220" s="101">
        <v>1</v>
      </c>
      <c r="BW220" s="101"/>
      <c r="BX220" s="101"/>
      <c r="BY220" s="101"/>
      <c r="BZ220" s="101"/>
      <c r="CA220" s="101"/>
      <c r="CB220" s="101"/>
      <c r="CC220" s="101"/>
      <c r="CD220" s="101">
        <f t="shared" si="70"/>
        <v>1</v>
      </c>
      <c r="CE220" s="101" t="str">
        <f t="shared" si="71"/>
        <v>Y</v>
      </c>
      <c r="CF220" s="54"/>
      <c r="CG220" s="102">
        <v>1</v>
      </c>
      <c r="CH220" s="102"/>
      <c r="CI220" s="102"/>
      <c r="CJ220" s="102"/>
      <c r="CK220" s="102"/>
      <c r="CL220" s="102"/>
      <c r="CM220" s="102"/>
      <c r="CN220" s="102"/>
      <c r="CO220" s="102"/>
      <c r="CP220" s="102"/>
      <c r="CQ220" s="102"/>
      <c r="CR220" s="102"/>
      <c r="CS220" s="102"/>
      <c r="CT220" s="102"/>
      <c r="CU220" s="102"/>
      <c r="CV220" s="102"/>
      <c r="CW220" s="102"/>
      <c r="CX220" s="102"/>
      <c r="CY220" s="102"/>
      <c r="CZ220" s="102">
        <f t="shared" si="72"/>
        <v>1</v>
      </c>
      <c r="DA220" s="102" t="str">
        <f t="shared" si="73"/>
        <v>Y</v>
      </c>
      <c r="DB220" s="58"/>
      <c r="DC220" s="101">
        <v>1</v>
      </c>
      <c r="DD220" s="101"/>
      <c r="DE220" s="101"/>
      <c r="DF220" s="101"/>
      <c r="DG220" s="101"/>
      <c r="DH220" s="101"/>
      <c r="DI220" s="101"/>
      <c r="DJ220" s="101"/>
      <c r="DK220" s="101"/>
      <c r="DL220" s="101"/>
      <c r="DM220" s="101"/>
      <c r="DN220" s="101"/>
      <c r="DO220" s="101"/>
      <c r="DP220" s="101"/>
      <c r="DQ220" s="101"/>
      <c r="DR220" s="101"/>
      <c r="DS220" s="101"/>
      <c r="DT220" s="101"/>
      <c r="DU220" s="101"/>
      <c r="DV220" s="101">
        <f t="shared" si="74"/>
        <v>1</v>
      </c>
      <c r="DW220" s="101" t="str">
        <f t="shared" si="63"/>
        <v>Y</v>
      </c>
      <c r="DX220" s="103"/>
      <c r="DY220" s="104">
        <v>1</v>
      </c>
      <c r="DZ220" s="104"/>
      <c r="EA220" s="104"/>
      <c r="EB220" s="104"/>
      <c r="EC220" s="104"/>
      <c r="ED220" s="104"/>
      <c r="EE220" s="104"/>
      <c r="EF220" s="104"/>
      <c r="EG220" s="104"/>
      <c r="EH220" s="104"/>
      <c r="EI220" s="104"/>
      <c r="EJ220" s="104"/>
      <c r="EK220" s="104">
        <f t="shared" si="75"/>
        <v>1</v>
      </c>
      <c r="EL220" s="104" t="str">
        <f t="shared" si="76"/>
        <v>Y</v>
      </c>
      <c r="EM220" s="62"/>
      <c r="EN220" s="6"/>
      <c r="EO220" s="6"/>
      <c r="EP220" s="6"/>
      <c r="EQ220" s="6"/>
      <c r="ER220" s="6"/>
    </row>
    <row r="221" spans="1:148" x14ac:dyDescent="0.2">
      <c r="A221" s="1189"/>
      <c r="B221" s="1150"/>
      <c r="C221" s="1153"/>
      <c r="D221" s="1156"/>
      <c r="E221" s="1086"/>
      <c r="F221" s="1079"/>
      <c r="G221" s="1077"/>
      <c r="H221" s="1077"/>
      <c r="I221" s="1077"/>
      <c r="J221" s="1079"/>
      <c r="K221" s="1077"/>
      <c r="L221" s="181"/>
      <c r="M221" s="186"/>
      <c r="N221" s="177"/>
      <c r="O221" s="177"/>
      <c r="P221" s="177"/>
      <c r="Q221" s="177"/>
      <c r="R221" s="177"/>
      <c r="S221" s="172"/>
      <c r="T221" s="173"/>
      <c r="U221" s="173"/>
      <c r="V221" s="174"/>
      <c r="W221" s="172"/>
      <c r="X221" s="1099"/>
      <c r="Y221" s="1081"/>
      <c r="Z221" s="1081"/>
      <c r="AA221" s="1081"/>
      <c r="AB221" s="1081"/>
      <c r="AC221" s="1081"/>
      <c r="AD221" s="1081"/>
      <c r="AE221" s="1081"/>
      <c r="AF221" s="1081"/>
      <c r="AG221" s="1081"/>
      <c r="AH221" s="1081"/>
      <c r="AI221" s="1081"/>
      <c r="AJ221" s="1081"/>
      <c r="AK221" s="1082"/>
      <c r="AL221" s="1082"/>
      <c r="AM221" s="1082"/>
      <c r="AN221" s="1082"/>
      <c r="AO221" s="1081"/>
      <c r="AP221" s="1081"/>
      <c r="AQ221" s="95">
        <v>1</v>
      </c>
      <c r="AR221" s="95"/>
      <c r="AS221" s="95"/>
      <c r="AT221" s="95"/>
      <c r="AU221" s="95"/>
      <c r="AV221" s="95"/>
      <c r="AW221" s="95"/>
      <c r="AX221" s="95"/>
      <c r="AY221" s="95"/>
      <c r="AZ221" s="95"/>
      <c r="BA221" s="95"/>
      <c r="BB221" s="95"/>
      <c r="BC221" s="95"/>
      <c r="BD221" s="95"/>
      <c r="BE221" s="95">
        <f t="shared" si="64"/>
        <v>1</v>
      </c>
      <c r="BF221" s="96" t="str">
        <f t="shared" si="65"/>
        <v>Y</v>
      </c>
      <c r="BG221" s="97"/>
      <c r="BH221" s="98">
        <v>1</v>
      </c>
      <c r="BI221" s="98"/>
      <c r="BJ221" s="98"/>
      <c r="BK221" s="98"/>
      <c r="BL221" s="111"/>
      <c r="BM221" s="98">
        <f t="shared" si="66"/>
        <v>1</v>
      </c>
      <c r="BN221" s="98" t="str">
        <f t="shared" si="67"/>
        <v>Y</v>
      </c>
      <c r="BO221" s="115"/>
      <c r="BP221" s="100">
        <v>1</v>
      </c>
      <c r="BQ221" s="100"/>
      <c r="BR221" s="100"/>
      <c r="BS221" s="100">
        <f t="shared" si="68"/>
        <v>1</v>
      </c>
      <c r="BT221" s="100" t="str">
        <f t="shared" si="69"/>
        <v>Y</v>
      </c>
      <c r="BU221" s="50"/>
      <c r="BV221" s="101">
        <v>1</v>
      </c>
      <c r="BW221" s="101"/>
      <c r="BX221" s="101"/>
      <c r="BY221" s="101"/>
      <c r="BZ221" s="101"/>
      <c r="CA221" s="101"/>
      <c r="CB221" s="101"/>
      <c r="CC221" s="101"/>
      <c r="CD221" s="101">
        <f t="shared" si="70"/>
        <v>1</v>
      </c>
      <c r="CE221" s="101" t="str">
        <f t="shared" si="71"/>
        <v>Y</v>
      </c>
      <c r="CF221" s="54"/>
      <c r="CG221" s="102">
        <v>1</v>
      </c>
      <c r="CH221" s="102"/>
      <c r="CI221" s="102"/>
      <c r="CJ221" s="102"/>
      <c r="CK221" s="102"/>
      <c r="CL221" s="102"/>
      <c r="CM221" s="102"/>
      <c r="CN221" s="102"/>
      <c r="CO221" s="102"/>
      <c r="CP221" s="102"/>
      <c r="CQ221" s="102"/>
      <c r="CR221" s="102"/>
      <c r="CS221" s="102"/>
      <c r="CT221" s="102"/>
      <c r="CU221" s="102"/>
      <c r="CV221" s="102"/>
      <c r="CW221" s="102"/>
      <c r="CX221" s="102"/>
      <c r="CY221" s="102"/>
      <c r="CZ221" s="102">
        <f t="shared" si="72"/>
        <v>1</v>
      </c>
      <c r="DA221" s="102" t="str">
        <f t="shared" si="73"/>
        <v>Y</v>
      </c>
      <c r="DB221" s="58"/>
      <c r="DC221" s="101">
        <v>1</v>
      </c>
      <c r="DD221" s="101"/>
      <c r="DE221" s="101"/>
      <c r="DF221" s="101"/>
      <c r="DG221" s="101"/>
      <c r="DH221" s="101"/>
      <c r="DI221" s="101"/>
      <c r="DJ221" s="101"/>
      <c r="DK221" s="101"/>
      <c r="DL221" s="101"/>
      <c r="DM221" s="101"/>
      <c r="DN221" s="101"/>
      <c r="DO221" s="101"/>
      <c r="DP221" s="101"/>
      <c r="DQ221" s="101"/>
      <c r="DR221" s="101"/>
      <c r="DS221" s="101"/>
      <c r="DT221" s="101"/>
      <c r="DU221" s="101"/>
      <c r="DV221" s="101">
        <f t="shared" si="74"/>
        <v>1</v>
      </c>
      <c r="DW221" s="101" t="str">
        <f t="shared" si="63"/>
        <v>Y</v>
      </c>
      <c r="DX221" s="103"/>
      <c r="DY221" s="104">
        <v>1</v>
      </c>
      <c r="DZ221" s="104"/>
      <c r="EA221" s="104"/>
      <c r="EB221" s="104"/>
      <c r="EC221" s="104"/>
      <c r="ED221" s="104"/>
      <c r="EE221" s="104"/>
      <c r="EF221" s="104"/>
      <c r="EG221" s="104"/>
      <c r="EH221" s="104"/>
      <c r="EI221" s="104"/>
      <c r="EJ221" s="104"/>
      <c r="EK221" s="104">
        <f t="shared" si="75"/>
        <v>1</v>
      </c>
      <c r="EL221" s="104" t="str">
        <f t="shared" si="76"/>
        <v>Y</v>
      </c>
      <c r="EM221" s="62"/>
      <c r="EN221" s="6"/>
      <c r="EO221" s="6"/>
      <c r="EP221" s="6"/>
      <c r="EQ221" s="6"/>
      <c r="ER221" s="6"/>
    </row>
    <row r="222" spans="1:148" ht="13.5" thickBot="1" x14ac:dyDescent="0.25">
      <c r="A222" s="1189"/>
      <c r="B222" s="1151"/>
      <c r="C222" s="1154"/>
      <c r="D222" s="1157"/>
      <c r="E222" s="1143"/>
      <c r="F222" s="1080"/>
      <c r="G222" s="1078"/>
      <c r="H222" s="1078"/>
      <c r="I222" s="1078"/>
      <c r="J222" s="1080"/>
      <c r="K222" s="1078"/>
      <c r="L222" s="180"/>
      <c r="M222" s="186"/>
      <c r="N222" s="177"/>
      <c r="O222" s="177"/>
      <c r="P222" s="177"/>
      <c r="Q222" s="177"/>
      <c r="R222" s="177"/>
      <c r="S222" s="172"/>
      <c r="T222" s="173"/>
      <c r="U222" s="173"/>
      <c r="V222" s="174"/>
      <c r="W222" s="172"/>
      <c r="X222" s="1100"/>
      <c r="Y222" s="1081"/>
      <c r="Z222" s="1081"/>
      <c r="AA222" s="1081"/>
      <c r="AB222" s="1081"/>
      <c r="AC222" s="1081"/>
      <c r="AD222" s="1081"/>
      <c r="AE222" s="1081"/>
      <c r="AF222" s="1081"/>
      <c r="AG222" s="1081"/>
      <c r="AH222" s="1081"/>
      <c r="AI222" s="1081"/>
      <c r="AJ222" s="1081"/>
      <c r="AK222" s="1082"/>
      <c r="AL222" s="1082"/>
      <c r="AM222" s="1082"/>
      <c r="AN222" s="1082"/>
      <c r="AO222" s="1081"/>
      <c r="AP222" s="1081"/>
      <c r="AQ222" s="95">
        <v>1</v>
      </c>
      <c r="AR222" s="95"/>
      <c r="AS222" s="95"/>
      <c r="AT222" s="95"/>
      <c r="AU222" s="95"/>
      <c r="AV222" s="95"/>
      <c r="AW222" s="95"/>
      <c r="AX222" s="95"/>
      <c r="AY222" s="95"/>
      <c r="AZ222" s="95"/>
      <c r="BA222" s="95"/>
      <c r="BB222" s="95"/>
      <c r="BC222" s="95"/>
      <c r="BD222" s="95"/>
      <c r="BE222" s="95">
        <f t="shared" si="64"/>
        <v>1</v>
      </c>
      <c r="BF222" s="96" t="str">
        <f t="shared" si="65"/>
        <v>Y</v>
      </c>
      <c r="BG222" s="97"/>
      <c r="BH222" s="98">
        <v>1</v>
      </c>
      <c r="BI222" s="98"/>
      <c r="BJ222" s="98"/>
      <c r="BK222" s="98"/>
      <c r="BL222" s="111"/>
      <c r="BM222" s="98">
        <f t="shared" si="66"/>
        <v>1</v>
      </c>
      <c r="BN222" s="98" t="str">
        <f t="shared" si="67"/>
        <v>Y</v>
      </c>
      <c r="BO222" s="115"/>
      <c r="BP222" s="100">
        <v>1</v>
      </c>
      <c r="BQ222" s="100"/>
      <c r="BR222" s="100"/>
      <c r="BS222" s="100">
        <f t="shared" si="68"/>
        <v>1</v>
      </c>
      <c r="BT222" s="100" t="str">
        <f t="shared" si="69"/>
        <v>Y</v>
      </c>
      <c r="BU222" s="50"/>
      <c r="BV222" s="101">
        <v>1</v>
      </c>
      <c r="BW222" s="101"/>
      <c r="BX222" s="101"/>
      <c r="BY222" s="101"/>
      <c r="BZ222" s="101"/>
      <c r="CA222" s="101"/>
      <c r="CB222" s="101"/>
      <c r="CC222" s="101"/>
      <c r="CD222" s="101">
        <f t="shared" si="70"/>
        <v>1</v>
      </c>
      <c r="CE222" s="101" t="str">
        <f t="shared" si="71"/>
        <v>Y</v>
      </c>
      <c r="CF222" s="54"/>
      <c r="CG222" s="102">
        <v>1</v>
      </c>
      <c r="CH222" s="102"/>
      <c r="CI222" s="102"/>
      <c r="CJ222" s="102"/>
      <c r="CK222" s="102"/>
      <c r="CL222" s="102"/>
      <c r="CM222" s="102"/>
      <c r="CN222" s="102"/>
      <c r="CO222" s="102"/>
      <c r="CP222" s="102"/>
      <c r="CQ222" s="102"/>
      <c r="CR222" s="102"/>
      <c r="CS222" s="102"/>
      <c r="CT222" s="102"/>
      <c r="CU222" s="102"/>
      <c r="CV222" s="102"/>
      <c r="CW222" s="102"/>
      <c r="CX222" s="102"/>
      <c r="CY222" s="102"/>
      <c r="CZ222" s="102">
        <f t="shared" si="72"/>
        <v>1</v>
      </c>
      <c r="DA222" s="102" t="str">
        <f t="shared" si="73"/>
        <v>Y</v>
      </c>
      <c r="DB222" s="58"/>
      <c r="DC222" s="101">
        <v>1</v>
      </c>
      <c r="DD222" s="101"/>
      <c r="DE222" s="101"/>
      <c r="DF222" s="101"/>
      <c r="DG222" s="101"/>
      <c r="DH222" s="101"/>
      <c r="DI222" s="101"/>
      <c r="DJ222" s="101"/>
      <c r="DK222" s="101"/>
      <c r="DL222" s="101"/>
      <c r="DM222" s="101"/>
      <c r="DN222" s="101"/>
      <c r="DO222" s="101"/>
      <c r="DP222" s="101"/>
      <c r="DQ222" s="101"/>
      <c r="DR222" s="101"/>
      <c r="DS222" s="101"/>
      <c r="DT222" s="101"/>
      <c r="DU222" s="101"/>
      <c r="DV222" s="101">
        <f t="shared" si="74"/>
        <v>1</v>
      </c>
      <c r="DW222" s="101" t="str">
        <f t="shared" si="63"/>
        <v>Y</v>
      </c>
      <c r="DX222" s="103"/>
      <c r="DY222" s="104">
        <v>1</v>
      </c>
      <c r="DZ222" s="104"/>
      <c r="EA222" s="104"/>
      <c r="EB222" s="104"/>
      <c r="EC222" s="104"/>
      <c r="ED222" s="104"/>
      <c r="EE222" s="104"/>
      <c r="EF222" s="104"/>
      <c r="EG222" s="104"/>
      <c r="EH222" s="104"/>
      <c r="EI222" s="104"/>
      <c r="EJ222" s="104"/>
      <c r="EK222" s="104">
        <f t="shared" si="75"/>
        <v>1</v>
      </c>
      <c r="EL222" s="104" t="str">
        <f t="shared" si="76"/>
        <v>Y</v>
      </c>
      <c r="EM222" s="62"/>
      <c r="EN222" s="6"/>
      <c r="EO222" s="6"/>
      <c r="EP222" s="6"/>
      <c r="EQ222" s="6"/>
      <c r="ER222" s="6"/>
    </row>
    <row r="223" spans="1:148" x14ac:dyDescent="0.2">
      <c r="A223" s="1189"/>
      <c r="B223" s="1160" t="s">
        <v>176</v>
      </c>
      <c r="C223" s="1193" t="s">
        <v>175</v>
      </c>
      <c r="D223" s="1194" t="s">
        <v>179</v>
      </c>
      <c r="E223" s="1085"/>
      <c r="F223" s="1144"/>
      <c r="G223" s="1076" t="s">
        <v>270</v>
      </c>
      <c r="H223" s="1076" t="s">
        <v>340</v>
      </c>
      <c r="I223" s="1076"/>
      <c r="J223" s="1079">
        <f>Y223+AA223+AC223+AE223+AG223+AI223+AK223+AM223+AO223</f>
        <v>4</v>
      </c>
      <c r="K223" s="1076"/>
      <c r="L223" s="180"/>
      <c r="M223" s="186"/>
      <c r="N223" s="177"/>
      <c r="O223" s="177"/>
      <c r="P223" s="177"/>
      <c r="Q223" s="177"/>
      <c r="R223" s="177"/>
      <c r="S223" s="172"/>
      <c r="T223" s="173"/>
      <c r="U223" s="173"/>
      <c r="V223" s="174"/>
      <c r="W223" s="175"/>
      <c r="X223" s="1098" t="s">
        <v>417</v>
      </c>
      <c r="Y223" s="1081">
        <f>IF(HC="Y",IF(BF223="Y",Z223,0),0)</f>
        <v>0</v>
      </c>
      <c r="Z223" s="1081">
        <v>4</v>
      </c>
      <c r="AA223" s="1081">
        <f>IF(OFF="Y",IF(BN223="Y",AB223,0),0)</f>
        <v>4</v>
      </c>
      <c r="AB223" s="1081">
        <v>4</v>
      </c>
      <c r="AC223" s="1081">
        <f>IF(COURTS="Y",IF(BT223="Y",AD223,0),0)</f>
        <v>0</v>
      </c>
      <c r="AD223" s="1081">
        <v>4</v>
      </c>
      <c r="AE223" s="1081">
        <f>IF(PRISONS="Y",IF(CE223="Y",AF223,0),0)</f>
        <v>0</v>
      </c>
      <c r="AF223" s="1081">
        <v>4</v>
      </c>
      <c r="AG223" s="1081">
        <f>IF(RET="Y",IF(DA223="Y",AH223,0),0)</f>
        <v>0</v>
      </c>
      <c r="AH223" s="1081">
        <v>4</v>
      </c>
      <c r="AI223" s="1081">
        <f>IF(SCHOOLS="y",IF(DW223="y",AJ223,0),0)</f>
        <v>0</v>
      </c>
      <c r="AJ223" s="1081">
        <v>4</v>
      </c>
      <c r="AK223" s="1082">
        <f>IF(FE="y",IF(DW223="y",AL223,0),0)</f>
        <v>0</v>
      </c>
      <c r="AL223" s="1082">
        <v>4</v>
      </c>
      <c r="AM223" s="1082">
        <f>IF(HE="Y",IF(DW223="Y",AN223,0),0)</f>
        <v>0</v>
      </c>
      <c r="AN223" s="1082">
        <v>4</v>
      </c>
      <c r="AO223" s="1081">
        <f>IF(INDUSTRIAL="Y",IF(EL223="Y",AP223,0),0)</f>
        <v>0</v>
      </c>
      <c r="AP223" s="1081">
        <v>4</v>
      </c>
      <c r="AQ223" s="95">
        <v>1</v>
      </c>
      <c r="AR223" s="95"/>
      <c r="AS223" s="95"/>
      <c r="AT223" s="95"/>
      <c r="AU223" s="95"/>
      <c r="AV223" s="95"/>
      <c r="AW223" s="95"/>
      <c r="AX223" s="95"/>
      <c r="AY223" s="95"/>
      <c r="AZ223" s="95"/>
      <c r="BA223" s="95"/>
      <c r="BB223" s="95"/>
      <c r="BC223" s="95"/>
      <c r="BD223" s="95"/>
      <c r="BE223" s="95">
        <f t="shared" si="64"/>
        <v>1</v>
      </c>
      <c r="BF223" s="96" t="str">
        <f t="shared" si="65"/>
        <v>Y</v>
      </c>
      <c r="BG223" s="97"/>
      <c r="BH223" s="98">
        <v>1</v>
      </c>
      <c r="BI223" s="98"/>
      <c r="BJ223" s="98"/>
      <c r="BK223" s="98"/>
      <c r="BL223" s="111"/>
      <c r="BM223" s="98">
        <f t="shared" si="66"/>
        <v>1</v>
      </c>
      <c r="BN223" s="98" t="str">
        <f t="shared" si="67"/>
        <v>Y</v>
      </c>
      <c r="BO223" s="115"/>
      <c r="BP223" s="100">
        <v>1</v>
      </c>
      <c r="BQ223" s="100"/>
      <c r="BR223" s="100"/>
      <c r="BS223" s="100">
        <f t="shared" si="68"/>
        <v>1</v>
      </c>
      <c r="BT223" s="100" t="str">
        <f t="shared" si="69"/>
        <v>Y</v>
      </c>
      <c r="BU223" s="50"/>
      <c r="BV223" s="101">
        <v>1</v>
      </c>
      <c r="BW223" s="101"/>
      <c r="BX223" s="101"/>
      <c r="BY223" s="101"/>
      <c r="BZ223" s="101"/>
      <c r="CA223" s="101"/>
      <c r="CB223" s="101"/>
      <c r="CC223" s="101"/>
      <c r="CD223" s="101">
        <f t="shared" si="70"/>
        <v>1</v>
      </c>
      <c r="CE223" s="101" t="str">
        <f t="shared" si="71"/>
        <v>Y</v>
      </c>
      <c r="CF223" s="54"/>
      <c r="CG223" s="102">
        <v>1</v>
      </c>
      <c r="CH223" s="102"/>
      <c r="CI223" s="102"/>
      <c r="CJ223" s="102"/>
      <c r="CK223" s="102"/>
      <c r="CL223" s="102"/>
      <c r="CM223" s="102"/>
      <c r="CN223" s="102"/>
      <c r="CO223" s="102"/>
      <c r="CP223" s="102"/>
      <c r="CQ223" s="102"/>
      <c r="CR223" s="102"/>
      <c r="CS223" s="102"/>
      <c r="CT223" s="102"/>
      <c r="CU223" s="102"/>
      <c r="CV223" s="102"/>
      <c r="CW223" s="102"/>
      <c r="CX223" s="102"/>
      <c r="CY223" s="102"/>
      <c r="CZ223" s="102">
        <f t="shared" si="72"/>
        <v>1</v>
      </c>
      <c r="DA223" s="102" t="str">
        <f t="shared" si="73"/>
        <v>Y</v>
      </c>
      <c r="DB223" s="58"/>
      <c r="DC223" s="101">
        <v>1</v>
      </c>
      <c r="DD223" s="101"/>
      <c r="DE223" s="101"/>
      <c r="DF223" s="101"/>
      <c r="DG223" s="101"/>
      <c r="DH223" s="101"/>
      <c r="DI223" s="101"/>
      <c r="DJ223" s="101"/>
      <c r="DK223" s="101"/>
      <c r="DL223" s="101"/>
      <c r="DM223" s="101"/>
      <c r="DN223" s="101"/>
      <c r="DO223" s="101"/>
      <c r="DP223" s="101"/>
      <c r="DQ223" s="101"/>
      <c r="DR223" s="101"/>
      <c r="DS223" s="101"/>
      <c r="DT223" s="101"/>
      <c r="DU223" s="101"/>
      <c r="DV223" s="101">
        <f t="shared" si="74"/>
        <v>1</v>
      </c>
      <c r="DW223" s="101" t="str">
        <f t="shared" si="63"/>
        <v>Y</v>
      </c>
      <c r="DX223" s="103"/>
      <c r="DY223" s="104">
        <v>1</v>
      </c>
      <c r="DZ223" s="104"/>
      <c r="EA223" s="104"/>
      <c r="EB223" s="104"/>
      <c r="EC223" s="104"/>
      <c r="ED223" s="104"/>
      <c r="EE223" s="104"/>
      <c r="EF223" s="104"/>
      <c r="EG223" s="104"/>
      <c r="EH223" s="104"/>
      <c r="EI223" s="104"/>
      <c r="EJ223" s="104"/>
      <c r="EK223" s="104">
        <f t="shared" si="75"/>
        <v>1</v>
      </c>
      <c r="EL223" s="104" t="str">
        <f t="shared" si="76"/>
        <v>Y</v>
      </c>
      <c r="EM223" s="62"/>
      <c r="EN223" s="6"/>
      <c r="EO223" s="6"/>
      <c r="EP223" s="6"/>
      <c r="EQ223" s="6"/>
      <c r="ER223" s="6"/>
    </row>
    <row r="224" spans="1:148" x14ac:dyDescent="0.2">
      <c r="A224" s="1189"/>
      <c r="B224" s="1160"/>
      <c r="C224" s="1193"/>
      <c r="D224" s="1195"/>
      <c r="E224" s="1086"/>
      <c r="F224" s="1079"/>
      <c r="G224" s="1077"/>
      <c r="H224" s="1077"/>
      <c r="I224" s="1077"/>
      <c r="J224" s="1079"/>
      <c r="K224" s="1077"/>
      <c r="L224" s="181"/>
      <c r="M224" s="186"/>
      <c r="N224" s="177"/>
      <c r="O224" s="177"/>
      <c r="P224" s="177"/>
      <c r="Q224" s="177"/>
      <c r="R224" s="177"/>
      <c r="S224" s="172"/>
      <c r="T224" s="173"/>
      <c r="U224" s="173"/>
      <c r="V224" s="174"/>
      <c r="W224" s="175"/>
      <c r="X224" s="1099"/>
      <c r="Y224" s="1081"/>
      <c r="Z224" s="1081"/>
      <c r="AA224" s="1081"/>
      <c r="AB224" s="1081"/>
      <c r="AC224" s="1081"/>
      <c r="AD224" s="1081"/>
      <c r="AE224" s="1081"/>
      <c r="AF224" s="1081"/>
      <c r="AG224" s="1081"/>
      <c r="AH224" s="1081"/>
      <c r="AI224" s="1081"/>
      <c r="AJ224" s="1081"/>
      <c r="AK224" s="1082"/>
      <c r="AL224" s="1082"/>
      <c r="AM224" s="1082"/>
      <c r="AN224" s="1082"/>
      <c r="AO224" s="1081"/>
      <c r="AP224" s="1081"/>
      <c r="AQ224" s="95">
        <v>1</v>
      </c>
      <c r="AR224" s="95"/>
      <c r="AS224" s="95"/>
      <c r="AT224" s="95"/>
      <c r="AU224" s="95"/>
      <c r="AV224" s="95"/>
      <c r="AW224" s="95"/>
      <c r="AX224" s="95"/>
      <c r="AY224" s="95"/>
      <c r="AZ224" s="95"/>
      <c r="BA224" s="95"/>
      <c r="BB224" s="95"/>
      <c r="BC224" s="95"/>
      <c r="BD224" s="95"/>
      <c r="BE224" s="95">
        <f t="shared" si="64"/>
        <v>1</v>
      </c>
      <c r="BF224" s="96" t="str">
        <f t="shared" si="65"/>
        <v>Y</v>
      </c>
      <c r="BG224" s="97"/>
      <c r="BH224" s="98">
        <v>1</v>
      </c>
      <c r="BI224" s="98"/>
      <c r="BJ224" s="98"/>
      <c r="BK224" s="98"/>
      <c r="BL224" s="111"/>
      <c r="BM224" s="98">
        <f t="shared" si="66"/>
        <v>1</v>
      </c>
      <c r="BN224" s="98" t="str">
        <f t="shared" si="67"/>
        <v>Y</v>
      </c>
      <c r="BO224" s="115"/>
      <c r="BP224" s="100">
        <v>1</v>
      </c>
      <c r="BQ224" s="100"/>
      <c r="BR224" s="100"/>
      <c r="BS224" s="100">
        <f t="shared" si="68"/>
        <v>1</v>
      </c>
      <c r="BT224" s="100" t="str">
        <f t="shared" si="69"/>
        <v>Y</v>
      </c>
      <c r="BU224" s="50"/>
      <c r="BV224" s="101">
        <v>1</v>
      </c>
      <c r="BW224" s="101"/>
      <c r="BX224" s="101"/>
      <c r="BY224" s="101"/>
      <c r="BZ224" s="101"/>
      <c r="CA224" s="101"/>
      <c r="CB224" s="101"/>
      <c r="CC224" s="101"/>
      <c r="CD224" s="101">
        <f t="shared" si="70"/>
        <v>1</v>
      </c>
      <c r="CE224" s="101" t="str">
        <f t="shared" si="71"/>
        <v>Y</v>
      </c>
      <c r="CF224" s="54"/>
      <c r="CG224" s="102">
        <v>1</v>
      </c>
      <c r="CH224" s="102"/>
      <c r="CI224" s="102"/>
      <c r="CJ224" s="102"/>
      <c r="CK224" s="102"/>
      <c r="CL224" s="102"/>
      <c r="CM224" s="102"/>
      <c r="CN224" s="102"/>
      <c r="CO224" s="102"/>
      <c r="CP224" s="102"/>
      <c r="CQ224" s="102"/>
      <c r="CR224" s="102"/>
      <c r="CS224" s="102"/>
      <c r="CT224" s="102"/>
      <c r="CU224" s="102"/>
      <c r="CV224" s="102"/>
      <c r="CW224" s="102"/>
      <c r="CX224" s="102"/>
      <c r="CY224" s="102"/>
      <c r="CZ224" s="102">
        <f t="shared" si="72"/>
        <v>1</v>
      </c>
      <c r="DA224" s="102" t="str">
        <f t="shared" si="73"/>
        <v>Y</v>
      </c>
      <c r="DB224" s="58"/>
      <c r="DC224" s="101">
        <v>1</v>
      </c>
      <c r="DD224" s="101"/>
      <c r="DE224" s="101"/>
      <c r="DF224" s="101"/>
      <c r="DG224" s="101"/>
      <c r="DH224" s="101"/>
      <c r="DI224" s="101"/>
      <c r="DJ224" s="101"/>
      <c r="DK224" s="101"/>
      <c r="DL224" s="101"/>
      <c r="DM224" s="101"/>
      <c r="DN224" s="101"/>
      <c r="DO224" s="101"/>
      <c r="DP224" s="101"/>
      <c r="DQ224" s="101"/>
      <c r="DR224" s="101"/>
      <c r="DS224" s="101"/>
      <c r="DT224" s="101"/>
      <c r="DU224" s="101"/>
      <c r="DV224" s="101">
        <f t="shared" si="74"/>
        <v>1</v>
      </c>
      <c r="DW224" s="101" t="str">
        <f t="shared" si="63"/>
        <v>Y</v>
      </c>
      <c r="DX224" s="103"/>
      <c r="DY224" s="104">
        <v>1</v>
      </c>
      <c r="DZ224" s="104"/>
      <c r="EA224" s="104"/>
      <c r="EB224" s="104"/>
      <c r="EC224" s="104"/>
      <c r="ED224" s="104"/>
      <c r="EE224" s="104"/>
      <c r="EF224" s="104"/>
      <c r="EG224" s="104"/>
      <c r="EH224" s="104"/>
      <c r="EI224" s="104"/>
      <c r="EJ224" s="104"/>
      <c r="EK224" s="104">
        <f t="shared" si="75"/>
        <v>1</v>
      </c>
      <c r="EL224" s="104" t="str">
        <f t="shared" si="76"/>
        <v>Y</v>
      </c>
      <c r="EM224" s="62"/>
      <c r="EN224" s="6"/>
      <c r="EO224" s="6"/>
      <c r="EP224" s="6"/>
      <c r="EQ224" s="6"/>
      <c r="ER224" s="6"/>
    </row>
    <row r="225" spans="1:148" ht="13.5" thickBot="1" x14ac:dyDescent="0.25">
      <c r="A225" s="1200"/>
      <c r="B225" s="1160"/>
      <c r="C225" s="1193"/>
      <c r="D225" s="1196"/>
      <c r="E225" s="1086"/>
      <c r="F225" s="1079"/>
      <c r="G225" s="1077"/>
      <c r="H225" s="1077"/>
      <c r="I225" s="1077"/>
      <c r="J225" s="1080"/>
      <c r="K225" s="1077"/>
      <c r="L225" s="180"/>
      <c r="M225" s="186"/>
      <c r="N225" s="177"/>
      <c r="O225" s="198"/>
      <c r="P225" s="177"/>
      <c r="Q225" s="177"/>
      <c r="R225" s="177"/>
      <c r="S225" s="172"/>
      <c r="T225" s="173"/>
      <c r="U225" s="173"/>
      <c r="V225" s="174"/>
      <c r="W225" s="175"/>
      <c r="X225" s="1100"/>
      <c r="Y225" s="1081"/>
      <c r="Z225" s="1081"/>
      <c r="AA225" s="1081"/>
      <c r="AB225" s="1081"/>
      <c r="AC225" s="1081"/>
      <c r="AD225" s="1081"/>
      <c r="AE225" s="1081"/>
      <c r="AF225" s="1081"/>
      <c r="AG225" s="1081"/>
      <c r="AH225" s="1081"/>
      <c r="AI225" s="1081"/>
      <c r="AJ225" s="1081"/>
      <c r="AK225" s="1082"/>
      <c r="AL225" s="1082"/>
      <c r="AM225" s="1082"/>
      <c r="AN225" s="1082"/>
      <c r="AO225" s="1081"/>
      <c r="AP225" s="1081"/>
      <c r="AQ225" s="120">
        <v>1</v>
      </c>
      <c r="AR225" s="95"/>
      <c r="AS225" s="95"/>
      <c r="AT225" s="95"/>
      <c r="AU225" s="95"/>
      <c r="AV225" s="95"/>
      <c r="AW225" s="95"/>
      <c r="AX225" s="95"/>
      <c r="AY225" s="95"/>
      <c r="AZ225" s="95"/>
      <c r="BA225" s="95"/>
      <c r="BB225" s="95"/>
      <c r="BC225" s="95"/>
      <c r="BD225" s="95"/>
      <c r="BE225" s="95">
        <f t="shared" si="64"/>
        <v>1</v>
      </c>
      <c r="BF225" s="96" t="str">
        <f t="shared" si="65"/>
        <v>Y</v>
      </c>
      <c r="BG225" s="97"/>
      <c r="BH225" s="98">
        <v>1</v>
      </c>
      <c r="BI225" s="98"/>
      <c r="BJ225" s="98"/>
      <c r="BK225" s="98"/>
      <c r="BL225" s="111"/>
      <c r="BM225" s="98">
        <f t="shared" si="66"/>
        <v>1</v>
      </c>
      <c r="BN225" s="98" t="str">
        <f t="shared" si="67"/>
        <v>Y</v>
      </c>
      <c r="BO225" s="115"/>
      <c r="BP225" s="100">
        <v>1</v>
      </c>
      <c r="BQ225" s="100"/>
      <c r="BR225" s="100"/>
      <c r="BS225" s="100">
        <f t="shared" si="68"/>
        <v>1</v>
      </c>
      <c r="BT225" s="100" t="str">
        <f t="shared" si="69"/>
        <v>Y</v>
      </c>
      <c r="BU225" s="50"/>
      <c r="BV225" s="101">
        <v>1</v>
      </c>
      <c r="BW225" s="101"/>
      <c r="BX225" s="101"/>
      <c r="BY225" s="101"/>
      <c r="BZ225" s="101"/>
      <c r="CA225" s="101"/>
      <c r="CB225" s="101"/>
      <c r="CC225" s="101"/>
      <c r="CD225" s="101">
        <f t="shared" si="70"/>
        <v>1</v>
      </c>
      <c r="CE225" s="101" t="str">
        <f t="shared" si="71"/>
        <v>Y</v>
      </c>
      <c r="CF225" s="54"/>
      <c r="CG225" s="102">
        <v>1</v>
      </c>
      <c r="CH225" s="102"/>
      <c r="CI225" s="102"/>
      <c r="CJ225" s="102"/>
      <c r="CK225" s="102"/>
      <c r="CL225" s="102"/>
      <c r="CM225" s="102"/>
      <c r="CN225" s="102"/>
      <c r="CO225" s="102"/>
      <c r="CP225" s="102"/>
      <c r="CQ225" s="102"/>
      <c r="CR225" s="102"/>
      <c r="CS225" s="102"/>
      <c r="CT225" s="102"/>
      <c r="CU225" s="102"/>
      <c r="CV225" s="102"/>
      <c r="CW225" s="102"/>
      <c r="CX225" s="102"/>
      <c r="CY225" s="102"/>
      <c r="CZ225" s="102">
        <f t="shared" si="72"/>
        <v>1</v>
      </c>
      <c r="DA225" s="102" t="str">
        <f t="shared" si="73"/>
        <v>Y</v>
      </c>
      <c r="DB225" s="58"/>
      <c r="DC225" s="101">
        <v>1</v>
      </c>
      <c r="DD225" s="101"/>
      <c r="DE225" s="101"/>
      <c r="DF225" s="101"/>
      <c r="DG225" s="101"/>
      <c r="DH225" s="101"/>
      <c r="DI225" s="101"/>
      <c r="DJ225" s="101"/>
      <c r="DK225" s="101"/>
      <c r="DL225" s="101"/>
      <c r="DM225" s="101"/>
      <c r="DN225" s="101"/>
      <c r="DO225" s="101"/>
      <c r="DP225" s="101"/>
      <c r="DQ225" s="101"/>
      <c r="DR225" s="101"/>
      <c r="DS225" s="101"/>
      <c r="DT225" s="101"/>
      <c r="DU225" s="101"/>
      <c r="DV225" s="101">
        <f t="shared" si="74"/>
        <v>1</v>
      </c>
      <c r="DW225" s="101" t="str">
        <f t="shared" si="63"/>
        <v>Y</v>
      </c>
      <c r="DX225" s="103"/>
      <c r="DY225" s="104">
        <v>1</v>
      </c>
      <c r="DZ225" s="104"/>
      <c r="EA225" s="104"/>
      <c r="EB225" s="104"/>
      <c r="EC225" s="104"/>
      <c r="ED225" s="104"/>
      <c r="EE225" s="104"/>
      <c r="EF225" s="104"/>
      <c r="EG225" s="104"/>
      <c r="EH225" s="104"/>
      <c r="EI225" s="104"/>
      <c r="EJ225" s="104"/>
      <c r="EK225" s="104">
        <f t="shared" si="75"/>
        <v>1</v>
      </c>
      <c r="EL225" s="104" t="str">
        <f t="shared" si="76"/>
        <v>Y</v>
      </c>
      <c r="EM225" s="62"/>
      <c r="EN225" s="6"/>
      <c r="EO225" s="6"/>
      <c r="EP225" s="6"/>
      <c r="EQ225" s="6"/>
      <c r="ER225" s="6"/>
    </row>
    <row r="226" spans="1:148" x14ac:dyDescent="0.2">
      <c r="A226" s="143"/>
      <c r="B226" s="1138" t="s">
        <v>174</v>
      </c>
      <c r="C226" s="1140" t="s">
        <v>173</v>
      </c>
      <c r="D226" s="1133"/>
      <c r="E226" s="1083"/>
      <c r="F226" s="1085"/>
      <c r="G226" s="1076" t="s">
        <v>347</v>
      </c>
      <c r="H226" s="1076" t="s">
        <v>326</v>
      </c>
      <c r="I226" s="1076"/>
      <c r="J226" s="1079">
        <f>Y226+AA226+AC226+AE226+AG226+AI226+AK226+AM226+AO226</f>
        <v>1</v>
      </c>
      <c r="K226" s="1076"/>
      <c r="L226" s="176"/>
      <c r="M226" s="186"/>
      <c r="N226" s="177"/>
      <c r="O226" s="177"/>
      <c r="P226" s="177"/>
      <c r="Q226" s="177"/>
      <c r="R226" s="177"/>
      <c r="S226" s="177"/>
      <c r="T226" s="177"/>
      <c r="U226" s="172"/>
      <c r="V226" s="174"/>
      <c r="W226" s="175"/>
      <c r="X226" s="1098" t="s">
        <v>378</v>
      </c>
      <c r="Y226" s="1081">
        <f>IF(HC="Y",IF(BF226="Y",Z226,0),0)</f>
        <v>0</v>
      </c>
      <c r="Z226" s="1081">
        <v>1</v>
      </c>
      <c r="AA226" s="1081">
        <f>IF(OFF="Y",IF(BN226="Y",AB226,0),0)</f>
        <v>1</v>
      </c>
      <c r="AB226" s="1081">
        <v>1</v>
      </c>
      <c r="AC226" s="1081">
        <f>IF(COURTS="Y",IF(BT226="Y",AD226,0),0)</f>
        <v>0</v>
      </c>
      <c r="AD226" s="1081">
        <v>1</v>
      </c>
      <c r="AE226" s="1081">
        <f>IF(PRISONS="Y",IF(CE226="Y",AF226,0),0)</f>
        <v>0</v>
      </c>
      <c r="AF226" s="1081">
        <v>1</v>
      </c>
      <c r="AG226" s="1081">
        <f>IF(RET="Y",IF(DA226="Y",AH226,0),0)</f>
        <v>0</v>
      </c>
      <c r="AH226" s="1081">
        <v>1</v>
      </c>
      <c r="AI226" s="1081">
        <f>IF(SCHOOLS="y",IF(DW226="y",AJ226,0),0)</f>
        <v>0</v>
      </c>
      <c r="AJ226" s="1081">
        <v>1</v>
      </c>
      <c r="AK226" s="1082">
        <f>IF(FE="y",IF(DW226="y",AL226,0),0)</f>
        <v>0</v>
      </c>
      <c r="AL226" s="1082">
        <v>1</v>
      </c>
      <c r="AM226" s="1082">
        <f>IF(HE="Y",IF(DW226="Y",AN226,0),0)</f>
        <v>0</v>
      </c>
      <c r="AN226" s="1082">
        <v>1</v>
      </c>
      <c r="AO226" s="1081">
        <f>IF(INDUSTRIAL="Y",IF(EL226="Y",AP226,0),0)</f>
        <v>0</v>
      </c>
      <c r="AP226" s="1081">
        <v>1</v>
      </c>
      <c r="AQ226" s="121">
        <v>1</v>
      </c>
      <c r="AR226" s="122"/>
      <c r="AS226" s="95"/>
      <c r="AT226" s="95"/>
      <c r="AU226" s="95"/>
      <c r="AV226" s="95"/>
      <c r="AW226" s="95"/>
      <c r="AX226" s="95"/>
      <c r="AY226" s="95"/>
      <c r="AZ226" s="95"/>
      <c r="BA226" s="95"/>
      <c r="BB226" s="95"/>
      <c r="BC226" s="95"/>
      <c r="BD226" s="95"/>
      <c r="BE226" s="95">
        <f t="shared" si="64"/>
        <v>1</v>
      </c>
      <c r="BF226" s="96" t="str">
        <f t="shared" si="65"/>
        <v>Y</v>
      </c>
      <c r="BG226" s="97"/>
      <c r="BH226" s="123"/>
      <c r="BI226" s="98">
        <f>IF(OFFnewrefurb="y",1,0)</f>
        <v>1</v>
      </c>
      <c r="BJ226" s="98"/>
      <c r="BK226" s="98"/>
      <c r="BL226" s="111"/>
      <c r="BM226" s="98">
        <f t="shared" si="66"/>
        <v>1</v>
      </c>
      <c r="BN226" s="98" t="str">
        <f t="shared" si="67"/>
        <v>Y</v>
      </c>
      <c r="BO226" s="115"/>
      <c r="BP226" s="124">
        <v>1</v>
      </c>
      <c r="BQ226" s="100"/>
      <c r="BR226" s="100"/>
      <c r="BS226" s="100">
        <f t="shared" si="68"/>
        <v>1</v>
      </c>
      <c r="BT226" s="100" t="str">
        <f t="shared" si="69"/>
        <v>Y</v>
      </c>
      <c r="BU226" s="50"/>
      <c r="BV226" s="125">
        <v>1</v>
      </c>
      <c r="BW226" s="101"/>
      <c r="BX226" s="101"/>
      <c r="BY226" s="101"/>
      <c r="BZ226" s="101"/>
      <c r="CA226" s="101"/>
      <c r="CB226" s="101"/>
      <c r="CC226" s="101"/>
      <c r="CD226" s="101">
        <f t="shared" si="70"/>
        <v>1</v>
      </c>
      <c r="CE226" s="101" t="str">
        <f t="shared" si="71"/>
        <v>Y</v>
      </c>
      <c r="CF226" s="54"/>
      <c r="CG226" s="126"/>
      <c r="CH226" s="102">
        <f>IF(RETnewrefurb="y",1,0)</f>
        <v>0</v>
      </c>
      <c r="CI226" s="102"/>
      <c r="CJ226" s="102"/>
      <c r="CK226" s="102"/>
      <c r="CL226" s="102"/>
      <c r="CM226" s="102"/>
      <c r="CN226" s="102"/>
      <c r="CO226" s="102"/>
      <c r="CP226" s="102"/>
      <c r="CQ226" s="102"/>
      <c r="CR226" s="102"/>
      <c r="CS226" s="102"/>
      <c r="CT226" s="102"/>
      <c r="CU226" s="102"/>
      <c r="CV226" s="102"/>
      <c r="CW226" s="102"/>
      <c r="CX226" s="102"/>
      <c r="CY226" s="102"/>
      <c r="CZ226" s="102">
        <f t="shared" si="72"/>
        <v>0</v>
      </c>
      <c r="DA226" s="102" t="str">
        <f t="shared" si="73"/>
        <v>N</v>
      </c>
      <c r="DB226" s="58"/>
      <c r="DC226" s="101">
        <v>1</v>
      </c>
      <c r="DD226" s="101"/>
      <c r="DE226" s="101"/>
      <c r="DF226" s="101"/>
      <c r="DG226" s="101"/>
      <c r="DH226" s="101"/>
      <c r="DI226" s="101"/>
      <c r="DJ226" s="101"/>
      <c r="DK226" s="101"/>
      <c r="DL226" s="101"/>
      <c r="DM226" s="101"/>
      <c r="DN226" s="101"/>
      <c r="DO226" s="101"/>
      <c r="DP226" s="101"/>
      <c r="DQ226" s="101"/>
      <c r="DR226" s="101"/>
      <c r="DS226" s="101"/>
      <c r="DT226" s="101"/>
      <c r="DU226" s="101"/>
      <c r="DV226" s="101">
        <f t="shared" si="74"/>
        <v>1</v>
      </c>
      <c r="DW226" s="101" t="str">
        <f t="shared" si="63"/>
        <v>Y</v>
      </c>
      <c r="DX226" s="103"/>
      <c r="DY226" s="127"/>
      <c r="DZ226" s="104">
        <f>IF(INDnewrefurb="y",1,0)</f>
        <v>0</v>
      </c>
      <c r="EA226" s="104"/>
      <c r="EB226" s="104"/>
      <c r="EC226" s="104"/>
      <c r="ED226" s="104"/>
      <c r="EE226" s="104"/>
      <c r="EF226" s="104"/>
      <c r="EG226" s="104"/>
      <c r="EH226" s="104"/>
      <c r="EI226" s="104"/>
      <c r="EJ226" s="104"/>
      <c r="EK226" s="104">
        <f t="shared" si="75"/>
        <v>0</v>
      </c>
      <c r="EL226" s="104" t="str">
        <f t="shared" si="76"/>
        <v>N</v>
      </c>
      <c r="EM226" s="62"/>
      <c r="EN226" s="6"/>
      <c r="EO226" s="6"/>
      <c r="EP226" s="6"/>
      <c r="EQ226" s="6"/>
      <c r="ER226" s="6"/>
    </row>
    <row r="227" spans="1:148" x14ac:dyDescent="0.2">
      <c r="A227" s="143"/>
      <c r="B227" s="1139"/>
      <c r="C227" s="1141"/>
      <c r="D227" s="1134"/>
      <c r="E227" s="1083"/>
      <c r="F227" s="1086"/>
      <c r="G227" s="1077"/>
      <c r="H227" s="1077"/>
      <c r="I227" s="1077"/>
      <c r="J227" s="1079"/>
      <c r="K227" s="1077"/>
      <c r="L227" s="181"/>
      <c r="M227" s="186"/>
      <c r="N227" s="171"/>
      <c r="O227" s="171"/>
      <c r="P227" s="171"/>
      <c r="Q227" s="171"/>
      <c r="R227" s="171"/>
      <c r="S227" s="171"/>
      <c r="T227" s="171"/>
      <c r="U227" s="172"/>
      <c r="V227" s="174"/>
      <c r="W227" s="175"/>
      <c r="X227" s="1099"/>
      <c r="Y227" s="1081"/>
      <c r="Z227" s="1081"/>
      <c r="AA227" s="1081"/>
      <c r="AB227" s="1081"/>
      <c r="AC227" s="1081"/>
      <c r="AD227" s="1081"/>
      <c r="AE227" s="1081"/>
      <c r="AF227" s="1081"/>
      <c r="AG227" s="1081"/>
      <c r="AH227" s="1081"/>
      <c r="AI227" s="1081"/>
      <c r="AJ227" s="1081"/>
      <c r="AK227" s="1082"/>
      <c r="AL227" s="1082"/>
      <c r="AM227" s="1082"/>
      <c r="AN227" s="1082"/>
      <c r="AO227" s="1081"/>
      <c r="AP227" s="1081"/>
      <c r="AQ227" s="121">
        <v>1</v>
      </c>
      <c r="AR227" s="122"/>
      <c r="AS227" s="95"/>
      <c r="AT227" s="95"/>
      <c r="AU227" s="95"/>
      <c r="AV227" s="95"/>
      <c r="AW227" s="95"/>
      <c r="AX227" s="95"/>
      <c r="AY227" s="95"/>
      <c r="AZ227" s="95"/>
      <c r="BA227" s="95"/>
      <c r="BB227" s="95"/>
      <c r="BC227" s="95"/>
      <c r="BD227" s="95"/>
      <c r="BE227" s="95">
        <f t="shared" si="64"/>
        <v>1</v>
      </c>
      <c r="BF227" s="96" t="str">
        <f t="shared" si="65"/>
        <v>Y</v>
      </c>
      <c r="BG227" s="97"/>
      <c r="BH227" s="123"/>
      <c r="BI227" s="98">
        <f>IF(OFFnewrefurb="y",1,0)</f>
        <v>1</v>
      </c>
      <c r="BJ227" s="98"/>
      <c r="BK227" s="98"/>
      <c r="BL227" s="111"/>
      <c r="BM227" s="98">
        <f t="shared" si="66"/>
        <v>1</v>
      </c>
      <c r="BN227" s="98" t="str">
        <f t="shared" si="67"/>
        <v>Y</v>
      </c>
      <c r="BO227" s="115"/>
      <c r="BP227" s="124">
        <v>1</v>
      </c>
      <c r="BQ227" s="100"/>
      <c r="BR227" s="100"/>
      <c r="BS227" s="100">
        <f t="shared" si="68"/>
        <v>1</v>
      </c>
      <c r="BT227" s="100" t="str">
        <f t="shared" si="69"/>
        <v>Y</v>
      </c>
      <c r="BU227" s="50"/>
      <c r="BV227" s="125">
        <v>1</v>
      </c>
      <c r="BW227" s="101"/>
      <c r="BX227" s="101"/>
      <c r="BY227" s="101"/>
      <c r="BZ227" s="101"/>
      <c r="CA227" s="101"/>
      <c r="CB227" s="101"/>
      <c r="CC227" s="101"/>
      <c r="CD227" s="101">
        <f t="shared" si="70"/>
        <v>1</v>
      </c>
      <c r="CE227" s="101" t="str">
        <f t="shared" si="71"/>
        <v>Y</v>
      </c>
      <c r="CF227" s="54"/>
      <c r="CG227" s="126"/>
      <c r="CH227" s="102">
        <f>IF(RETnewrefurb="y",1,0)</f>
        <v>0</v>
      </c>
      <c r="CI227" s="102"/>
      <c r="CJ227" s="102"/>
      <c r="CK227" s="102"/>
      <c r="CL227" s="102"/>
      <c r="CM227" s="102"/>
      <c r="CN227" s="102"/>
      <c r="CO227" s="102"/>
      <c r="CP227" s="102"/>
      <c r="CQ227" s="102"/>
      <c r="CR227" s="102"/>
      <c r="CS227" s="102"/>
      <c r="CT227" s="102"/>
      <c r="CU227" s="102"/>
      <c r="CV227" s="102"/>
      <c r="CW227" s="102"/>
      <c r="CX227" s="102"/>
      <c r="CY227" s="102"/>
      <c r="CZ227" s="102">
        <f t="shared" si="72"/>
        <v>0</v>
      </c>
      <c r="DA227" s="102" t="str">
        <f t="shared" si="73"/>
        <v>N</v>
      </c>
      <c r="DB227" s="58"/>
      <c r="DC227" s="101">
        <v>1</v>
      </c>
      <c r="DD227" s="101"/>
      <c r="DE227" s="101"/>
      <c r="DF227" s="101"/>
      <c r="DG227" s="101"/>
      <c r="DH227" s="101"/>
      <c r="DI227" s="101"/>
      <c r="DJ227" s="101"/>
      <c r="DK227" s="101"/>
      <c r="DL227" s="101"/>
      <c r="DM227" s="101"/>
      <c r="DN227" s="101"/>
      <c r="DO227" s="101"/>
      <c r="DP227" s="101"/>
      <c r="DQ227" s="101"/>
      <c r="DR227" s="101"/>
      <c r="DS227" s="101"/>
      <c r="DT227" s="101"/>
      <c r="DU227" s="101"/>
      <c r="DV227" s="101">
        <f t="shared" si="74"/>
        <v>1</v>
      </c>
      <c r="DW227" s="101" t="str">
        <f t="shared" si="63"/>
        <v>Y</v>
      </c>
      <c r="DX227" s="103"/>
      <c r="DY227" s="127"/>
      <c r="DZ227" s="104">
        <f>IF(INDnewrefurb="y",1,0)</f>
        <v>0</v>
      </c>
      <c r="EA227" s="104"/>
      <c r="EB227" s="104"/>
      <c r="EC227" s="104"/>
      <c r="ED227" s="104"/>
      <c r="EE227" s="104"/>
      <c r="EF227" s="104"/>
      <c r="EG227" s="104"/>
      <c r="EH227" s="104"/>
      <c r="EI227" s="104"/>
      <c r="EJ227" s="104"/>
      <c r="EK227" s="104">
        <f t="shared" si="75"/>
        <v>0</v>
      </c>
      <c r="EL227" s="104" t="str">
        <f t="shared" si="76"/>
        <v>N</v>
      </c>
      <c r="EM227" s="62"/>
      <c r="EN227" s="6"/>
      <c r="EO227" s="6"/>
      <c r="EP227" s="6"/>
      <c r="EQ227" s="6"/>
      <c r="ER227" s="6"/>
    </row>
    <row r="228" spans="1:148" ht="13.5" thickBot="1" x14ac:dyDescent="0.25">
      <c r="A228" s="145"/>
      <c r="B228" s="1159"/>
      <c r="C228" s="1162"/>
      <c r="D228" s="1135"/>
      <c r="E228" s="1084"/>
      <c r="F228" s="1087"/>
      <c r="G228" s="1088"/>
      <c r="H228" s="1088"/>
      <c r="I228" s="1088"/>
      <c r="J228" s="1137"/>
      <c r="K228" s="1088"/>
      <c r="L228" s="199"/>
      <c r="M228" s="200"/>
      <c r="N228" s="201"/>
      <c r="O228" s="201"/>
      <c r="P228" s="201"/>
      <c r="Q228" s="201"/>
      <c r="R228" s="201"/>
      <c r="S228" s="201"/>
      <c r="T228" s="201"/>
      <c r="U228" s="202"/>
      <c r="V228" s="203"/>
      <c r="W228" s="204"/>
      <c r="X228" s="1100"/>
      <c r="Y228" s="1081"/>
      <c r="Z228" s="1081"/>
      <c r="AA228" s="1081"/>
      <c r="AB228" s="1081"/>
      <c r="AC228" s="1081"/>
      <c r="AD228" s="1081"/>
      <c r="AE228" s="1081"/>
      <c r="AF228" s="1081"/>
      <c r="AG228" s="1081"/>
      <c r="AH228" s="1081"/>
      <c r="AI228" s="1081"/>
      <c r="AJ228" s="1081"/>
      <c r="AK228" s="1082"/>
      <c r="AL228" s="1082"/>
      <c r="AM228" s="1082"/>
      <c r="AN228" s="1082"/>
      <c r="AO228" s="1081"/>
      <c r="AP228" s="1081"/>
      <c r="AQ228" s="121">
        <v>1</v>
      </c>
      <c r="AR228" s="122"/>
      <c r="AS228" s="95"/>
      <c r="AT228" s="95"/>
      <c r="AU228" s="95"/>
      <c r="AV228" s="95"/>
      <c r="AW228" s="95"/>
      <c r="AX228" s="95"/>
      <c r="AY228" s="95"/>
      <c r="AZ228" s="95"/>
      <c r="BA228" s="95"/>
      <c r="BB228" s="95"/>
      <c r="BC228" s="95"/>
      <c r="BD228" s="95"/>
      <c r="BE228" s="95">
        <f t="shared" si="64"/>
        <v>1</v>
      </c>
      <c r="BF228" s="96" t="str">
        <f t="shared" si="65"/>
        <v>Y</v>
      </c>
      <c r="BG228" s="97"/>
      <c r="BH228" s="123"/>
      <c r="BI228" s="98">
        <f>IF(OFFnewrefurb="y",1,0)</f>
        <v>1</v>
      </c>
      <c r="BJ228" s="98"/>
      <c r="BK228" s="98"/>
      <c r="BL228" s="111"/>
      <c r="BM228" s="98">
        <f t="shared" si="66"/>
        <v>1</v>
      </c>
      <c r="BN228" s="98" t="str">
        <f t="shared" si="67"/>
        <v>Y</v>
      </c>
      <c r="BO228" s="115"/>
      <c r="BP228" s="124">
        <v>1</v>
      </c>
      <c r="BQ228" s="100"/>
      <c r="BR228" s="100"/>
      <c r="BS228" s="100">
        <f t="shared" si="68"/>
        <v>1</v>
      </c>
      <c r="BT228" s="100" t="str">
        <f t="shared" si="69"/>
        <v>Y</v>
      </c>
      <c r="BU228" s="50"/>
      <c r="BV228" s="125">
        <v>1</v>
      </c>
      <c r="BW228" s="101"/>
      <c r="BX228" s="101"/>
      <c r="BY228" s="101"/>
      <c r="BZ228" s="101"/>
      <c r="CA228" s="101"/>
      <c r="CB228" s="101"/>
      <c r="CC228" s="101"/>
      <c r="CD228" s="101">
        <f t="shared" si="70"/>
        <v>1</v>
      </c>
      <c r="CE228" s="101" t="str">
        <f t="shared" si="71"/>
        <v>Y</v>
      </c>
      <c r="CF228" s="54"/>
      <c r="CG228" s="126"/>
      <c r="CH228" s="102">
        <f>IF(RETnewrefurb="y",1,0)</f>
        <v>0</v>
      </c>
      <c r="CI228" s="102"/>
      <c r="CJ228" s="102"/>
      <c r="CK228" s="102"/>
      <c r="CL228" s="102"/>
      <c r="CM228" s="102"/>
      <c r="CN228" s="102"/>
      <c r="CO228" s="102"/>
      <c r="CP228" s="102"/>
      <c r="CQ228" s="102"/>
      <c r="CR228" s="102"/>
      <c r="CS228" s="102"/>
      <c r="CT228" s="102"/>
      <c r="CU228" s="102"/>
      <c r="CV228" s="102"/>
      <c r="CW228" s="102"/>
      <c r="CX228" s="102"/>
      <c r="CY228" s="102"/>
      <c r="CZ228" s="102">
        <f t="shared" si="72"/>
        <v>0</v>
      </c>
      <c r="DA228" s="102" t="str">
        <f t="shared" si="73"/>
        <v>N</v>
      </c>
      <c r="DB228" s="58"/>
      <c r="DC228" s="101">
        <v>1</v>
      </c>
      <c r="DD228" s="101"/>
      <c r="DE228" s="101"/>
      <c r="DF228" s="101"/>
      <c r="DG228" s="101"/>
      <c r="DH228" s="101"/>
      <c r="DI228" s="101"/>
      <c r="DJ228" s="101"/>
      <c r="DK228" s="101"/>
      <c r="DL228" s="101"/>
      <c r="DM228" s="101"/>
      <c r="DN228" s="101"/>
      <c r="DO228" s="101"/>
      <c r="DP228" s="101"/>
      <c r="DQ228" s="101"/>
      <c r="DR228" s="101"/>
      <c r="DS228" s="101"/>
      <c r="DT228" s="101"/>
      <c r="DU228" s="101"/>
      <c r="DV228" s="101">
        <f t="shared" si="74"/>
        <v>1</v>
      </c>
      <c r="DW228" s="101" t="str">
        <f t="shared" si="63"/>
        <v>Y</v>
      </c>
      <c r="DX228" s="103"/>
      <c r="DY228" s="127"/>
      <c r="DZ228" s="104">
        <f>IF(INDnewrefurb="y",1,0)</f>
        <v>0</v>
      </c>
      <c r="EA228" s="104"/>
      <c r="EB228" s="104"/>
      <c r="EC228" s="104"/>
      <c r="ED228" s="104"/>
      <c r="EE228" s="104"/>
      <c r="EF228" s="104"/>
      <c r="EG228" s="104"/>
      <c r="EH228" s="104"/>
      <c r="EI228" s="104"/>
      <c r="EJ228" s="104"/>
      <c r="EK228" s="104">
        <f t="shared" si="75"/>
        <v>0</v>
      </c>
      <c r="EL228" s="104" t="str">
        <f t="shared" si="76"/>
        <v>N</v>
      </c>
      <c r="EM228" s="62"/>
      <c r="EN228" s="6"/>
      <c r="EO228" s="6"/>
      <c r="EP228" s="6"/>
      <c r="EQ228" s="6"/>
      <c r="ER228" s="6"/>
    </row>
    <row r="229" spans="1:148" s="6" customFormat="1" ht="13.5" hidden="1" thickBot="1" x14ac:dyDescent="0.25">
      <c r="A229" s="146"/>
      <c r="B229" s="147"/>
      <c r="C229" s="148"/>
      <c r="D229" s="148"/>
      <c r="E229" s="149"/>
      <c r="F229" s="149"/>
      <c r="G229" s="16"/>
      <c r="H229" s="16"/>
      <c r="I229" s="16"/>
      <c r="J229" s="149"/>
      <c r="K229" s="16"/>
      <c r="L229" s="205"/>
      <c r="M229" s="206"/>
      <c r="N229" s="206"/>
      <c r="O229" s="206"/>
      <c r="P229" s="206"/>
      <c r="Q229" s="206"/>
      <c r="R229" s="206"/>
      <c r="S229" s="206"/>
      <c r="T229" s="206"/>
      <c r="U229" s="206"/>
      <c r="V229" s="206"/>
      <c r="W229" s="206"/>
      <c r="BM229" s="128"/>
      <c r="BN229" s="128"/>
    </row>
    <row r="230" spans="1:148" s="6" customFormat="1" ht="13.5" hidden="1" thickBot="1" x14ac:dyDescent="0.25">
      <c r="A230" s="146"/>
      <c r="B230" s="147"/>
      <c r="C230" s="150"/>
      <c r="D230" s="150"/>
      <c r="E230" s="151"/>
      <c r="F230" s="151"/>
      <c r="G230" s="8"/>
      <c r="H230" s="8"/>
      <c r="I230" s="8"/>
      <c r="J230" s="151"/>
      <c r="K230" s="8"/>
      <c r="L230" s="207"/>
      <c r="M230" s="208"/>
      <c r="N230" s="209"/>
      <c r="O230" s="208"/>
      <c r="P230" s="206"/>
      <c r="Q230" s="206"/>
      <c r="R230" s="206"/>
      <c r="S230" s="206"/>
      <c r="T230" s="206"/>
      <c r="U230" s="206"/>
      <c r="V230" s="206"/>
      <c r="W230" s="206"/>
    </row>
    <row r="231" spans="1:148" s="6" customFormat="1" ht="13.5" hidden="1" thickBot="1" x14ac:dyDescent="0.25">
      <c r="A231" s="146"/>
      <c r="B231" s="147"/>
      <c r="C231" s="150"/>
      <c r="D231" s="150"/>
      <c r="E231" s="151"/>
      <c r="F231" s="151"/>
      <c r="G231" s="8"/>
      <c r="H231" s="8"/>
      <c r="I231" s="8"/>
      <c r="J231" s="151"/>
      <c r="K231" s="8"/>
      <c r="L231" s="149"/>
      <c r="M231" s="208"/>
      <c r="N231" s="209"/>
      <c r="O231" s="208"/>
      <c r="P231" s="206"/>
      <c r="Q231" s="206"/>
      <c r="R231" s="206"/>
      <c r="S231" s="206"/>
      <c r="T231" s="206"/>
      <c r="U231" s="206"/>
      <c r="V231" s="206"/>
      <c r="W231" s="206"/>
    </row>
    <row r="232" spans="1:148" s="6" customFormat="1" ht="13.5" hidden="1" thickBot="1" x14ac:dyDescent="0.25">
      <c r="A232" s="146"/>
      <c r="B232" s="147"/>
      <c r="C232" s="150"/>
      <c r="D232" s="150"/>
      <c r="E232" s="152" t="s">
        <v>172</v>
      </c>
      <c r="F232" s="153"/>
      <c r="G232" s="8"/>
      <c r="H232" s="8"/>
      <c r="I232" s="8"/>
      <c r="J232" s="151"/>
      <c r="K232" s="8"/>
      <c r="L232" s="210"/>
      <c r="M232" s="208"/>
      <c r="N232" s="209"/>
      <c r="O232" s="208"/>
      <c r="P232" s="206"/>
      <c r="Q232" s="206"/>
      <c r="R232" s="206"/>
      <c r="S232" s="206"/>
      <c r="T232" s="206"/>
      <c r="U232" s="206"/>
      <c r="V232" s="206"/>
      <c r="W232" s="206"/>
    </row>
    <row r="233" spans="1:148" s="6" customFormat="1" ht="13.5" hidden="1" thickBot="1" x14ac:dyDescent="0.25">
      <c r="A233" s="146"/>
      <c r="B233" s="147"/>
      <c r="C233" s="154"/>
      <c r="D233" s="150"/>
      <c r="E233" s="155" t="s">
        <v>171</v>
      </c>
      <c r="F233" s="156" t="s">
        <v>170</v>
      </c>
      <c r="G233" s="16"/>
      <c r="H233" s="16"/>
      <c r="I233" s="16"/>
      <c r="J233" s="149"/>
      <c r="K233" s="16"/>
      <c r="L233" s="208"/>
      <c r="M233" s="211" t="s">
        <v>169</v>
      </c>
      <c r="N233" s="208"/>
      <c r="O233" s="205"/>
      <c r="P233" s="206"/>
      <c r="Q233" s="206"/>
      <c r="R233" s="206"/>
      <c r="S233" s="206"/>
      <c r="T233" s="206"/>
      <c r="U233" s="206"/>
      <c r="V233" s="206"/>
      <c r="W233" s="206"/>
    </row>
    <row r="234" spans="1:148" s="6" customFormat="1" ht="13.5" hidden="1" thickBot="1" x14ac:dyDescent="0.25">
      <c r="A234" s="146"/>
      <c r="B234" s="147"/>
      <c r="C234" s="154" t="s">
        <v>161</v>
      </c>
      <c r="D234" s="148"/>
      <c r="E234" s="157">
        <v>0.12</v>
      </c>
      <c r="F234" s="157">
        <v>0.13</v>
      </c>
      <c r="G234" s="16"/>
      <c r="H234" s="16"/>
      <c r="I234" s="16"/>
      <c r="J234" s="149"/>
      <c r="K234" s="16"/>
      <c r="L234" s="212"/>
      <c r="M234" s="147">
        <v>0</v>
      </c>
      <c r="N234" s="147"/>
      <c r="O234" s="147"/>
      <c r="P234" s="147"/>
      <c r="Q234" s="147"/>
      <c r="R234" s="147"/>
      <c r="S234" s="147"/>
      <c r="T234" s="147"/>
      <c r="U234" s="147"/>
      <c r="V234" s="147"/>
      <c r="W234" s="147"/>
    </row>
    <row r="235" spans="1:148" s="6" customFormat="1" ht="13.5" hidden="1" thickBot="1" x14ac:dyDescent="0.25">
      <c r="A235" s="146"/>
      <c r="B235" s="147"/>
      <c r="C235" s="154" t="s">
        <v>160</v>
      </c>
      <c r="D235" s="148"/>
      <c r="E235" s="157">
        <v>0.15</v>
      </c>
      <c r="F235" s="158">
        <v>0.17</v>
      </c>
      <c r="G235" s="16"/>
      <c r="H235" s="16"/>
      <c r="I235" s="16"/>
      <c r="J235" s="149"/>
      <c r="K235" s="16"/>
      <c r="L235" s="212"/>
      <c r="M235" s="147"/>
      <c r="N235" s="147"/>
      <c r="O235" s="147"/>
      <c r="P235" s="147"/>
      <c r="Q235" s="147"/>
      <c r="R235" s="147"/>
      <c r="S235" s="147"/>
      <c r="T235" s="147"/>
      <c r="U235" s="147"/>
      <c r="V235" s="147"/>
      <c r="W235" s="147"/>
    </row>
    <row r="236" spans="1:148" s="6" customFormat="1" ht="13.5" hidden="1" thickBot="1" x14ac:dyDescent="0.25">
      <c r="A236" s="146"/>
      <c r="B236" s="147"/>
      <c r="C236" s="154" t="s">
        <v>159</v>
      </c>
      <c r="D236" s="148"/>
      <c r="E236" s="157">
        <v>0.19</v>
      </c>
      <c r="F236" s="158">
        <v>0.21</v>
      </c>
      <c r="G236" s="16"/>
      <c r="H236" s="16"/>
      <c r="I236" s="16"/>
      <c r="J236" s="149"/>
      <c r="K236" s="16"/>
      <c r="L236" s="212"/>
      <c r="M236" s="147"/>
      <c r="N236" s="147"/>
      <c r="O236" s="147"/>
      <c r="P236" s="147"/>
      <c r="Q236" s="147"/>
      <c r="R236" s="147"/>
      <c r="S236" s="147"/>
      <c r="T236" s="147"/>
      <c r="U236" s="147"/>
      <c r="V236" s="147"/>
      <c r="W236" s="147"/>
    </row>
    <row r="237" spans="1:148" s="6" customFormat="1" ht="13.5" hidden="1" thickBot="1" x14ac:dyDescent="0.25">
      <c r="A237" s="146"/>
      <c r="B237" s="147"/>
      <c r="C237" s="154" t="s">
        <v>158</v>
      </c>
      <c r="D237" s="148"/>
      <c r="E237" s="157">
        <v>0.08</v>
      </c>
      <c r="F237" s="158">
        <v>0.09</v>
      </c>
      <c r="G237" s="16"/>
      <c r="H237" s="16"/>
      <c r="I237" s="16"/>
      <c r="J237" s="149"/>
      <c r="K237" s="16"/>
      <c r="L237" s="212"/>
      <c r="M237" s="147"/>
      <c r="N237" s="147"/>
      <c r="O237" s="147"/>
      <c r="P237" s="147"/>
      <c r="Q237" s="147"/>
      <c r="R237" s="147"/>
      <c r="S237" s="147"/>
      <c r="T237" s="147"/>
      <c r="U237" s="147"/>
      <c r="V237" s="147"/>
      <c r="W237" s="147"/>
    </row>
    <row r="238" spans="1:148" s="6" customFormat="1" ht="13.5" hidden="1" thickBot="1" x14ac:dyDescent="0.25">
      <c r="A238" s="146"/>
      <c r="B238" s="147"/>
      <c r="C238" s="154" t="s">
        <v>157</v>
      </c>
      <c r="D238" s="148"/>
      <c r="E238" s="157">
        <v>0.06</v>
      </c>
      <c r="F238" s="158">
        <v>7.0000000000000007E-2</v>
      </c>
      <c r="G238" s="16"/>
      <c r="H238" s="16"/>
      <c r="I238" s="16"/>
      <c r="J238" s="149"/>
      <c r="K238" s="16"/>
      <c r="L238" s="212"/>
      <c r="M238" s="147"/>
      <c r="N238" s="147"/>
      <c r="O238" s="147"/>
      <c r="P238" s="147"/>
      <c r="Q238" s="147"/>
      <c r="R238" s="147"/>
      <c r="S238" s="147"/>
      <c r="T238" s="147"/>
      <c r="U238" s="147"/>
      <c r="V238" s="147"/>
      <c r="W238" s="147"/>
    </row>
    <row r="239" spans="1:148" s="6" customFormat="1" ht="13.5" hidden="1" thickBot="1" x14ac:dyDescent="0.25">
      <c r="A239" s="146"/>
      <c r="B239" s="147"/>
      <c r="C239" s="154" t="s">
        <v>156</v>
      </c>
      <c r="D239" s="148"/>
      <c r="E239" s="157">
        <v>0.125</v>
      </c>
      <c r="F239" s="158">
        <v>0.14000000000000001</v>
      </c>
      <c r="G239" s="16"/>
      <c r="H239" s="16"/>
      <c r="I239" s="16"/>
      <c r="J239" s="149"/>
      <c r="K239" s="16"/>
      <c r="L239" s="212"/>
      <c r="M239" s="147"/>
      <c r="N239" s="147"/>
      <c r="O239" s="147"/>
      <c r="P239" s="147"/>
      <c r="Q239" s="147"/>
      <c r="R239" s="147"/>
      <c r="S239" s="147"/>
      <c r="T239" s="147"/>
      <c r="U239" s="147"/>
      <c r="V239" s="147"/>
      <c r="W239" s="147"/>
    </row>
    <row r="240" spans="1:148" s="6" customFormat="1" ht="13.5" hidden="1" thickBot="1" x14ac:dyDescent="0.25">
      <c r="A240" s="146"/>
      <c r="B240" s="147"/>
      <c r="C240" s="154" t="s">
        <v>155</v>
      </c>
      <c r="D240" s="148"/>
      <c r="E240" s="157">
        <v>7.4999999999999997E-2</v>
      </c>
      <c r="F240" s="158">
        <v>0.08</v>
      </c>
      <c r="G240" s="16"/>
      <c r="H240" s="16"/>
      <c r="I240" s="16"/>
      <c r="J240" s="149"/>
      <c r="K240" s="16"/>
      <c r="L240" s="212"/>
      <c r="M240" s="147"/>
      <c r="N240" s="147"/>
      <c r="O240" s="147"/>
      <c r="P240" s="147"/>
      <c r="Q240" s="147"/>
      <c r="R240" s="147"/>
      <c r="S240" s="147"/>
      <c r="T240" s="147"/>
      <c r="U240" s="147"/>
      <c r="V240" s="147"/>
      <c r="W240" s="147"/>
    </row>
    <row r="241" spans="1:23" s="6" customFormat="1" ht="13.5" hidden="1" thickBot="1" x14ac:dyDescent="0.25">
      <c r="A241" s="146"/>
      <c r="B241" s="147"/>
      <c r="C241" s="154" t="s">
        <v>154</v>
      </c>
      <c r="D241" s="148"/>
      <c r="E241" s="157">
        <v>0.1</v>
      </c>
      <c r="F241" s="158">
        <v>0</v>
      </c>
      <c r="G241" s="16"/>
      <c r="H241" s="16"/>
      <c r="I241" s="16"/>
      <c r="J241" s="149"/>
      <c r="K241" s="16"/>
      <c r="L241" s="212"/>
      <c r="M241" s="147"/>
      <c r="N241" s="147"/>
      <c r="O241" s="147"/>
      <c r="P241" s="147"/>
      <c r="Q241" s="147"/>
      <c r="R241" s="147"/>
      <c r="S241" s="147"/>
      <c r="T241" s="147"/>
      <c r="U241" s="147"/>
      <c r="V241" s="147"/>
      <c r="W241" s="147"/>
    </row>
    <row r="242" spans="1:23" s="6" customFormat="1" ht="13.5" hidden="1" thickBot="1" x14ac:dyDescent="0.25">
      <c r="A242" s="146"/>
      <c r="B242" s="147"/>
      <c r="C242" s="159" t="s">
        <v>153</v>
      </c>
      <c r="D242" s="148"/>
      <c r="E242" s="157">
        <v>0.1</v>
      </c>
      <c r="F242" s="158">
        <v>0.11</v>
      </c>
      <c r="G242" s="16"/>
      <c r="H242" s="16"/>
      <c r="I242" s="16"/>
      <c r="J242" s="149"/>
      <c r="K242" s="16"/>
      <c r="L242" s="212"/>
      <c r="M242" s="147"/>
      <c r="N242" s="147"/>
      <c r="O242" s="147"/>
      <c r="P242" s="147"/>
      <c r="Q242" s="147"/>
      <c r="R242" s="147"/>
      <c r="S242" s="147"/>
      <c r="T242" s="147"/>
      <c r="U242" s="147"/>
      <c r="V242" s="147"/>
      <c r="W242" s="147"/>
    </row>
    <row r="243" spans="1:23" s="6" customFormat="1" ht="13.5" hidden="1" thickBot="1" x14ac:dyDescent="0.25">
      <c r="A243" s="146"/>
      <c r="B243" s="147"/>
      <c r="C243" s="160" t="s">
        <v>71</v>
      </c>
      <c r="D243" s="148"/>
      <c r="E243" s="148"/>
      <c r="F243" s="148"/>
      <c r="G243" s="16"/>
      <c r="H243" s="16"/>
      <c r="I243" s="16"/>
      <c r="J243" s="149"/>
      <c r="K243" s="16"/>
      <c r="L243" s="212"/>
      <c r="M243" s="147"/>
      <c r="N243" s="147"/>
      <c r="O243" s="147"/>
      <c r="P243" s="147"/>
      <c r="Q243" s="147"/>
      <c r="R243" s="147"/>
      <c r="S243" s="147"/>
      <c r="T243" s="147"/>
      <c r="U243" s="147"/>
      <c r="V243" s="147"/>
      <c r="W243" s="147"/>
    </row>
    <row r="244" spans="1:23" s="6" customFormat="1" ht="13.5" hidden="1" thickBot="1" x14ac:dyDescent="0.25">
      <c r="A244" s="146"/>
      <c r="B244" s="147"/>
      <c r="C244" s="148"/>
      <c r="D244" s="148"/>
      <c r="E244" s="148"/>
      <c r="F244" s="148"/>
      <c r="G244" s="16"/>
      <c r="H244" s="16"/>
      <c r="I244" s="16"/>
      <c r="J244" s="149"/>
      <c r="K244" s="16"/>
      <c r="L244" s="212"/>
      <c r="M244" s="147"/>
      <c r="N244" s="147"/>
      <c r="O244" s="147"/>
      <c r="P244" s="147"/>
      <c r="Q244" s="147"/>
      <c r="R244" s="147"/>
      <c r="S244" s="147"/>
      <c r="T244" s="147"/>
      <c r="U244" s="147"/>
      <c r="V244" s="147"/>
      <c r="W244" s="147"/>
    </row>
    <row r="245" spans="1:23" s="6" customFormat="1" ht="13.5" hidden="1" thickBot="1" x14ac:dyDescent="0.25">
      <c r="A245" s="146"/>
      <c r="B245" s="147"/>
      <c r="C245" s="148"/>
      <c r="D245" s="148"/>
      <c r="E245" s="148"/>
      <c r="F245" s="148"/>
      <c r="G245" s="16"/>
      <c r="H245" s="16"/>
      <c r="I245" s="16"/>
      <c r="J245" s="149"/>
      <c r="K245" s="16"/>
      <c r="L245" s="212"/>
      <c r="M245" s="147"/>
      <c r="N245" s="147"/>
      <c r="O245" s="147"/>
      <c r="P245" s="147"/>
      <c r="Q245" s="147"/>
      <c r="R245" s="147"/>
      <c r="S245" s="147"/>
      <c r="T245" s="147"/>
      <c r="U245" s="147"/>
      <c r="V245" s="147"/>
      <c r="W245" s="147"/>
    </row>
    <row r="246" spans="1:23" s="6" customFormat="1" ht="13.5" hidden="1" thickBot="1" x14ac:dyDescent="0.25">
      <c r="A246" s="146"/>
      <c r="B246" s="147"/>
      <c r="C246" s="148" t="s">
        <v>168</v>
      </c>
      <c r="D246" s="148"/>
      <c r="E246" s="148"/>
      <c r="F246" s="148"/>
      <c r="G246" s="16"/>
      <c r="H246" s="16"/>
      <c r="I246" s="16"/>
      <c r="J246" s="149"/>
      <c r="K246" s="16"/>
      <c r="L246" s="212"/>
      <c r="M246" s="147"/>
      <c r="N246" s="147"/>
      <c r="O246" s="147"/>
      <c r="P246" s="147"/>
      <c r="Q246" s="147"/>
      <c r="R246" s="147"/>
      <c r="S246" s="147"/>
      <c r="T246" s="147"/>
      <c r="U246" s="147"/>
      <c r="V246" s="147"/>
      <c r="W246" s="147"/>
    </row>
    <row r="247" spans="1:23" s="6" customFormat="1" ht="13.5" hidden="1" thickBot="1" x14ac:dyDescent="0.25">
      <c r="A247" s="146"/>
      <c r="B247" s="147"/>
      <c r="C247" s="148"/>
      <c r="D247" s="148"/>
      <c r="E247" s="148"/>
      <c r="F247" s="148"/>
      <c r="G247" s="16"/>
      <c r="H247" s="16"/>
      <c r="I247" s="16"/>
      <c r="J247" s="149"/>
      <c r="K247" s="16"/>
      <c r="L247" s="212"/>
      <c r="M247" s="147"/>
      <c r="N247" s="147"/>
      <c r="O247" s="147"/>
      <c r="P247" s="147"/>
      <c r="Q247" s="147"/>
      <c r="R247" s="147"/>
      <c r="S247" s="147"/>
      <c r="T247" s="147"/>
      <c r="U247" s="147"/>
      <c r="V247" s="147"/>
      <c r="W247" s="147"/>
    </row>
    <row r="248" spans="1:23" s="6" customFormat="1" ht="13.5" hidden="1" thickBot="1" x14ac:dyDescent="0.25">
      <c r="A248" s="146"/>
      <c r="B248" s="147"/>
      <c r="C248" s="154" t="s">
        <v>161</v>
      </c>
      <c r="D248" s="148"/>
      <c r="E248" s="148" t="e">
        <f>#REF!+#REF!+J55+#REF!+J58+#REF!+#REF!+#REF!+#REF!+J217+J220+J223+#REF!</f>
        <v>#REF!</v>
      </c>
      <c r="F248" s="148">
        <f t="shared" ref="F248:F257" si="77">CODE(C248)</f>
        <v>77</v>
      </c>
      <c r="G248" s="16"/>
      <c r="H248" s="16"/>
      <c r="I248" s="16"/>
      <c r="J248" s="149"/>
      <c r="K248" s="16"/>
      <c r="L248" s="212"/>
      <c r="M248" s="147"/>
      <c r="N248" s="147"/>
      <c r="O248" s="147"/>
      <c r="P248" s="147"/>
      <c r="Q248" s="147"/>
      <c r="R248" s="147"/>
      <c r="S248" s="147"/>
      <c r="T248" s="147"/>
      <c r="U248" s="147"/>
      <c r="V248" s="147"/>
      <c r="W248" s="147"/>
    </row>
    <row r="249" spans="1:23" s="6" customFormat="1" ht="13.5" hidden="1" thickBot="1" x14ac:dyDescent="0.25">
      <c r="A249" s="146"/>
      <c r="B249" s="147"/>
      <c r="C249" s="154" t="s">
        <v>160</v>
      </c>
      <c r="D249" s="148"/>
      <c r="E249" s="148" t="e">
        <f>#REF!+#REF!+J85+J94+#REF!+#REF!+J127+J130+J133+J136+#REF!+#REF!+J169+J172+J175+J178+J181+J184+J202</f>
        <v>#REF!</v>
      </c>
      <c r="F249" s="148">
        <f t="shared" si="77"/>
        <v>72</v>
      </c>
      <c r="G249" s="16"/>
      <c r="H249" s="16"/>
      <c r="I249" s="16"/>
      <c r="J249" s="149"/>
      <c r="K249" s="16"/>
      <c r="L249" s="212"/>
      <c r="M249" s="147"/>
      <c r="N249" s="147"/>
      <c r="O249" s="147"/>
      <c r="P249" s="147"/>
      <c r="Q249" s="147"/>
      <c r="R249" s="147"/>
      <c r="S249" s="147"/>
      <c r="T249" s="147"/>
      <c r="U249" s="147"/>
      <c r="V249" s="147"/>
      <c r="W249" s="147"/>
    </row>
    <row r="250" spans="1:23" s="6" customFormat="1" ht="13.5" hidden="1" thickBot="1" x14ac:dyDescent="0.25">
      <c r="A250" s="146"/>
      <c r="B250" s="147"/>
      <c r="C250" s="154" t="s">
        <v>159</v>
      </c>
      <c r="D250" s="148"/>
      <c r="E250" s="148" t="e">
        <f>#REF!+#REF!+#REF!+J61+J64+#REF!+#REF!+#REF!+J97+J100+#REF!+J121+#REF!+#REF!+J208+J211+#REF!+#REF!+#REF!</f>
        <v>#REF!</v>
      </c>
      <c r="F250" s="148">
        <f t="shared" si="77"/>
        <v>69</v>
      </c>
      <c r="G250" s="16"/>
      <c r="H250" s="16"/>
      <c r="I250" s="16"/>
      <c r="J250" s="149"/>
      <c r="K250" s="16"/>
      <c r="L250" s="212"/>
      <c r="M250" s="147"/>
      <c r="N250" s="147"/>
      <c r="O250" s="147"/>
      <c r="P250" s="147"/>
      <c r="Q250" s="147"/>
      <c r="R250" s="147"/>
      <c r="S250" s="147">
        <f>1/9</f>
        <v>0.1111111111111111</v>
      </c>
      <c r="T250" s="147">
        <f>S250*E239</f>
        <v>1.3888888888888888E-2</v>
      </c>
      <c r="U250" s="147"/>
      <c r="V250" s="147"/>
      <c r="W250" s="147"/>
    </row>
    <row r="251" spans="1:23" s="6" customFormat="1" ht="13.5" hidden="1" thickBot="1" x14ac:dyDescent="0.25">
      <c r="A251" s="146"/>
      <c r="B251" s="147"/>
      <c r="C251" s="154" t="s">
        <v>158</v>
      </c>
      <c r="D251" s="148"/>
      <c r="E251" s="148" t="e">
        <f>J46+J49+J52+J76+J82+#REF!+#REF!+#REF!</f>
        <v>#REF!</v>
      </c>
      <c r="F251" s="148">
        <f t="shared" si="77"/>
        <v>84</v>
      </c>
      <c r="G251" s="16"/>
      <c r="H251" s="16"/>
      <c r="I251" s="16"/>
      <c r="J251" s="149"/>
      <c r="K251" s="16"/>
      <c r="L251" s="212"/>
      <c r="M251" s="147"/>
      <c r="N251" s="147"/>
      <c r="O251" s="147"/>
      <c r="P251" s="147"/>
      <c r="Q251" s="147"/>
      <c r="R251" s="147"/>
      <c r="S251" s="147"/>
      <c r="T251" s="147"/>
      <c r="U251" s="147"/>
      <c r="V251" s="147"/>
      <c r="W251" s="147"/>
    </row>
    <row r="252" spans="1:23" s="6" customFormat="1" ht="13.5" hidden="1" thickBot="1" x14ac:dyDescent="0.25">
      <c r="A252" s="146"/>
      <c r="B252" s="147"/>
      <c r="C252" s="154" t="s">
        <v>157</v>
      </c>
      <c r="D252" s="148"/>
      <c r="E252" s="148" t="e">
        <f>#REF!+J67+#REF!+J73+J103+J148+J163</f>
        <v>#REF!</v>
      </c>
      <c r="F252" s="148">
        <f t="shared" si="77"/>
        <v>87</v>
      </c>
      <c r="G252" s="16"/>
      <c r="H252" s="16"/>
      <c r="I252" s="16"/>
      <c r="J252" s="149"/>
      <c r="K252" s="16"/>
      <c r="L252" s="212"/>
      <c r="M252" s="147"/>
      <c r="N252" s="147"/>
      <c r="O252" s="147"/>
      <c r="P252" s="147"/>
      <c r="Q252" s="147"/>
      <c r="R252" s="147"/>
      <c r="S252" s="147"/>
      <c r="T252" s="147"/>
      <c r="U252" s="147"/>
      <c r="V252" s="147"/>
      <c r="W252" s="147"/>
    </row>
    <row r="253" spans="1:23" s="6" customFormat="1" ht="13.5" hidden="1" thickBot="1" x14ac:dyDescent="0.25">
      <c r="A253" s="146"/>
      <c r="B253" s="147"/>
      <c r="C253" s="154" t="s">
        <v>156</v>
      </c>
      <c r="D253" s="148"/>
      <c r="E253" s="148">
        <f>J31+J34+J187+J190+J193+J196+J199</f>
        <v>13</v>
      </c>
      <c r="F253" s="148">
        <f t="shared" si="77"/>
        <v>77</v>
      </c>
      <c r="G253" s="16"/>
      <c r="H253" s="16"/>
      <c r="I253" s="16"/>
      <c r="J253" s="149"/>
      <c r="K253" s="16"/>
      <c r="L253" s="212"/>
      <c r="M253" s="147"/>
      <c r="N253" s="147"/>
      <c r="O253" s="147">
        <f>1/9</f>
        <v>0.1111111111111111</v>
      </c>
      <c r="P253" s="147">
        <f>O253*0.125</f>
        <v>1.3888888888888888E-2</v>
      </c>
      <c r="Q253" s="147"/>
      <c r="R253" s="147"/>
      <c r="S253" s="147"/>
      <c r="T253" s="147"/>
      <c r="U253" s="147"/>
      <c r="V253" s="147"/>
      <c r="W253" s="147"/>
    </row>
    <row r="254" spans="1:23" s="6" customFormat="1" ht="13.5" hidden="1" thickBot="1" x14ac:dyDescent="0.25">
      <c r="A254" s="146"/>
      <c r="B254" s="147"/>
      <c r="C254" s="154" t="s">
        <v>155</v>
      </c>
      <c r="D254" s="148"/>
      <c r="E254" s="148" t="e">
        <f>J106+J109+J112+#REF!+J118+#REF!</f>
        <v>#REF!</v>
      </c>
      <c r="F254" s="148">
        <f t="shared" si="77"/>
        <v>87</v>
      </c>
      <c r="G254" s="16"/>
      <c r="H254" s="16"/>
      <c r="I254" s="16"/>
      <c r="J254" s="149"/>
      <c r="K254" s="16"/>
      <c r="L254" s="212"/>
      <c r="M254" s="147"/>
      <c r="N254" s="147"/>
      <c r="O254" s="147"/>
      <c r="P254" s="147"/>
      <c r="Q254" s="147"/>
      <c r="R254" s="147"/>
      <c r="S254" s="147"/>
      <c r="T254" s="147"/>
      <c r="U254" s="147"/>
      <c r="V254" s="147"/>
      <c r="W254" s="147"/>
    </row>
    <row r="255" spans="1:23" s="6" customFormat="1" ht="13.5" hidden="1" thickBot="1" x14ac:dyDescent="0.25">
      <c r="A255" s="146"/>
      <c r="B255" s="147"/>
      <c r="C255" s="154" t="s">
        <v>154</v>
      </c>
      <c r="D255" s="148"/>
      <c r="E255" s="148" t="e">
        <f>J37+J40+J43+#REF!+#REF!+J88+#REF!+J226</f>
        <v>#REF!</v>
      </c>
      <c r="F255" s="148">
        <f t="shared" si="77"/>
        <v>76</v>
      </c>
      <c r="G255" s="16"/>
      <c r="H255" s="16"/>
      <c r="I255" s="16"/>
      <c r="J255" s="149"/>
      <c r="K255" s="16"/>
      <c r="L255" s="212"/>
      <c r="M255" s="147"/>
      <c r="N255" s="147"/>
      <c r="O255" s="147"/>
      <c r="P255" s="147"/>
      <c r="Q255" s="147"/>
      <c r="R255" s="147"/>
      <c r="S255" s="147"/>
      <c r="T255" s="147"/>
      <c r="U255" s="147"/>
      <c r="V255" s="147"/>
      <c r="W255" s="147"/>
    </row>
    <row r="256" spans="1:23" s="6" customFormat="1" ht="13.5" hidden="1" thickBot="1" x14ac:dyDescent="0.25">
      <c r="A256" s="146"/>
      <c r="B256" s="147"/>
      <c r="C256" s="159" t="s">
        <v>153</v>
      </c>
      <c r="D256" s="148"/>
      <c r="E256" s="148" t="e">
        <f>J91+J142+J145+J151+J154+#REF!+J160+J166</f>
        <v>#REF!</v>
      </c>
      <c r="F256" s="148">
        <f t="shared" si="77"/>
        <v>80</v>
      </c>
      <c r="G256" s="16"/>
      <c r="H256" s="16"/>
      <c r="I256" s="16"/>
      <c r="J256" s="149"/>
      <c r="K256" s="16"/>
      <c r="L256" s="212"/>
      <c r="M256" s="147"/>
      <c r="N256" s="147"/>
      <c r="O256" s="147"/>
      <c r="P256" s="147"/>
      <c r="Q256" s="147"/>
      <c r="R256" s="147"/>
      <c r="S256" s="147"/>
      <c r="T256" s="147"/>
      <c r="U256" s="147"/>
      <c r="V256" s="147"/>
      <c r="W256" s="147"/>
    </row>
    <row r="257" spans="1:23" s="6" customFormat="1" ht="13.5" hidden="1" thickBot="1" x14ac:dyDescent="0.25">
      <c r="A257" s="146"/>
      <c r="B257" s="147"/>
      <c r="C257" s="160" t="s">
        <v>71</v>
      </c>
      <c r="D257" s="148"/>
      <c r="E257" s="148"/>
      <c r="F257" s="148">
        <f t="shared" si="77"/>
        <v>73</v>
      </c>
      <c r="G257" s="16"/>
      <c r="H257" s="16"/>
      <c r="I257" s="16"/>
      <c r="J257" s="149"/>
      <c r="K257" s="16"/>
      <c r="L257" s="212"/>
      <c r="M257" s="147"/>
      <c r="N257" s="147"/>
      <c r="O257" s="147"/>
      <c r="P257" s="147"/>
      <c r="Q257" s="147"/>
      <c r="R257" s="147"/>
      <c r="S257" s="147"/>
      <c r="T257" s="147"/>
      <c r="U257" s="147"/>
      <c r="V257" s="147"/>
      <c r="W257" s="147"/>
    </row>
    <row r="258" spans="1:23" s="6" customFormat="1" ht="13.5" hidden="1" thickBot="1" x14ac:dyDescent="0.25">
      <c r="A258" s="146"/>
      <c r="B258" s="147"/>
      <c r="C258" s="148"/>
      <c r="D258" s="148"/>
      <c r="E258" s="148"/>
      <c r="F258" s="148"/>
      <c r="G258" s="16"/>
      <c r="H258" s="16"/>
      <c r="I258" s="16"/>
      <c r="J258" s="149"/>
      <c r="K258" s="16"/>
      <c r="L258" s="212"/>
      <c r="M258" s="147"/>
      <c r="N258" s="147"/>
      <c r="O258" s="147"/>
      <c r="P258" s="147"/>
      <c r="Q258" s="147"/>
      <c r="R258" s="147"/>
      <c r="S258" s="147"/>
      <c r="T258" s="147"/>
      <c r="U258" s="147"/>
      <c r="V258" s="147"/>
      <c r="W258" s="147"/>
    </row>
    <row r="259" spans="1:23" s="6" customFormat="1" ht="13.5" hidden="1" thickBot="1" x14ac:dyDescent="0.25">
      <c r="A259" s="146"/>
      <c r="B259" s="147"/>
      <c r="C259" s="148"/>
      <c r="D259" s="148"/>
      <c r="E259" s="148"/>
      <c r="F259" s="148"/>
      <c r="G259" s="16"/>
      <c r="H259" s="16"/>
      <c r="I259" s="16"/>
      <c r="J259" s="149"/>
      <c r="K259" s="16"/>
      <c r="L259" s="212"/>
      <c r="M259" s="147"/>
      <c r="N259" s="147"/>
      <c r="O259" s="147"/>
      <c r="P259" s="147"/>
      <c r="Q259" s="147"/>
      <c r="R259" s="147"/>
      <c r="S259" s="147"/>
      <c r="T259" s="147"/>
      <c r="U259" s="147"/>
      <c r="V259" s="147"/>
      <c r="W259" s="147"/>
    </row>
    <row r="260" spans="1:23" s="6" customFormat="1" ht="13.5" hidden="1" thickBot="1" x14ac:dyDescent="0.25">
      <c r="A260" s="146"/>
      <c r="B260" s="147"/>
      <c r="C260" s="148" t="s">
        <v>167</v>
      </c>
      <c r="D260" s="148"/>
      <c r="E260" s="148"/>
      <c r="F260" s="148"/>
      <c r="G260" s="16"/>
      <c r="H260" s="16"/>
      <c r="I260" s="16"/>
      <c r="J260" s="149"/>
      <c r="K260" s="16"/>
      <c r="L260" s="212"/>
      <c r="M260" s="147"/>
      <c r="N260" s="147"/>
      <c r="O260" s="147"/>
      <c r="P260" s="147"/>
      <c r="Q260" s="147"/>
      <c r="R260" s="147"/>
      <c r="S260" s="147"/>
      <c r="T260" s="147"/>
      <c r="U260" s="147"/>
      <c r="V260" s="147"/>
      <c r="W260" s="147"/>
    </row>
    <row r="261" spans="1:23" s="6" customFormat="1" ht="13.5" hidden="1" thickBot="1" x14ac:dyDescent="0.25">
      <c r="A261" s="146"/>
      <c r="B261" s="147"/>
      <c r="C261" s="148"/>
      <c r="D261" s="148"/>
      <c r="E261" s="148" t="s">
        <v>166</v>
      </c>
      <c r="F261" s="148" t="s">
        <v>165</v>
      </c>
      <c r="G261" s="16" t="s">
        <v>164</v>
      </c>
      <c r="H261" s="16"/>
      <c r="I261" s="16"/>
      <c r="J261" s="149" t="s">
        <v>163</v>
      </c>
      <c r="K261" s="16"/>
      <c r="L261" s="212" t="s">
        <v>162</v>
      </c>
      <c r="M261" s="147"/>
      <c r="N261" s="147"/>
      <c r="O261" s="147"/>
      <c r="P261" s="147"/>
      <c r="Q261" s="147"/>
      <c r="R261" s="147"/>
      <c r="S261" s="147"/>
      <c r="T261" s="147"/>
      <c r="U261" s="147"/>
      <c r="V261" s="147"/>
      <c r="W261" s="147"/>
    </row>
    <row r="262" spans="1:23" s="6" customFormat="1" ht="13.5" hidden="1" thickBot="1" x14ac:dyDescent="0.25">
      <c r="A262" s="146"/>
      <c r="B262" s="147"/>
      <c r="C262" s="154" t="s">
        <v>161</v>
      </c>
      <c r="D262" s="148"/>
      <c r="E262" s="148">
        <f>IF(HC="Y",#REF!+#REF!+BE55+#REF!+BE58+#REF!+#REF!+#REF!+#REF!+BE217+BE220+BE223+#REF!,0)</f>
        <v>0</v>
      </c>
      <c r="F262" s="148">
        <f>IF(RET="Y",#REF!+#REF!+CZ55+#REF!+CZ58+#REF!+#REF!+#REF!+#REF!+CZ217+CZ220+CZ223+#REF!,0)</f>
        <v>0</v>
      </c>
      <c r="G262" s="11" t="e">
        <f>IF(OFF="Y",#REF!+#REF!+BM55+#REF!+BM58+#REF!+#REF!+#REF!+#REF!+BM217+BM220+BM223+#REF!,0)</f>
        <v>#REF!</v>
      </c>
      <c r="H262" s="11"/>
      <c r="I262" s="11"/>
      <c r="J262" s="148">
        <f>IF(PRISONS="Y",#REF!+#REF!+CD55+#REF!+CD58+#REF!+#REF!+#REF!+#REF!+CD217+CD220+CD223+#REF!,0)</f>
        <v>0</v>
      </c>
      <c r="K262" s="11"/>
      <c r="L262" s="148">
        <f>IF(INDUSTRIAL="Y",#REF!+#REF!+EK55+#REF!+EK58+#REF!+#REF!+#REF!+#REF!+EK217+EK220+EK223+#REF!,0)</f>
        <v>0</v>
      </c>
      <c r="M262" s="147"/>
      <c r="N262" s="147"/>
      <c r="O262" s="147"/>
      <c r="P262" s="147"/>
      <c r="Q262" s="147"/>
      <c r="R262" s="147"/>
      <c r="S262" s="147"/>
      <c r="T262" s="147"/>
      <c r="U262" s="147"/>
      <c r="V262" s="147"/>
      <c r="W262" s="147"/>
    </row>
    <row r="263" spans="1:23" s="6" customFormat="1" ht="13.5" hidden="1" thickBot="1" x14ac:dyDescent="0.25">
      <c r="A263" s="146"/>
      <c r="B263" s="147"/>
      <c r="C263" s="154" t="s">
        <v>160</v>
      </c>
      <c r="D263" s="148"/>
      <c r="E263" s="148">
        <f>IF(HC="Y",#REF!+#REF!+BE85+BE94+#REF!+#REF!+BE127+BE130+BE133+BE136+#REF!+#REF!+BE169+BE172+BE175+BE178+BE181+BE184+BE202,0)</f>
        <v>0</v>
      </c>
      <c r="F263" s="148">
        <f>IF(RET="Y",#REF!+#REF!+CZ85+CZ94+#REF!+#REF!+CZ127+CZ130+CZ133+CZ136+#REF!+#REF!+CZ169+CZ172+CZ175+CZ178+CZ181+CZ184+CZ202,0)</f>
        <v>0</v>
      </c>
      <c r="G263" s="11" t="e">
        <f>IF(OFF="Y",#REF!+#REF!+BM85+BM94+#REF!+#REF!+BM127+BM130+BM133+BM136+#REF!+#REF!+BM169+BM172+BM175+BM178+BM181+BM184+BM202,0)</f>
        <v>#REF!</v>
      </c>
      <c r="H263" s="11"/>
      <c r="I263" s="11"/>
      <c r="J263" s="148">
        <f>IF(PRISONS="Y",#REF!+#REF!+CD85+CD94+#REF!+#REF!+CD127+CD130+CD133+CD136+#REF!+#REF!+CD169+CD172+CD175+CD178+CD181+CD184+CD202,0)</f>
        <v>0</v>
      </c>
      <c r="K263" s="11"/>
      <c r="L263" s="148">
        <f>IF(INDUSTRIAL="Y",#REF!+#REF!+EK85+EK94+#REF!+#REF!+EK127+EK130+EK133+EK136+#REF!+#REF!+EK169+EK172+EK175+EK178+EK181+EK184+EK202,0)</f>
        <v>0</v>
      </c>
      <c r="M263" s="147"/>
      <c r="N263" s="147"/>
      <c r="O263" s="147"/>
      <c r="P263" s="147"/>
      <c r="Q263" s="147"/>
      <c r="R263" s="147"/>
      <c r="S263" s="147"/>
      <c r="T263" s="147"/>
      <c r="U263" s="147"/>
      <c r="V263" s="147"/>
      <c r="W263" s="147"/>
    </row>
    <row r="264" spans="1:23" s="6" customFormat="1" ht="13.5" hidden="1" thickBot="1" x14ac:dyDescent="0.25">
      <c r="A264" s="146"/>
      <c r="B264" s="147"/>
      <c r="C264" s="154" t="s">
        <v>159</v>
      </c>
      <c r="D264" s="148"/>
      <c r="E264" s="148">
        <f>IF(HC="Y",#REF!+#REF!+#REF!+BE61+BE64+#REF!+#REF!+BE97+BE100+#REF!+BE121+#REF!+BE208+BE211+#REF!+#REF!+#REF!,0)</f>
        <v>0</v>
      </c>
      <c r="F264" s="148">
        <f>IF(RET="Y",#REF!+#REF!+#REF!+CZ61+CZ64+#REF!+#REF!+CZ97+CZ100+#REF!+CZ121+#REF!+CZ208+CZ211+#REF!+#REF!+CZ62,0)</f>
        <v>0</v>
      </c>
      <c r="G264" s="11" t="e">
        <f>IF(OFF="Y",#REF!+#REF!+#REF!+BM61+BM64+#REF!+#REF!+BM97+BM100+#REF!+BM121+#REF!+BM208+BM211+#REF!+#REF!+#REF!,0)</f>
        <v>#REF!</v>
      </c>
      <c r="H264" s="11"/>
      <c r="I264" s="11"/>
      <c r="J264" s="148">
        <f>IF(PRISONS="Y",#REF!+#REF!+#REF!+CD61+CD64+#REF!+#REF!+CD97+CD100+#REF!+CD121+#REF!+CD208+CD211+#REF!+#REF!+#REF!,0)</f>
        <v>0</v>
      </c>
      <c r="K264" s="11"/>
      <c r="L264" s="148">
        <f>IF(INDUSTRIAL="Y",#REF!+#REF!+#REF!+EK61+EK64+#REF!+#REF!+EK97+EK100+#REF!+EK121+#REF!+EK208+EK211+#REF!+#REF!+#REF!,0)</f>
        <v>0</v>
      </c>
      <c r="M264" s="147"/>
      <c r="N264" s="147"/>
      <c r="O264" s="147"/>
      <c r="P264" s="147"/>
      <c r="Q264" s="147"/>
      <c r="R264" s="147"/>
      <c r="S264" s="147"/>
      <c r="T264" s="147"/>
      <c r="U264" s="147"/>
      <c r="V264" s="147"/>
      <c r="W264" s="147"/>
    </row>
    <row r="265" spans="1:23" s="6" customFormat="1" ht="13.5" hidden="1" thickBot="1" x14ac:dyDescent="0.25">
      <c r="A265" s="146"/>
      <c r="B265" s="147"/>
      <c r="C265" s="154" t="s">
        <v>158</v>
      </c>
      <c r="D265" s="148"/>
      <c r="E265" s="148">
        <f>IF(HC="Y",BE46+BE49+BE52+BE76+BE82+#REF!+#REF!+#REF!,0)</f>
        <v>0</v>
      </c>
      <c r="F265" s="148">
        <f>IF(RET="Y",CZ46+CZ49+CZ52+CZ76+CZ82+#REF!+#REF!+#REF!,0)</f>
        <v>0</v>
      </c>
      <c r="G265" s="11" t="e">
        <f>IF(OFF="Y",BM46+BM49+BM52+BM76+BM82+#REF!+#REF!+#REF!,0)</f>
        <v>#REF!</v>
      </c>
      <c r="H265" s="11"/>
      <c r="I265" s="11"/>
      <c r="J265" s="148">
        <f>IF(PRISONS="Y",CD46+CD49+CD52+CD76+CD82+#REF!+#REF!+#REF!,0)</f>
        <v>0</v>
      </c>
      <c r="K265" s="11"/>
      <c r="L265" s="148">
        <f>IF(INDUSTRIAL="Y",EK46+EK49+EK2+EK76+EK82+#REF!+#REF!+#REF!,0)</f>
        <v>0</v>
      </c>
      <c r="M265" s="147"/>
      <c r="N265" s="147"/>
      <c r="O265" s="147"/>
      <c r="P265" s="147"/>
      <c r="Q265" s="147"/>
      <c r="R265" s="147"/>
      <c r="S265" s="147"/>
      <c r="T265" s="147"/>
      <c r="U265" s="147"/>
      <c r="V265" s="147"/>
      <c r="W265" s="147"/>
    </row>
    <row r="266" spans="1:23" s="6" customFormat="1" ht="13.5" hidden="1" thickBot="1" x14ac:dyDescent="0.25">
      <c r="A266" s="146"/>
      <c r="B266" s="147"/>
      <c r="C266" s="154" t="s">
        <v>157</v>
      </c>
      <c r="D266" s="148"/>
      <c r="E266" s="148">
        <f>IF(HC="Y",#REF!+BE67+#REF!+BE73+BE103+BE148+BE163,0)</f>
        <v>0</v>
      </c>
      <c r="F266" s="148">
        <f>IF(RET="Y",#REF!+CZ67+#REF!+CZ73+CZ103+CZ148+CZ163,0)</f>
        <v>0</v>
      </c>
      <c r="G266" s="11" t="e">
        <f>IF(OFF="Y",#REF!+BM67+#REF!+BM73+BM103+BM148+BM163,0)</f>
        <v>#REF!</v>
      </c>
      <c r="H266" s="11"/>
      <c r="I266" s="11"/>
      <c r="J266" s="148">
        <f>IF(PRISONS="Y",#REF!+CD67+#REF!+CD73+CD103+CD148+CD163,0)</f>
        <v>0</v>
      </c>
      <c r="K266" s="11"/>
      <c r="L266" s="148">
        <f>IF(INDUSTRIAL="Y",#REF!+EK67+#REF!+EK73+EK103+EK148+EK163,0)</f>
        <v>0</v>
      </c>
      <c r="M266" s="147"/>
      <c r="N266" s="147"/>
      <c r="O266" s="147"/>
      <c r="P266" s="147"/>
      <c r="Q266" s="147"/>
      <c r="R266" s="147"/>
      <c r="S266" s="147"/>
      <c r="T266" s="147"/>
      <c r="U266" s="147"/>
      <c r="V266" s="147"/>
      <c r="W266" s="147"/>
    </row>
    <row r="267" spans="1:23" s="6" customFormat="1" ht="13.5" hidden="1" thickBot="1" x14ac:dyDescent="0.25">
      <c r="A267" s="146"/>
      <c r="B267" s="147"/>
      <c r="C267" s="154" t="s">
        <v>156</v>
      </c>
      <c r="D267" s="148"/>
      <c r="E267" s="148">
        <f>IF(HC="Y",BE31+BE34+BE187+BE190+BE193+BE196+BE199,0)</f>
        <v>0</v>
      </c>
      <c r="F267" s="148">
        <f>IF(RET="Y",CZ31+CZ34+CZ187+CZ190+CZ193+CZ196+CZ199,0)</f>
        <v>0</v>
      </c>
      <c r="G267" s="11">
        <f>IF(OFF="Y",BM31+BM34+BM187+BM190+BM193+BM196+BM199,0)</f>
        <v>7</v>
      </c>
      <c r="H267" s="11"/>
      <c r="I267" s="11"/>
      <c r="J267" s="148">
        <f>IF(PRISONS="Y",CD31+CD34+CD187+CD190+CD193+CD196+CD199,0)</f>
        <v>0</v>
      </c>
      <c r="K267" s="11"/>
      <c r="L267" s="148">
        <f>IF(INDUSTRIAL="Y",EK31+EK34+EK187+EK190+EK193+EK196+EK199,0)</f>
        <v>0</v>
      </c>
      <c r="M267" s="147"/>
      <c r="N267" s="147"/>
      <c r="O267" s="147"/>
      <c r="P267" s="147"/>
      <c r="Q267" s="147"/>
      <c r="R267" s="147"/>
      <c r="S267" s="147"/>
      <c r="T267" s="147"/>
      <c r="U267" s="147"/>
      <c r="V267" s="147"/>
      <c r="W267" s="147"/>
    </row>
    <row r="268" spans="1:23" s="6" customFormat="1" ht="13.5" hidden="1" thickBot="1" x14ac:dyDescent="0.25">
      <c r="A268" s="146"/>
      <c r="B268" s="147"/>
      <c r="C268" s="154" t="s">
        <v>155</v>
      </c>
      <c r="D268" s="148"/>
      <c r="E268" s="148">
        <f>IF(HC="Y",BE106+BE109+BE112+#REF!+BE118+#REF!,0)</f>
        <v>0</v>
      </c>
      <c r="F268" s="148">
        <f>IF(RET="Y",CZ106+CZ109+CZ112+#REF!+CZ118+#REF!,0)</f>
        <v>0</v>
      </c>
      <c r="G268" s="11" t="e">
        <f>IF(OFF="Y",BM106+BM109+BM112+#REF!+BM118+#REF!,0)</f>
        <v>#REF!</v>
      </c>
      <c r="H268" s="11"/>
      <c r="I268" s="11"/>
      <c r="J268" s="148">
        <f>IF(PRISONS="Y",CD106+CD109+CD112+#REF!+CD118+#REF!,0)</f>
        <v>0</v>
      </c>
      <c r="K268" s="11"/>
      <c r="L268" s="148">
        <f>IF(INDUSTRIAL="Y",EK106+EK109+EK112+#REF!+EK118+#REF!,0)</f>
        <v>0</v>
      </c>
      <c r="M268" s="147"/>
      <c r="N268" s="147"/>
      <c r="O268" s="147"/>
      <c r="P268" s="147"/>
      <c r="Q268" s="147"/>
      <c r="R268" s="147"/>
      <c r="S268" s="147"/>
      <c r="T268" s="147"/>
      <c r="U268" s="147"/>
      <c r="V268" s="147"/>
      <c r="W268" s="147"/>
    </row>
    <row r="269" spans="1:23" s="6" customFormat="1" ht="13.5" hidden="1" thickBot="1" x14ac:dyDescent="0.25">
      <c r="A269" s="146"/>
      <c r="B269" s="147"/>
      <c r="C269" s="154" t="s">
        <v>154</v>
      </c>
      <c r="D269" s="148"/>
      <c r="E269" s="148">
        <f>IF(HC="Y",BE37+BE40+BE43+#REF!+#REF!+BE88+#REF!+BE226,0)</f>
        <v>0</v>
      </c>
      <c r="F269" s="148">
        <f>IF(RET="Y",CZ37+CZ40+CZ43+#REF!+#REF!+CZ88+#REF!+CZ226,0)</f>
        <v>0</v>
      </c>
      <c r="G269" s="11" t="e">
        <f>IF(OFF="Y",BM37+BM40+BM43+#REF!+#REF!+BM88+#REF!+BM226,0)</f>
        <v>#REF!</v>
      </c>
      <c r="H269" s="11"/>
      <c r="I269" s="11"/>
      <c r="J269" s="148">
        <f>IF(PRISONS="Y",CD37+CD40+CD43+#REF!+#REF!+CD88+#REF!+CD226,0)</f>
        <v>0</v>
      </c>
      <c r="K269" s="11"/>
      <c r="L269" s="148">
        <f>IF(INDUSTRIAL="Y",EK37+EK40+EK43+#REF!+#REF!+EK88+#REF!+EK226,0)</f>
        <v>0</v>
      </c>
      <c r="M269" s="147"/>
      <c r="N269" s="147"/>
      <c r="O269" s="147"/>
      <c r="P269" s="147"/>
      <c r="Q269" s="147"/>
      <c r="R269" s="147"/>
      <c r="S269" s="147"/>
      <c r="T269" s="147"/>
      <c r="U269" s="147"/>
      <c r="V269" s="147"/>
      <c r="W269" s="147"/>
    </row>
    <row r="270" spans="1:23" s="6" customFormat="1" ht="13.5" hidden="1" thickBot="1" x14ac:dyDescent="0.25">
      <c r="A270" s="146"/>
      <c r="B270" s="147"/>
      <c r="C270" s="159" t="s">
        <v>153</v>
      </c>
      <c r="D270" s="148"/>
      <c r="E270" s="148">
        <f>IF(HC="Y",BE91+BE142+BE145+BE151+BE154+#REF!+BE160+BE166,0)</f>
        <v>0</v>
      </c>
      <c r="F270" s="148">
        <f>IF(RET="Y",CZ91+CZ142+CZ145+CZ151+CZ154+#REF!+CZ160+CZ166,0)</f>
        <v>0</v>
      </c>
      <c r="G270" s="11" t="e">
        <f>IF(OFF="Y",BM91+BM142+BM145+BM151+BM154+#REF!+BM160+BM166,0)</f>
        <v>#REF!</v>
      </c>
      <c r="H270" s="11"/>
      <c r="I270" s="11"/>
      <c r="J270" s="148">
        <f>IF(PRISONS="Y",CD91+CD142+CD145+CD151+CD154+#REF!+CD160+CD166,0)</f>
        <v>0</v>
      </c>
      <c r="K270" s="11"/>
      <c r="L270" s="148">
        <f>IF(INDUSTRIAL="Y",EK91+EK142+EK145+EK151+EK154+#REF!+EK160+EK166,0)</f>
        <v>0</v>
      </c>
      <c r="M270" s="147"/>
      <c r="N270" s="147"/>
      <c r="O270" s="147"/>
      <c r="P270" s="147"/>
      <c r="Q270" s="147"/>
      <c r="R270" s="147"/>
      <c r="S270" s="147"/>
      <c r="T270" s="147"/>
      <c r="U270" s="147"/>
      <c r="V270" s="147"/>
      <c r="W270" s="147"/>
    </row>
    <row r="271" spans="1:23" s="6" customFormat="1" ht="13.5" hidden="1" thickBot="1" x14ac:dyDescent="0.25">
      <c r="A271" s="146"/>
      <c r="B271" s="147"/>
      <c r="C271" s="160" t="s">
        <v>71</v>
      </c>
      <c r="D271" s="148"/>
      <c r="E271" s="148">
        <f>(SUMIF($B$31:$B$228,FIND("n",$B$31:$B$228)=1,BE$31:BE$228))/3</f>
        <v>0</v>
      </c>
      <c r="F271" s="148">
        <f>(SUMIF($B$31:$B$228,FIND("n",$B$31:$B$228)=1,BF$31:BF$228))/3</f>
        <v>0</v>
      </c>
      <c r="G271" s="11">
        <f>(SUMIF($B$31:$B$228,FIND("n",$B$31:$B$228)=1,BG$31:BG$228))/3</f>
        <v>0</v>
      </c>
      <c r="H271" s="11"/>
      <c r="I271" s="11"/>
      <c r="J271" s="148">
        <f>(SUMIF($B$31:$B$228,FIND("n",$B$31:$B$228)=1,BI$31:BI$228))/3</f>
        <v>0</v>
      </c>
      <c r="K271" s="11"/>
      <c r="L271" s="148">
        <f>(SUMIF($B$31:$B$228,FIND("n",$B$31:$B$228)=1,BK$31:BK$228))/3</f>
        <v>0</v>
      </c>
      <c r="M271" s="147"/>
      <c r="N271" s="147"/>
      <c r="O271" s="147"/>
      <c r="P271" s="147"/>
      <c r="Q271" s="147"/>
      <c r="R271" s="147"/>
      <c r="S271" s="147"/>
      <c r="T271" s="147"/>
      <c r="U271" s="147"/>
      <c r="V271" s="147"/>
      <c r="W271" s="147"/>
    </row>
    <row r="272" spans="1:23" s="6" customFormat="1" ht="13.5" hidden="1" thickBot="1" x14ac:dyDescent="0.25">
      <c r="A272" s="146"/>
      <c r="B272" s="147"/>
      <c r="C272" s="161"/>
      <c r="D272" s="161"/>
      <c r="E272" s="161"/>
      <c r="F272" s="161"/>
      <c r="G272" s="8"/>
      <c r="H272" s="8"/>
      <c r="I272" s="8"/>
      <c r="J272" s="151"/>
      <c r="K272" s="8"/>
      <c r="L272" s="147"/>
      <c r="M272" s="147"/>
      <c r="N272" s="147"/>
      <c r="O272" s="147"/>
      <c r="P272" s="147"/>
      <c r="Q272" s="147"/>
      <c r="R272" s="147"/>
      <c r="S272" s="147"/>
      <c r="T272" s="147"/>
      <c r="U272" s="147"/>
      <c r="V272" s="147"/>
      <c r="W272" s="147"/>
    </row>
    <row r="273" spans="1:24" s="6" customFormat="1" ht="16.5" thickTop="1" x14ac:dyDescent="0.2">
      <c r="A273" s="143"/>
      <c r="B273" s="1089" t="s">
        <v>212</v>
      </c>
      <c r="C273" s="1092" t="s">
        <v>213</v>
      </c>
      <c r="D273" s="162"/>
      <c r="E273" s="1083"/>
      <c r="F273" s="1085"/>
      <c r="G273" s="1076" t="s">
        <v>347</v>
      </c>
      <c r="H273" s="1076" t="s">
        <v>341</v>
      </c>
      <c r="I273" s="1076"/>
      <c r="J273" s="1095">
        <v>2</v>
      </c>
      <c r="K273" s="1202"/>
      <c r="L273" s="176"/>
      <c r="M273" s="186"/>
      <c r="N273" s="177"/>
      <c r="O273" s="177"/>
      <c r="P273" s="177"/>
      <c r="Q273" s="177"/>
      <c r="R273" s="147"/>
      <c r="S273" s="147"/>
      <c r="T273" s="147"/>
      <c r="U273" s="147"/>
      <c r="V273" s="147"/>
      <c r="W273" s="147"/>
      <c r="X273" s="256" t="s">
        <v>341</v>
      </c>
    </row>
    <row r="274" spans="1:24" s="6" customFormat="1" x14ac:dyDescent="0.2">
      <c r="A274" s="143"/>
      <c r="B274" s="1090"/>
      <c r="C274" s="1093"/>
      <c r="D274" s="162"/>
      <c r="E274" s="1083"/>
      <c r="F274" s="1086"/>
      <c r="G274" s="1077"/>
      <c r="H274" s="1077"/>
      <c r="I274" s="1077"/>
      <c r="J274" s="1095"/>
      <c r="K274" s="1202"/>
      <c r="L274" s="181"/>
      <c r="M274" s="186"/>
      <c r="N274" s="171"/>
      <c r="O274" s="171"/>
      <c r="P274" s="171"/>
      <c r="Q274" s="171"/>
      <c r="R274" s="147"/>
      <c r="S274" s="147"/>
      <c r="T274" s="147"/>
      <c r="U274" s="147"/>
      <c r="V274" s="147"/>
      <c r="W274" s="147"/>
    </row>
    <row r="275" spans="1:24" s="6" customFormat="1" ht="13.5" thickBot="1" x14ac:dyDescent="0.25">
      <c r="A275" s="145"/>
      <c r="B275" s="1091"/>
      <c r="C275" s="1094"/>
      <c r="D275" s="163"/>
      <c r="E275" s="1084"/>
      <c r="F275" s="1087"/>
      <c r="G275" s="1088"/>
      <c r="H275" s="1088"/>
      <c r="I275" s="1088"/>
      <c r="J275" s="1096"/>
      <c r="K275" s="1203"/>
      <c r="L275" s="199"/>
      <c r="M275" s="200"/>
      <c r="N275" s="201"/>
      <c r="O275" s="201"/>
      <c r="P275" s="201"/>
      <c r="Q275" s="201"/>
      <c r="R275" s="147"/>
      <c r="S275" s="147"/>
      <c r="T275" s="147"/>
      <c r="U275" s="147"/>
      <c r="V275" s="147"/>
      <c r="W275" s="147"/>
    </row>
    <row r="276" spans="1:24" s="6" customFormat="1" x14ac:dyDescent="0.2">
      <c r="A276" s="5"/>
      <c r="C276" s="7"/>
      <c r="D276" s="7"/>
      <c r="E276" s="7"/>
      <c r="F276" s="7"/>
      <c r="G276" s="8"/>
      <c r="H276" s="8"/>
      <c r="I276" s="8"/>
      <c r="J276" s="9"/>
      <c r="K276" s="8"/>
    </row>
    <row r="277" spans="1:24" s="6" customFormat="1" x14ac:dyDescent="0.2">
      <c r="A277" s="5"/>
      <c r="C277" s="7" t="s">
        <v>388</v>
      </c>
      <c r="D277" s="7"/>
      <c r="E277" s="7"/>
      <c r="F277" s="7"/>
      <c r="G277" s="8"/>
      <c r="H277" s="8"/>
      <c r="I277" s="8"/>
      <c r="J277" s="9"/>
      <c r="K277" s="8"/>
    </row>
    <row r="278" spans="1:24" s="6" customFormat="1" x14ac:dyDescent="0.2">
      <c r="A278" s="5"/>
      <c r="C278" s="7" t="s">
        <v>397</v>
      </c>
      <c r="D278" s="7"/>
      <c r="E278" s="7"/>
      <c r="F278" s="7"/>
      <c r="G278" s="8"/>
      <c r="H278" s="8"/>
      <c r="I278" s="8"/>
      <c r="J278" s="9"/>
      <c r="K278" s="8"/>
    </row>
    <row r="279" spans="1:24" s="6" customFormat="1" x14ac:dyDescent="0.2">
      <c r="A279" s="5"/>
      <c r="C279" s="7" t="s">
        <v>389</v>
      </c>
      <c r="D279" s="7"/>
      <c r="E279" s="7"/>
      <c r="F279" s="7"/>
      <c r="G279" s="8"/>
      <c r="H279" s="8"/>
      <c r="I279" s="8"/>
      <c r="J279" s="9"/>
      <c r="K279" s="8"/>
    </row>
    <row r="280" spans="1:24" s="6" customFormat="1" x14ac:dyDescent="0.2">
      <c r="A280" s="5"/>
      <c r="C280" s="7" t="s">
        <v>390</v>
      </c>
      <c r="D280" s="7"/>
      <c r="E280" s="7"/>
      <c r="F280" s="7"/>
      <c r="G280" s="8"/>
      <c r="H280" s="8"/>
      <c r="I280" s="8"/>
      <c r="J280" s="9"/>
      <c r="K280" s="8"/>
    </row>
    <row r="281" spans="1:24" s="6" customFormat="1" x14ac:dyDescent="0.2">
      <c r="A281" s="5"/>
      <c r="C281" s="7" t="s">
        <v>391</v>
      </c>
      <c r="D281" s="7"/>
      <c r="E281" s="7"/>
      <c r="F281" s="7"/>
      <c r="G281" s="8"/>
      <c r="H281" s="8"/>
      <c r="I281" s="8"/>
      <c r="J281" s="9"/>
      <c r="K281" s="8"/>
    </row>
    <row r="282" spans="1:24" s="6" customFormat="1" x14ac:dyDescent="0.2">
      <c r="A282" s="5"/>
      <c r="C282" s="7" t="s">
        <v>392</v>
      </c>
      <c r="D282" s="7"/>
      <c r="E282" s="7"/>
      <c r="F282" s="7"/>
      <c r="G282" s="8"/>
      <c r="H282" s="8"/>
      <c r="I282" s="8"/>
      <c r="J282" s="9"/>
      <c r="K282" s="8"/>
    </row>
    <row r="283" spans="1:24" s="6" customFormat="1" x14ac:dyDescent="0.2">
      <c r="A283" s="5"/>
      <c r="C283" s="7" t="s">
        <v>393</v>
      </c>
      <c r="D283" s="7"/>
      <c r="E283" s="7"/>
      <c r="F283" s="7"/>
      <c r="G283" s="8"/>
      <c r="H283" s="8"/>
      <c r="I283" s="8"/>
      <c r="J283" s="9"/>
      <c r="K283" s="8"/>
    </row>
    <row r="284" spans="1:24" s="6" customFormat="1" x14ac:dyDescent="0.2">
      <c r="A284" s="5"/>
      <c r="C284" s="7" t="s">
        <v>402</v>
      </c>
      <c r="D284" s="7"/>
      <c r="E284" s="7"/>
      <c r="F284" s="7"/>
      <c r="G284" s="8"/>
      <c r="H284" s="8"/>
      <c r="I284" s="8"/>
      <c r="J284" s="9"/>
      <c r="K284" s="8"/>
    </row>
    <row r="285" spans="1:24" s="6" customFormat="1" x14ac:dyDescent="0.2">
      <c r="A285" s="5"/>
      <c r="C285" s="7" t="s">
        <v>394</v>
      </c>
      <c r="D285" s="7"/>
      <c r="E285" s="7"/>
      <c r="F285" s="7"/>
      <c r="G285" s="8"/>
      <c r="H285" s="8"/>
      <c r="I285" s="8"/>
      <c r="J285" s="9"/>
      <c r="K285" s="8"/>
    </row>
    <row r="286" spans="1:24" s="6" customFormat="1" x14ac:dyDescent="0.2">
      <c r="A286" s="5"/>
      <c r="C286" s="7" t="s">
        <v>395</v>
      </c>
      <c r="D286" s="7"/>
      <c r="E286" s="7"/>
      <c r="F286" s="7"/>
      <c r="G286" s="8"/>
      <c r="H286" s="8"/>
      <c r="I286" s="8"/>
      <c r="J286" s="9"/>
      <c r="K286" s="8"/>
    </row>
    <row r="287" spans="1:24" s="6" customFormat="1" x14ac:dyDescent="0.2">
      <c r="A287" s="5"/>
      <c r="C287" s="7" t="s">
        <v>396</v>
      </c>
      <c r="D287" s="7"/>
      <c r="E287" s="7"/>
      <c r="F287" s="7"/>
      <c r="G287" s="8"/>
      <c r="H287" s="8"/>
      <c r="I287" s="8"/>
      <c r="J287" s="9"/>
      <c r="K287" s="8"/>
    </row>
    <row r="288" spans="1:24" s="6" customFormat="1" x14ac:dyDescent="0.2">
      <c r="A288" s="5"/>
      <c r="C288" s="7" t="s">
        <v>401</v>
      </c>
      <c r="D288" s="7"/>
      <c r="E288" s="7"/>
      <c r="F288" s="7"/>
      <c r="G288" s="8"/>
      <c r="H288" s="8"/>
      <c r="I288" s="8"/>
      <c r="J288" s="9"/>
      <c r="K288" s="8"/>
    </row>
    <row r="289" spans="1:11" s="6" customFormat="1" x14ac:dyDescent="0.2">
      <c r="A289" s="5"/>
      <c r="C289" s="7"/>
      <c r="D289" s="7"/>
      <c r="E289" s="7"/>
      <c r="F289" s="7"/>
      <c r="G289" s="8"/>
      <c r="H289" s="8"/>
      <c r="I289" s="8"/>
      <c r="J289" s="9"/>
      <c r="K289" s="8"/>
    </row>
    <row r="290" spans="1:11" s="6" customFormat="1" x14ac:dyDescent="0.2">
      <c r="A290" s="5"/>
      <c r="C290" s="7"/>
      <c r="D290" s="7"/>
      <c r="E290" s="7"/>
      <c r="F290" s="7"/>
      <c r="G290" s="8"/>
      <c r="H290" s="8"/>
      <c r="I290" s="8"/>
      <c r="J290" s="9"/>
      <c r="K290" s="8"/>
    </row>
    <row r="291" spans="1:11" s="6" customFormat="1" x14ac:dyDescent="0.2">
      <c r="A291" s="5"/>
      <c r="C291" s="7"/>
      <c r="D291" s="7"/>
      <c r="E291" s="7"/>
      <c r="F291" s="7"/>
      <c r="G291" s="8"/>
      <c r="H291" s="8"/>
      <c r="I291" s="8"/>
      <c r="J291" s="9"/>
      <c r="K291" s="8"/>
    </row>
    <row r="292" spans="1:11" s="6" customFormat="1" x14ac:dyDescent="0.2">
      <c r="A292" s="5"/>
      <c r="C292" s="7"/>
      <c r="D292" s="7"/>
      <c r="E292" s="7"/>
      <c r="F292" s="7"/>
      <c r="G292" s="8"/>
      <c r="H292" s="8"/>
      <c r="I292" s="8"/>
      <c r="J292" s="9"/>
      <c r="K292" s="8"/>
    </row>
    <row r="293" spans="1:11" s="6" customFormat="1" x14ac:dyDescent="0.2">
      <c r="A293" s="5"/>
      <c r="C293" s="7"/>
      <c r="D293" s="7"/>
      <c r="E293" s="7"/>
      <c r="F293" s="7"/>
      <c r="G293" s="8"/>
      <c r="H293" s="8"/>
      <c r="I293" s="8"/>
      <c r="J293" s="9"/>
      <c r="K293" s="8"/>
    </row>
    <row r="294" spans="1:11" s="6" customFormat="1" x14ac:dyDescent="0.2">
      <c r="A294" s="5"/>
      <c r="C294" s="7"/>
      <c r="D294" s="7"/>
      <c r="E294" s="7"/>
      <c r="F294" s="7"/>
      <c r="G294" s="8"/>
      <c r="H294" s="8"/>
      <c r="I294" s="8"/>
      <c r="J294" s="9"/>
      <c r="K294" s="8"/>
    </row>
    <row r="295" spans="1:11" s="6" customFormat="1" x14ac:dyDescent="0.2">
      <c r="A295" s="5"/>
      <c r="C295" s="7"/>
      <c r="D295" s="7"/>
      <c r="E295" s="7"/>
      <c r="F295" s="7"/>
      <c r="G295" s="8"/>
      <c r="H295" s="8"/>
      <c r="I295" s="8"/>
      <c r="J295" s="9"/>
      <c r="K295" s="8"/>
    </row>
    <row r="296" spans="1:11" s="6" customFormat="1" x14ac:dyDescent="0.2">
      <c r="A296" s="5"/>
      <c r="C296" s="7"/>
      <c r="D296" s="7"/>
      <c r="E296" s="7"/>
      <c r="F296" s="7"/>
      <c r="G296" s="8"/>
      <c r="H296" s="8"/>
      <c r="I296" s="8"/>
      <c r="J296" s="9"/>
      <c r="K296" s="8"/>
    </row>
    <row r="297" spans="1:11" s="6" customFormat="1" x14ac:dyDescent="0.2">
      <c r="A297" s="5"/>
      <c r="C297" s="7"/>
      <c r="D297" s="7"/>
      <c r="E297" s="7"/>
      <c r="F297" s="7"/>
      <c r="G297" s="8"/>
      <c r="H297" s="8"/>
      <c r="I297" s="8"/>
      <c r="J297" s="9"/>
      <c r="K297" s="8"/>
    </row>
    <row r="298" spans="1:11" s="6" customFormat="1" x14ac:dyDescent="0.2">
      <c r="A298" s="5"/>
      <c r="C298" s="7"/>
      <c r="D298" s="7"/>
      <c r="E298" s="7"/>
      <c r="F298" s="7"/>
      <c r="G298" s="8"/>
      <c r="H298" s="8"/>
      <c r="I298" s="8"/>
      <c r="J298" s="9"/>
      <c r="K298" s="8"/>
    </row>
    <row r="299" spans="1:11" s="6" customFormat="1" x14ac:dyDescent="0.2">
      <c r="A299" s="5"/>
      <c r="C299" s="7"/>
      <c r="D299" s="7"/>
      <c r="E299" s="7"/>
      <c r="F299" s="7"/>
      <c r="G299" s="8"/>
      <c r="H299" s="8"/>
      <c r="I299" s="8"/>
      <c r="J299" s="9"/>
      <c r="K299" s="8"/>
    </row>
    <row r="300" spans="1:11" s="6" customFormat="1" x14ac:dyDescent="0.2">
      <c r="A300" s="5"/>
      <c r="C300" s="7"/>
      <c r="D300" s="7"/>
      <c r="E300" s="7"/>
      <c r="F300" s="7"/>
      <c r="G300" s="8"/>
      <c r="H300" s="8"/>
      <c r="I300" s="8"/>
      <c r="J300" s="9"/>
      <c r="K300" s="8"/>
    </row>
    <row r="301" spans="1:11" s="6" customFormat="1" x14ac:dyDescent="0.2">
      <c r="A301" s="5"/>
      <c r="C301" s="7"/>
      <c r="D301" s="7"/>
      <c r="E301" s="7"/>
      <c r="F301" s="7"/>
      <c r="G301" s="8"/>
      <c r="H301" s="8"/>
      <c r="I301" s="8"/>
      <c r="J301" s="9"/>
      <c r="K301" s="8"/>
    </row>
    <row r="302" spans="1:11" s="6" customFormat="1" x14ac:dyDescent="0.2">
      <c r="A302" s="5"/>
      <c r="C302" s="7"/>
      <c r="D302" s="7"/>
      <c r="E302" s="7"/>
      <c r="F302" s="7"/>
      <c r="G302" s="8"/>
      <c r="H302" s="8"/>
      <c r="I302" s="8"/>
      <c r="J302" s="9"/>
      <c r="K302" s="8"/>
    </row>
    <row r="303" spans="1:11" s="6" customFormat="1" x14ac:dyDescent="0.2">
      <c r="A303" s="5"/>
      <c r="C303" s="7"/>
      <c r="D303" s="7"/>
      <c r="E303" s="7"/>
      <c r="F303" s="7"/>
      <c r="G303" s="8"/>
      <c r="H303" s="8"/>
      <c r="I303" s="8"/>
      <c r="J303" s="9"/>
      <c r="K303" s="8"/>
    </row>
    <row r="304" spans="1:11" s="6" customFormat="1" x14ac:dyDescent="0.2">
      <c r="A304" s="5"/>
      <c r="C304" s="7"/>
      <c r="D304" s="7"/>
      <c r="E304" s="7"/>
      <c r="F304" s="7"/>
      <c r="G304" s="8"/>
      <c r="H304" s="8"/>
      <c r="I304" s="8"/>
      <c r="J304" s="9"/>
      <c r="K304" s="8"/>
    </row>
    <row r="305" spans="1:11" s="6" customFormat="1" x14ac:dyDescent="0.2">
      <c r="A305" s="5"/>
      <c r="C305" s="7"/>
      <c r="D305" s="7"/>
      <c r="E305" s="7"/>
      <c r="F305" s="7"/>
      <c r="G305" s="8"/>
      <c r="H305" s="8"/>
      <c r="I305" s="8"/>
      <c r="J305" s="9"/>
      <c r="K305" s="8"/>
    </row>
    <row r="306" spans="1:11" s="6" customFormat="1" x14ac:dyDescent="0.2">
      <c r="A306" s="5"/>
      <c r="C306" s="7"/>
      <c r="D306" s="7"/>
      <c r="E306" s="7"/>
      <c r="F306" s="7"/>
      <c r="G306" s="8"/>
      <c r="H306" s="8"/>
      <c r="I306" s="8"/>
      <c r="J306" s="9"/>
      <c r="K306" s="8"/>
    </row>
    <row r="307" spans="1:11" s="6" customFormat="1" x14ac:dyDescent="0.2">
      <c r="A307" s="5"/>
      <c r="C307" s="7"/>
      <c r="D307" s="7"/>
      <c r="E307" s="7"/>
      <c r="F307" s="7"/>
      <c r="G307" s="8"/>
      <c r="H307" s="8"/>
      <c r="I307" s="8"/>
      <c r="J307" s="9"/>
      <c r="K307" s="8"/>
    </row>
    <row r="308" spans="1:11" s="6" customFormat="1" x14ac:dyDescent="0.2">
      <c r="A308" s="5"/>
      <c r="C308" s="7"/>
      <c r="D308" s="7"/>
      <c r="E308" s="7"/>
      <c r="F308" s="7"/>
      <c r="G308" s="8"/>
      <c r="H308" s="8"/>
      <c r="I308" s="8"/>
      <c r="J308" s="9"/>
      <c r="K308" s="8"/>
    </row>
    <row r="309" spans="1:11" s="6" customFormat="1" x14ac:dyDescent="0.2">
      <c r="A309" s="5"/>
      <c r="C309" s="7"/>
      <c r="D309" s="7"/>
      <c r="E309" s="7"/>
      <c r="F309" s="7"/>
      <c r="G309" s="8"/>
      <c r="H309" s="8"/>
      <c r="I309" s="8"/>
      <c r="J309" s="9"/>
      <c r="K309" s="8"/>
    </row>
    <row r="310" spans="1:11" s="6" customFormat="1" x14ac:dyDescent="0.2">
      <c r="A310" s="5"/>
      <c r="C310" s="7"/>
      <c r="D310" s="7"/>
      <c r="E310" s="7"/>
      <c r="F310" s="7"/>
      <c r="G310" s="8"/>
      <c r="H310" s="8"/>
      <c r="I310" s="8"/>
      <c r="J310" s="9"/>
      <c r="K310" s="8"/>
    </row>
    <row r="311" spans="1:11" s="6" customFormat="1" x14ac:dyDescent="0.2">
      <c r="A311" s="5"/>
      <c r="C311" s="7"/>
      <c r="D311" s="7"/>
      <c r="E311" s="7"/>
      <c r="F311" s="7"/>
      <c r="G311" s="8"/>
      <c r="H311" s="8"/>
      <c r="I311" s="8"/>
      <c r="J311" s="9"/>
      <c r="K311" s="8"/>
    </row>
    <row r="312" spans="1:11" s="6" customFormat="1" x14ac:dyDescent="0.2">
      <c r="A312" s="5"/>
      <c r="C312" s="7"/>
      <c r="D312" s="7"/>
      <c r="E312" s="7"/>
      <c r="F312" s="7"/>
      <c r="G312" s="8"/>
      <c r="H312" s="8"/>
      <c r="I312" s="8"/>
      <c r="J312" s="9"/>
      <c r="K312" s="8"/>
    </row>
    <row r="313" spans="1:11" s="6" customFormat="1" x14ac:dyDescent="0.2">
      <c r="A313" s="5"/>
      <c r="C313" s="7"/>
      <c r="D313" s="7"/>
      <c r="E313" s="7"/>
      <c r="F313" s="7"/>
      <c r="G313" s="8"/>
      <c r="H313" s="8"/>
      <c r="I313" s="8"/>
      <c r="J313" s="9"/>
      <c r="K313" s="8"/>
    </row>
    <row r="314" spans="1:11" s="6" customFormat="1" x14ac:dyDescent="0.2">
      <c r="A314" s="5"/>
      <c r="C314" s="7"/>
      <c r="D314" s="7"/>
      <c r="E314" s="7"/>
      <c r="F314" s="7"/>
      <c r="G314" s="8"/>
      <c r="H314" s="8"/>
      <c r="I314" s="8"/>
      <c r="J314" s="9"/>
      <c r="K314" s="8"/>
    </row>
    <row r="315" spans="1:11" s="6" customFormat="1" x14ac:dyDescent="0.2">
      <c r="A315" s="5"/>
      <c r="C315" s="7"/>
      <c r="D315" s="7"/>
      <c r="E315" s="7"/>
      <c r="F315" s="7"/>
      <c r="G315" s="8"/>
      <c r="H315" s="8"/>
      <c r="I315" s="8"/>
      <c r="J315" s="9"/>
      <c r="K315" s="8"/>
    </row>
    <row r="316" spans="1:11" s="6" customFormat="1" x14ac:dyDescent="0.2">
      <c r="A316" s="5"/>
      <c r="C316" s="7"/>
      <c r="D316" s="7"/>
      <c r="E316" s="7"/>
      <c r="F316" s="7"/>
      <c r="G316" s="8"/>
      <c r="H316" s="8"/>
      <c r="I316" s="8"/>
      <c r="J316" s="9"/>
      <c r="K316" s="8"/>
    </row>
    <row r="317" spans="1:11" s="6" customFormat="1" x14ac:dyDescent="0.2">
      <c r="A317" s="5"/>
      <c r="C317" s="7"/>
      <c r="D317" s="7"/>
      <c r="E317" s="7"/>
      <c r="F317" s="7"/>
      <c r="G317" s="8"/>
      <c r="H317" s="8"/>
      <c r="I317" s="8"/>
      <c r="J317" s="9"/>
      <c r="K317" s="8"/>
    </row>
    <row r="318" spans="1:11" s="6" customFormat="1" x14ac:dyDescent="0.2">
      <c r="A318" s="5"/>
      <c r="C318" s="7"/>
      <c r="D318" s="7"/>
      <c r="E318" s="7"/>
      <c r="F318" s="7"/>
      <c r="G318" s="8"/>
      <c r="H318" s="8"/>
      <c r="I318" s="8"/>
      <c r="J318" s="9"/>
      <c r="K318" s="8"/>
    </row>
    <row r="319" spans="1:11" s="6" customFormat="1" x14ac:dyDescent="0.2">
      <c r="A319" s="5"/>
      <c r="C319" s="7"/>
      <c r="D319" s="7"/>
      <c r="E319" s="7"/>
      <c r="F319" s="7"/>
      <c r="G319" s="8"/>
      <c r="H319" s="8"/>
      <c r="I319" s="8"/>
      <c r="J319" s="9"/>
      <c r="K319" s="8"/>
    </row>
    <row r="320" spans="1:11" s="6" customFormat="1" x14ac:dyDescent="0.2">
      <c r="A320" s="5"/>
      <c r="C320" s="7"/>
      <c r="D320" s="7"/>
      <c r="E320" s="7"/>
      <c r="F320" s="7"/>
      <c r="G320" s="8"/>
      <c r="H320" s="8"/>
      <c r="I320" s="8"/>
      <c r="J320" s="9"/>
      <c r="K320" s="8"/>
    </row>
    <row r="321" spans="1:11" s="6" customFormat="1" x14ac:dyDescent="0.2">
      <c r="A321" s="5"/>
      <c r="C321" s="7"/>
      <c r="D321" s="7"/>
      <c r="E321" s="7"/>
      <c r="F321" s="7"/>
      <c r="G321" s="8"/>
      <c r="H321" s="8"/>
      <c r="I321" s="8"/>
      <c r="J321" s="9"/>
      <c r="K321" s="8"/>
    </row>
    <row r="322" spans="1:11" s="6" customFormat="1" x14ac:dyDescent="0.2">
      <c r="A322" s="5"/>
      <c r="C322" s="7"/>
      <c r="D322" s="7"/>
      <c r="E322" s="7"/>
      <c r="F322" s="7"/>
      <c r="G322" s="8"/>
      <c r="H322" s="8"/>
      <c r="I322" s="8"/>
      <c r="J322" s="9"/>
      <c r="K322" s="8"/>
    </row>
    <row r="323" spans="1:11" s="6" customFormat="1" x14ac:dyDescent="0.2">
      <c r="A323" s="5"/>
      <c r="C323" s="7"/>
      <c r="D323" s="7"/>
      <c r="E323" s="7"/>
      <c r="F323" s="7"/>
      <c r="G323" s="8"/>
      <c r="H323" s="8"/>
      <c r="I323" s="8"/>
      <c r="J323" s="9"/>
      <c r="K323" s="8"/>
    </row>
    <row r="324" spans="1:11" s="6" customFormat="1" x14ac:dyDescent="0.2">
      <c r="A324" s="5"/>
      <c r="C324" s="7"/>
      <c r="D324" s="7"/>
      <c r="E324" s="7"/>
      <c r="F324" s="7"/>
      <c r="G324" s="8"/>
      <c r="H324" s="8"/>
      <c r="I324" s="8"/>
      <c r="J324" s="9"/>
      <c r="K324" s="8"/>
    </row>
    <row r="325" spans="1:11" s="6" customFormat="1" x14ac:dyDescent="0.2">
      <c r="A325" s="5"/>
      <c r="C325" s="7"/>
      <c r="D325" s="7"/>
      <c r="E325" s="7"/>
      <c r="F325" s="7"/>
      <c r="G325" s="8"/>
      <c r="H325" s="8"/>
      <c r="I325" s="8"/>
      <c r="J325" s="9"/>
      <c r="K325" s="8"/>
    </row>
    <row r="326" spans="1:11" s="6" customFormat="1" x14ac:dyDescent="0.2">
      <c r="A326" s="5"/>
      <c r="C326" s="7"/>
      <c r="D326" s="7"/>
      <c r="E326" s="7"/>
      <c r="F326" s="7"/>
      <c r="G326" s="8"/>
      <c r="H326" s="8"/>
      <c r="I326" s="8"/>
      <c r="J326" s="9"/>
      <c r="K326" s="8"/>
    </row>
    <row r="327" spans="1:11" s="6" customFormat="1" x14ac:dyDescent="0.2">
      <c r="A327" s="5"/>
      <c r="C327" s="7"/>
      <c r="D327" s="7"/>
      <c r="E327" s="7"/>
      <c r="F327" s="7"/>
      <c r="G327" s="8"/>
      <c r="H327" s="8"/>
      <c r="I327" s="8"/>
      <c r="J327" s="9"/>
      <c r="K327" s="8"/>
    </row>
    <row r="328" spans="1:11" s="6" customFormat="1" x14ac:dyDescent="0.2">
      <c r="A328" s="5"/>
      <c r="C328" s="7"/>
      <c r="D328" s="7"/>
      <c r="E328" s="7"/>
      <c r="F328" s="7"/>
      <c r="G328" s="8"/>
      <c r="H328" s="8"/>
      <c r="I328" s="8"/>
      <c r="J328" s="9"/>
      <c r="K328" s="8"/>
    </row>
    <row r="329" spans="1:11" s="6" customFormat="1" x14ac:dyDescent="0.2">
      <c r="A329" s="5"/>
      <c r="C329" s="7"/>
      <c r="D329" s="7"/>
      <c r="E329" s="7"/>
      <c r="F329" s="7"/>
      <c r="G329" s="8"/>
      <c r="H329" s="8"/>
      <c r="I329" s="8"/>
      <c r="J329" s="9"/>
      <c r="K329" s="8"/>
    </row>
    <row r="330" spans="1:11" s="6" customFormat="1" x14ac:dyDescent="0.2">
      <c r="A330" s="5"/>
      <c r="C330" s="7"/>
      <c r="D330" s="7"/>
      <c r="E330" s="7"/>
      <c r="F330" s="7"/>
      <c r="G330" s="8"/>
      <c r="H330" s="8"/>
      <c r="I330" s="8"/>
      <c r="J330" s="9"/>
      <c r="K330" s="8"/>
    </row>
    <row r="331" spans="1:11" s="6" customFormat="1" x14ac:dyDescent="0.2">
      <c r="A331" s="5"/>
      <c r="C331" s="7"/>
      <c r="D331" s="7"/>
      <c r="E331" s="7"/>
      <c r="F331" s="7"/>
      <c r="G331" s="8"/>
      <c r="H331" s="8"/>
      <c r="I331" s="8"/>
      <c r="J331" s="9"/>
      <c r="K331" s="8"/>
    </row>
    <row r="332" spans="1:11" s="6" customFormat="1" x14ac:dyDescent="0.2">
      <c r="A332" s="5"/>
      <c r="C332" s="7"/>
      <c r="D332" s="7"/>
      <c r="E332" s="7"/>
      <c r="F332" s="7"/>
      <c r="G332" s="8"/>
      <c r="H332" s="8"/>
      <c r="I332" s="8"/>
      <c r="J332" s="9"/>
      <c r="K332" s="8"/>
    </row>
    <row r="333" spans="1:11" s="6" customFormat="1" x14ac:dyDescent="0.2">
      <c r="A333" s="5"/>
      <c r="C333" s="7"/>
      <c r="D333" s="7"/>
      <c r="E333" s="7"/>
      <c r="F333" s="7"/>
      <c r="G333" s="8"/>
      <c r="H333" s="8"/>
      <c r="I333" s="8"/>
      <c r="J333" s="9"/>
      <c r="K333" s="8"/>
    </row>
    <row r="334" spans="1:11" s="6" customFormat="1" x14ac:dyDescent="0.2">
      <c r="A334" s="5"/>
      <c r="C334" s="7"/>
      <c r="D334" s="7"/>
      <c r="E334" s="7"/>
      <c r="F334" s="7"/>
      <c r="G334" s="8"/>
      <c r="H334" s="8"/>
      <c r="I334" s="8"/>
      <c r="J334" s="9"/>
      <c r="K334" s="8"/>
    </row>
    <row r="335" spans="1:11" s="6" customFormat="1" x14ac:dyDescent="0.2">
      <c r="A335" s="5"/>
      <c r="C335" s="7"/>
      <c r="D335" s="7"/>
      <c r="E335" s="7"/>
      <c r="F335" s="7"/>
      <c r="G335" s="8"/>
      <c r="H335" s="8"/>
      <c r="I335" s="8"/>
      <c r="J335" s="9"/>
      <c r="K335" s="8"/>
    </row>
    <row r="336" spans="1:11" s="6" customFormat="1" x14ac:dyDescent="0.2">
      <c r="A336" s="5"/>
      <c r="C336" s="7"/>
      <c r="D336" s="7"/>
      <c r="E336" s="7"/>
      <c r="F336" s="7"/>
      <c r="G336" s="8"/>
      <c r="H336" s="8"/>
      <c r="I336" s="8"/>
      <c r="J336" s="9"/>
      <c r="K336" s="8"/>
    </row>
    <row r="337" spans="1:11" s="6" customFormat="1" x14ac:dyDescent="0.2">
      <c r="A337" s="5"/>
      <c r="C337" s="7"/>
      <c r="D337" s="7"/>
      <c r="E337" s="7"/>
      <c r="F337" s="7"/>
      <c r="G337" s="8"/>
      <c r="H337" s="8"/>
      <c r="I337" s="8"/>
      <c r="J337" s="9"/>
      <c r="K337" s="8"/>
    </row>
    <row r="338" spans="1:11" s="6" customFormat="1" x14ac:dyDescent="0.2">
      <c r="A338" s="5"/>
      <c r="C338" s="7"/>
      <c r="D338" s="7"/>
      <c r="E338" s="7"/>
      <c r="F338" s="7"/>
      <c r="G338" s="8"/>
      <c r="H338" s="8"/>
      <c r="I338" s="8"/>
      <c r="J338" s="9"/>
      <c r="K338" s="8"/>
    </row>
    <row r="339" spans="1:11" s="6" customFormat="1" x14ac:dyDescent="0.2">
      <c r="A339" s="5"/>
      <c r="C339" s="7"/>
      <c r="D339" s="7"/>
      <c r="E339" s="7"/>
      <c r="F339" s="7"/>
      <c r="G339" s="8"/>
      <c r="H339" s="8"/>
      <c r="I339" s="8"/>
      <c r="J339" s="9"/>
      <c r="K339" s="8"/>
    </row>
    <row r="340" spans="1:11" s="6" customFormat="1" x14ac:dyDescent="0.2">
      <c r="A340" s="5"/>
      <c r="C340" s="7"/>
      <c r="D340" s="7"/>
      <c r="E340" s="7"/>
      <c r="F340" s="7"/>
      <c r="G340" s="8"/>
      <c r="H340" s="8"/>
      <c r="I340" s="8"/>
      <c r="J340" s="9"/>
      <c r="K340" s="8"/>
    </row>
    <row r="341" spans="1:11" s="6" customFormat="1" x14ac:dyDescent="0.2">
      <c r="A341" s="5"/>
      <c r="C341" s="7"/>
      <c r="D341" s="7"/>
      <c r="E341" s="7"/>
      <c r="F341" s="7"/>
      <c r="G341" s="8"/>
      <c r="H341" s="8"/>
      <c r="I341" s="8"/>
      <c r="J341" s="9"/>
      <c r="K341" s="8"/>
    </row>
    <row r="342" spans="1:11" s="6" customFormat="1" x14ac:dyDescent="0.2">
      <c r="A342" s="5"/>
      <c r="C342" s="7"/>
      <c r="D342" s="7"/>
      <c r="E342" s="7"/>
      <c r="F342" s="7"/>
      <c r="G342" s="8"/>
      <c r="H342" s="8"/>
      <c r="I342" s="8"/>
      <c r="J342" s="9"/>
      <c r="K342" s="8"/>
    </row>
    <row r="343" spans="1:11" s="6" customFormat="1" x14ac:dyDescent="0.2">
      <c r="A343" s="5"/>
      <c r="C343" s="7"/>
      <c r="D343" s="7"/>
      <c r="E343" s="7"/>
      <c r="F343" s="7"/>
      <c r="G343" s="8"/>
      <c r="H343" s="8"/>
      <c r="I343" s="8"/>
      <c r="J343" s="9"/>
      <c r="K343" s="8"/>
    </row>
    <row r="344" spans="1:11" s="6" customFormat="1" x14ac:dyDescent="0.2">
      <c r="A344" s="5"/>
      <c r="C344" s="7"/>
      <c r="D344" s="7"/>
      <c r="E344" s="7"/>
      <c r="F344" s="7"/>
      <c r="G344" s="8"/>
      <c r="H344" s="8"/>
      <c r="I344" s="8"/>
      <c r="J344" s="9"/>
      <c r="K344" s="8"/>
    </row>
    <row r="345" spans="1:11" s="6" customFormat="1" x14ac:dyDescent="0.2">
      <c r="A345" s="5"/>
      <c r="C345" s="7"/>
      <c r="D345" s="7"/>
      <c r="E345" s="7"/>
      <c r="F345" s="7"/>
      <c r="G345" s="8"/>
      <c r="H345" s="8"/>
      <c r="I345" s="8"/>
      <c r="J345" s="9"/>
      <c r="K345" s="8"/>
    </row>
    <row r="346" spans="1:11" s="6" customFormat="1" x14ac:dyDescent="0.2">
      <c r="A346" s="5"/>
      <c r="C346" s="7"/>
      <c r="D346" s="7"/>
      <c r="E346" s="7"/>
      <c r="F346" s="7"/>
      <c r="G346" s="8"/>
      <c r="H346" s="8"/>
      <c r="I346" s="8"/>
      <c r="J346" s="9"/>
      <c r="K346" s="8"/>
    </row>
    <row r="347" spans="1:11" s="6" customFormat="1" x14ac:dyDescent="0.2">
      <c r="A347" s="5"/>
      <c r="C347" s="7"/>
      <c r="D347" s="7"/>
      <c r="E347" s="7"/>
      <c r="F347" s="7"/>
      <c r="G347" s="8"/>
      <c r="H347" s="8"/>
      <c r="I347" s="8"/>
      <c r="J347" s="9"/>
      <c r="K347" s="8"/>
    </row>
    <row r="348" spans="1:11" s="6" customFormat="1" x14ac:dyDescent="0.2">
      <c r="A348" s="5"/>
      <c r="C348" s="7"/>
      <c r="D348" s="7"/>
      <c r="E348" s="7"/>
      <c r="F348" s="7"/>
      <c r="G348" s="8"/>
      <c r="H348" s="8"/>
      <c r="I348" s="8"/>
      <c r="J348" s="9"/>
      <c r="K348" s="8"/>
    </row>
    <row r="349" spans="1:11" s="6" customFormat="1" x14ac:dyDescent="0.2">
      <c r="A349" s="5"/>
      <c r="C349" s="7"/>
      <c r="D349" s="7"/>
      <c r="E349" s="7"/>
      <c r="F349" s="7"/>
      <c r="G349" s="8"/>
      <c r="H349" s="8"/>
      <c r="I349" s="8"/>
      <c r="J349" s="9"/>
      <c r="K349" s="8"/>
    </row>
    <row r="350" spans="1:11" s="6" customFormat="1" x14ac:dyDescent="0.2">
      <c r="A350" s="5"/>
      <c r="C350" s="7"/>
      <c r="D350" s="7"/>
      <c r="E350" s="7"/>
      <c r="F350" s="7"/>
      <c r="G350" s="8"/>
      <c r="H350" s="8"/>
      <c r="I350" s="8"/>
      <c r="J350" s="9"/>
      <c r="K350" s="8"/>
    </row>
    <row r="351" spans="1:11" s="6" customFormat="1" x14ac:dyDescent="0.2">
      <c r="A351" s="5"/>
      <c r="C351" s="7"/>
      <c r="D351" s="7"/>
      <c r="E351" s="7"/>
      <c r="F351" s="7"/>
      <c r="G351" s="8"/>
      <c r="H351" s="8"/>
      <c r="I351" s="8"/>
      <c r="J351" s="9"/>
      <c r="K351" s="8"/>
    </row>
    <row r="352" spans="1:11" s="6" customFormat="1" x14ac:dyDescent="0.2">
      <c r="A352" s="5"/>
      <c r="C352" s="7"/>
      <c r="D352" s="7"/>
      <c r="E352" s="7"/>
      <c r="F352" s="7"/>
      <c r="G352" s="8"/>
      <c r="H352" s="8"/>
      <c r="I352" s="8"/>
      <c r="J352" s="9"/>
      <c r="K352" s="8"/>
    </row>
    <row r="353" spans="1:11" s="6" customFormat="1" x14ac:dyDescent="0.2">
      <c r="A353" s="5"/>
      <c r="C353" s="7"/>
      <c r="D353" s="7"/>
      <c r="E353" s="7"/>
      <c r="F353" s="7"/>
      <c r="G353" s="8"/>
      <c r="H353" s="8"/>
      <c r="I353" s="8"/>
      <c r="J353" s="9"/>
      <c r="K353" s="8"/>
    </row>
    <row r="354" spans="1:11" s="6" customFormat="1" x14ac:dyDescent="0.2">
      <c r="A354" s="5"/>
      <c r="C354" s="7"/>
      <c r="D354" s="7"/>
      <c r="E354" s="7"/>
      <c r="F354" s="7"/>
      <c r="G354" s="8"/>
      <c r="H354" s="8"/>
      <c r="I354" s="8"/>
      <c r="J354" s="9"/>
      <c r="K354" s="8"/>
    </row>
    <row r="355" spans="1:11" s="6" customFormat="1" x14ac:dyDescent="0.2">
      <c r="A355" s="5"/>
      <c r="C355" s="7"/>
      <c r="D355" s="7"/>
      <c r="E355" s="7"/>
      <c r="F355" s="7"/>
      <c r="G355" s="8"/>
      <c r="H355" s="8"/>
      <c r="I355" s="8"/>
      <c r="J355" s="9"/>
      <c r="K355" s="8"/>
    </row>
    <row r="356" spans="1:11" s="6" customFormat="1" x14ac:dyDescent="0.2">
      <c r="A356" s="5"/>
      <c r="C356" s="7"/>
      <c r="D356" s="7"/>
      <c r="E356" s="7"/>
      <c r="F356" s="7"/>
      <c r="G356" s="8"/>
      <c r="H356" s="8"/>
      <c r="I356" s="8"/>
      <c r="J356" s="9"/>
      <c r="K356" s="8"/>
    </row>
    <row r="357" spans="1:11" s="6" customFormat="1" x14ac:dyDescent="0.2">
      <c r="A357" s="5"/>
      <c r="C357" s="7"/>
      <c r="D357" s="7"/>
      <c r="E357" s="7"/>
      <c r="F357" s="7"/>
      <c r="G357" s="8"/>
      <c r="H357" s="8"/>
      <c r="I357" s="8"/>
      <c r="J357" s="9"/>
      <c r="K357" s="8"/>
    </row>
    <row r="358" spans="1:11" s="6" customFormat="1" x14ac:dyDescent="0.2">
      <c r="A358" s="5"/>
      <c r="C358" s="7"/>
      <c r="D358" s="7"/>
      <c r="E358" s="7"/>
      <c r="F358" s="7"/>
      <c r="G358" s="8"/>
      <c r="H358" s="8"/>
      <c r="I358" s="8"/>
      <c r="J358" s="9"/>
      <c r="K358" s="8"/>
    </row>
    <row r="359" spans="1:11" s="6" customFormat="1" x14ac:dyDescent="0.2">
      <c r="A359" s="5"/>
      <c r="C359" s="7"/>
      <c r="D359" s="7"/>
      <c r="E359" s="7"/>
      <c r="F359" s="7"/>
      <c r="G359" s="8"/>
      <c r="H359" s="8"/>
      <c r="I359" s="8"/>
      <c r="J359" s="9"/>
      <c r="K359" s="8"/>
    </row>
    <row r="360" spans="1:11" s="6" customFormat="1" x14ac:dyDescent="0.2">
      <c r="A360" s="5"/>
      <c r="C360" s="7"/>
      <c r="D360" s="7"/>
      <c r="E360" s="7"/>
      <c r="F360" s="7"/>
      <c r="G360" s="8"/>
      <c r="H360" s="8"/>
      <c r="I360" s="8"/>
      <c r="J360" s="9"/>
      <c r="K360" s="8"/>
    </row>
    <row r="361" spans="1:11" s="6" customFormat="1" x14ac:dyDescent="0.2">
      <c r="A361" s="5"/>
      <c r="C361" s="7"/>
      <c r="D361" s="7"/>
      <c r="E361" s="7"/>
      <c r="F361" s="7"/>
      <c r="G361" s="8"/>
      <c r="H361" s="8"/>
      <c r="I361" s="8"/>
      <c r="J361" s="9"/>
      <c r="K361" s="8"/>
    </row>
    <row r="362" spans="1:11" s="6" customFormat="1" x14ac:dyDescent="0.2">
      <c r="A362" s="5"/>
      <c r="C362" s="7"/>
      <c r="D362" s="7"/>
      <c r="E362" s="7"/>
      <c r="F362" s="7"/>
      <c r="G362" s="8"/>
      <c r="H362" s="8"/>
      <c r="I362" s="8"/>
      <c r="J362" s="9"/>
      <c r="K362" s="8"/>
    </row>
    <row r="363" spans="1:11" s="6" customFormat="1" x14ac:dyDescent="0.2">
      <c r="A363" s="5"/>
      <c r="C363" s="7"/>
      <c r="D363" s="7"/>
      <c r="E363" s="7"/>
      <c r="F363" s="7"/>
      <c r="G363" s="8"/>
      <c r="H363" s="8"/>
      <c r="I363" s="8"/>
      <c r="J363" s="9"/>
      <c r="K363" s="8"/>
    </row>
    <row r="364" spans="1:11" s="6" customFormat="1" x14ac:dyDescent="0.2">
      <c r="A364" s="5"/>
      <c r="C364" s="7"/>
      <c r="D364" s="7"/>
      <c r="E364" s="7"/>
      <c r="F364" s="7"/>
      <c r="G364" s="8"/>
      <c r="H364" s="8"/>
      <c r="I364" s="8"/>
      <c r="J364" s="9"/>
      <c r="K364" s="8"/>
    </row>
    <row r="365" spans="1:11" s="6" customFormat="1" x14ac:dyDescent="0.2">
      <c r="A365" s="5"/>
      <c r="C365" s="7"/>
      <c r="D365" s="7"/>
      <c r="E365" s="7"/>
      <c r="F365" s="7"/>
      <c r="G365" s="8"/>
      <c r="H365" s="8"/>
      <c r="I365" s="8"/>
      <c r="J365" s="9"/>
      <c r="K365" s="8"/>
    </row>
    <row r="366" spans="1:11" s="6" customFormat="1" x14ac:dyDescent="0.2">
      <c r="A366" s="5"/>
      <c r="C366" s="7"/>
      <c r="D366" s="7"/>
      <c r="E366" s="7"/>
      <c r="F366" s="7"/>
      <c r="G366" s="8"/>
      <c r="H366" s="8"/>
      <c r="I366" s="8"/>
      <c r="J366" s="9"/>
      <c r="K366" s="8"/>
    </row>
    <row r="367" spans="1:11" s="6" customFormat="1" x14ac:dyDescent="0.2">
      <c r="A367" s="5"/>
      <c r="C367" s="7"/>
      <c r="D367" s="7"/>
      <c r="E367" s="7"/>
      <c r="F367" s="7"/>
      <c r="G367" s="8"/>
      <c r="H367" s="8"/>
      <c r="I367" s="8"/>
      <c r="J367" s="9"/>
      <c r="K367" s="8"/>
    </row>
    <row r="368" spans="1:11" s="6" customFormat="1" x14ac:dyDescent="0.2">
      <c r="A368" s="5"/>
      <c r="C368" s="7"/>
      <c r="D368" s="7"/>
      <c r="E368" s="7"/>
      <c r="F368" s="7"/>
      <c r="G368" s="8"/>
      <c r="H368" s="8"/>
      <c r="I368" s="8"/>
      <c r="J368" s="9"/>
      <c r="K368" s="8"/>
    </row>
    <row r="369" spans="1:11" s="6" customFormat="1" x14ac:dyDescent="0.2">
      <c r="A369" s="5"/>
      <c r="C369" s="7"/>
      <c r="D369" s="7"/>
      <c r="E369" s="7"/>
      <c r="F369" s="7"/>
      <c r="G369" s="8"/>
      <c r="H369" s="8"/>
      <c r="I369" s="8"/>
      <c r="J369" s="9"/>
      <c r="K369" s="8"/>
    </row>
    <row r="370" spans="1:11" s="6" customFormat="1" x14ac:dyDescent="0.2">
      <c r="A370" s="5"/>
      <c r="C370" s="7"/>
      <c r="D370" s="7"/>
      <c r="E370" s="7"/>
      <c r="F370" s="7"/>
      <c r="G370" s="8"/>
      <c r="H370" s="8"/>
      <c r="I370" s="8"/>
      <c r="J370" s="9"/>
      <c r="K370" s="8"/>
    </row>
    <row r="371" spans="1:11" s="6" customFormat="1" x14ac:dyDescent="0.2">
      <c r="A371" s="5"/>
      <c r="C371" s="7"/>
      <c r="D371" s="7"/>
      <c r="E371" s="7"/>
      <c r="F371" s="7"/>
      <c r="G371" s="8"/>
      <c r="H371" s="8"/>
      <c r="I371" s="8"/>
      <c r="J371" s="9"/>
      <c r="K371" s="8"/>
    </row>
    <row r="372" spans="1:11" s="6" customFormat="1" x14ac:dyDescent="0.2">
      <c r="A372" s="5"/>
      <c r="C372" s="7"/>
      <c r="D372" s="7"/>
      <c r="E372" s="7"/>
      <c r="F372" s="7"/>
      <c r="G372" s="8"/>
      <c r="H372" s="8"/>
      <c r="I372" s="8"/>
      <c r="J372" s="9"/>
      <c r="K372" s="8"/>
    </row>
    <row r="373" spans="1:11" s="6" customFormat="1" x14ac:dyDescent="0.2">
      <c r="A373" s="5"/>
      <c r="C373" s="7"/>
      <c r="D373" s="7"/>
      <c r="E373" s="7"/>
      <c r="F373" s="7"/>
      <c r="G373" s="8"/>
      <c r="H373" s="8"/>
      <c r="I373" s="8"/>
      <c r="J373" s="9"/>
      <c r="K373" s="8"/>
    </row>
    <row r="374" spans="1:11" s="6" customFormat="1" x14ac:dyDescent="0.2">
      <c r="A374" s="5"/>
      <c r="C374" s="7"/>
      <c r="D374" s="7"/>
      <c r="E374" s="7"/>
      <c r="F374" s="7"/>
      <c r="G374" s="8"/>
      <c r="H374" s="8"/>
      <c r="I374" s="8"/>
      <c r="J374" s="9"/>
      <c r="K374" s="8"/>
    </row>
    <row r="375" spans="1:11" s="6" customFormat="1" x14ac:dyDescent="0.2">
      <c r="A375" s="5"/>
      <c r="C375" s="7"/>
      <c r="D375" s="7"/>
      <c r="E375" s="7"/>
      <c r="F375" s="7"/>
      <c r="G375" s="8"/>
      <c r="H375" s="8"/>
      <c r="I375" s="8"/>
      <c r="J375" s="9"/>
      <c r="K375" s="8"/>
    </row>
    <row r="376" spans="1:11" s="6" customFormat="1" x14ac:dyDescent="0.2">
      <c r="A376" s="5"/>
      <c r="C376" s="7"/>
      <c r="D376" s="7"/>
      <c r="E376" s="7"/>
      <c r="F376" s="7"/>
      <c r="G376" s="8"/>
      <c r="H376" s="8"/>
      <c r="I376" s="8"/>
      <c r="J376" s="9"/>
      <c r="K376" s="8"/>
    </row>
    <row r="377" spans="1:11" s="6" customFormat="1" x14ac:dyDescent="0.2">
      <c r="A377" s="5"/>
      <c r="C377" s="7"/>
      <c r="D377" s="7"/>
      <c r="E377" s="7"/>
      <c r="F377" s="7"/>
      <c r="G377" s="8"/>
      <c r="H377" s="8"/>
      <c r="I377" s="8"/>
      <c r="J377" s="9"/>
      <c r="K377" s="8"/>
    </row>
    <row r="378" spans="1:11" s="6" customFormat="1" x14ac:dyDescent="0.2">
      <c r="A378" s="5"/>
      <c r="C378" s="7"/>
      <c r="D378" s="7"/>
      <c r="E378" s="7"/>
      <c r="F378" s="7"/>
      <c r="G378" s="8"/>
      <c r="H378" s="8"/>
      <c r="I378" s="8"/>
      <c r="J378" s="9"/>
      <c r="K378" s="8"/>
    </row>
    <row r="379" spans="1:11" s="6" customFormat="1" x14ac:dyDescent="0.2">
      <c r="A379" s="5"/>
      <c r="C379" s="7"/>
      <c r="D379" s="7"/>
      <c r="E379" s="7"/>
      <c r="F379" s="7"/>
      <c r="G379" s="8"/>
      <c r="H379" s="8"/>
      <c r="I379" s="8"/>
      <c r="J379" s="9"/>
      <c r="K379" s="8"/>
    </row>
    <row r="380" spans="1:11" s="6" customFormat="1" x14ac:dyDescent="0.2">
      <c r="A380" s="5"/>
      <c r="C380" s="7"/>
      <c r="D380" s="7"/>
      <c r="E380" s="7"/>
      <c r="F380" s="7"/>
      <c r="G380" s="8"/>
      <c r="H380" s="8"/>
      <c r="I380" s="8"/>
      <c r="J380" s="9"/>
      <c r="K380" s="8"/>
    </row>
    <row r="381" spans="1:11" s="6" customFormat="1" x14ac:dyDescent="0.2">
      <c r="A381" s="5"/>
      <c r="C381" s="7"/>
      <c r="D381" s="7"/>
      <c r="E381" s="7"/>
      <c r="F381" s="7"/>
      <c r="G381" s="8"/>
      <c r="H381" s="8"/>
      <c r="I381" s="8"/>
      <c r="J381" s="9"/>
      <c r="K381" s="8"/>
    </row>
    <row r="382" spans="1:11" s="6" customFormat="1" x14ac:dyDescent="0.2">
      <c r="A382" s="5"/>
      <c r="C382" s="7"/>
      <c r="D382" s="7"/>
      <c r="E382" s="7"/>
      <c r="F382" s="7"/>
      <c r="G382" s="8"/>
      <c r="H382" s="8"/>
      <c r="I382" s="8"/>
      <c r="J382" s="9"/>
      <c r="K382" s="8"/>
    </row>
    <row r="383" spans="1:11" s="6" customFormat="1" x14ac:dyDescent="0.2">
      <c r="A383" s="5"/>
      <c r="C383" s="7"/>
      <c r="D383" s="7"/>
      <c r="E383" s="7"/>
      <c r="F383" s="7"/>
      <c r="G383" s="8"/>
      <c r="H383" s="8"/>
      <c r="I383" s="8"/>
      <c r="J383" s="9"/>
      <c r="K383" s="8"/>
    </row>
    <row r="384" spans="1:11" s="6" customFormat="1" x14ac:dyDescent="0.2">
      <c r="A384" s="5"/>
      <c r="C384" s="7"/>
      <c r="D384" s="7"/>
      <c r="E384" s="7"/>
      <c r="F384" s="7"/>
      <c r="G384" s="8"/>
      <c r="H384" s="8"/>
      <c r="I384" s="8"/>
      <c r="J384" s="9"/>
      <c r="K384" s="8"/>
    </row>
    <row r="385" spans="1:11" s="6" customFormat="1" x14ac:dyDescent="0.2">
      <c r="A385" s="5"/>
      <c r="C385" s="7"/>
      <c r="D385" s="7"/>
      <c r="E385" s="7"/>
      <c r="F385" s="7"/>
      <c r="G385" s="8"/>
      <c r="H385" s="8"/>
      <c r="I385" s="8"/>
      <c r="J385" s="9"/>
      <c r="K385" s="8"/>
    </row>
    <row r="386" spans="1:11" s="6" customFormat="1" x14ac:dyDescent="0.2">
      <c r="A386" s="5"/>
      <c r="C386" s="7"/>
      <c r="D386" s="7"/>
      <c r="E386" s="7"/>
      <c r="F386" s="7"/>
      <c r="G386" s="8"/>
      <c r="H386" s="8"/>
      <c r="I386" s="8"/>
      <c r="J386" s="9"/>
      <c r="K386" s="8"/>
    </row>
    <row r="387" spans="1:11" s="6" customFormat="1" x14ac:dyDescent="0.2">
      <c r="A387" s="5"/>
      <c r="C387" s="7"/>
      <c r="D387" s="7"/>
      <c r="E387" s="7"/>
      <c r="F387" s="7"/>
      <c r="G387" s="8"/>
      <c r="H387" s="8"/>
      <c r="I387" s="8"/>
      <c r="J387" s="9"/>
      <c r="K387" s="8"/>
    </row>
    <row r="388" spans="1:11" s="6" customFormat="1" x14ac:dyDescent="0.2">
      <c r="A388" s="5"/>
      <c r="C388" s="7"/>
      <c r="D388" s="7"/>
      <c r="E388" s="7"/>
      <c r="F388" s="7"/>
      <c r="G388" s="8"/>
      <c r="H388" s="8"/>
      <c r="I388" s="8"/>
      <c r="J388" s="9"/>
      <c r="K388" s="8"/>
    </row>
    <row r="389" spans="1:11" s="6" customFormat="1" x14ac:dyDescent="0.2">
      <c r="A389" s="5"/>
      <c r="C389" s="7"/>
      <c r="D389" s="7"/>
      <c r="E389" s="7"/>
      <c r="F389" s="7"/>
      <c r="G389" s="8"/>
      <c r="H389" s="8"/>
      <c r="I389" s="8"/>
      <c r="J389" s="9"/>
      <c r="K389" s="8"/>
    </row>
    <row r="390" spans="1:11" s="6" customFormat="1" x14ac:dyDescent="0.2">
      <c r="A390" s="5"/>
      <c r="C390" s="7"/>
      <c r="D390" s="7"/>
      <c r="E390" s="7"/>
      <c r="F390" s="7"/>
      <c r="G390" s="8"/>
      <c r="H390" s="8"/>
      <c r="I390" s="8"/>
      <c r="J390" s="9"/>
      <c r="K390" s="8"/>
    </row>
    <row r="391" spans="1:11" s="6" customFormat="1" x14ac:dyDescent="0.2">
      <c r="A391" s="5"/>
      <c r="C391" s="7"/>
      <c r="D391" s="7"/>
      <c r="E391" s="7"/>
      <c r="F391" s="7"/>
      <c r="G391" s="8"/>
      <c r="H391" s="8"/>
      <c r="I391" s="8"/>
      <c r="J391" s="9"/>
      <c r="K391" s="8"/>
    </row>
    <row r="392" spans="1:11" s="6" customFormat="1" x14ac:dyDescent="0.2">
      <c r="A392" s="5"/>
      <c r="C392" s="7"/>
      <c r="D392" s="7"/>
      <c r="E392" s="7"/>
      <c r="F392" s="7"/>
      <c r="G392" s="8"/>
      <c r="H392" s="8"/>
      <c r="I392" s="8"/>
      <c r="J392" s="9"/>
      <c r="K392" s="8"/>
    </row>
    <row r="393" spans="1:11" s="6" customFormat="1" x14ac:dyDescent="0.2">
      <c r="A393" s="5"/>
      <c r="C393" s="7"/>
      <c r="D393" s="7"/>
      <c r="E393" s="7"/>
      <c r="F393" s="7"/>
      <c r="G393" s="8"/>
      <c r="H393" s="8"/>
      <c r="I393" s="8"/>
      <c r="J393" s="9"/>
      <c r="K393" s="8"/>
    </row>
    <row r="394" spans="1:11" s="6" customFormat="1" x14ac:dyDescent="0.2">
      <c r="A394" s="5"/>
      <c r="C394" s="7"/>
      <c r="D394" s="7"/>
      <c r="E394" s="7"/>
      <c r="F394" s="7"/>
      <c r="G394" s="8"/>
      <c r="H394" s="8"/>
      <c r="I394" s="8"/>
      <c r="J394" s="9"/>
      <c r="K394" s="8"/>
    </row>
    <row r="395" spans="1:11" s="6" customFormat="1" x14ac:dyDescent="0.2">
      <c r="A395" s="5"/>
      <c r="C395" s="7"/>
      <c r="D395" s="7"/>
      <c r="E395" s="7"/>
      <c r="F395" s="7"/>
      <c r="G395" s="8"/>
      <c r="H395" s="8"/>
      <c r="I395" s="8"/>
      <c r="J395" s="9"/>
      <c r="K395" s="8"/>
    </row>
    <row r="396" spans="1:11" s="6" customFormat="1" x14ac:dyDescent="0.2">
      <c r="A396" s="5"/>
      <c r="C396" s="7"/>
      <c r="D396" s="7"/>
      <c r="E396" s="7"/>
      <c r="F396" s="7"/>
      <c r="G396" s="8"/>
      <c r="H396" s="8"/>
      <c r="I396" s="8"/>
      <c r="J396" s="9"/>
      <c r="K396" s="8"/>
    </row>
    <row r="397" spans="1:11" s="6" customFormat="1" x14ac:dyDescent="0.2">
      <c r="A397" s="5"/>
      <c r="C397" s="7"/>
      <c r="D397" s="7"/>
      <c r="E397" s="7"/>
      <c r="F397" s="7"/>
      <c r="G397" s="8"/>
      <c r="H397" s="8"/>
      <c r="I397" s="8"/>
      <c r="J397" s="9"/>
      <c r="K397" s="8"/>
    </row>
    <row r="398" spans="1:11" s="6" customFormat="1" x14ac:dyDescent="0.2">
      <c r="A398" s="5"/>
      <c r="C398" s="7"/>
      <c r="D398" s="7"/>
      <c r="E398" s="7"/>
      <c r="F398" s="7"/>
      <c r="G398" s="8"/>
      <c r="H398" s="8"/>
      <c r="I398" s="8"/>
      <c r="J398" s="9"/>
      <c r="K398" s="8"/>
    </row>
    <row r="399" spans="1:11" s="6" customFormat="1" x14ac:dyDescent="0.2">
      <c r="A399" s="5"/>
      <c r="C399" s="7"/>
      <c r="D399" s="7"/>
      <c r="E399" s="7"/>
      <c r="F399" s="7"/>
      <c r="G399" s="8"/>
      <c r="H399" s="8"/>
      <c r="I399" s="8"/>
      <c r="J399" s="9"/>
      <c r="K399" s="8"/>
    </row>
    <row r="400" spans="1:11" s="6" customFormat="1" x14ac:dyDescent="0.2">
      <c r="A400" s="5"/>
      <c r="C400" s="7"/>
      <c r="D400" s="7"/>
      <c r="E400" s="7"/>
      <c r="F400" s="7"/>
      <c r="G400" s="8"/>
      <c r="H400" s="8"/>
      <c r="I400" s="8"/>
      <c r="J400" s="9"/>
      <c r="K400" s="8"/>
    </row>
    <row r="401" spans="1:11" s="6" customFormat="1" x14ac:dyDescent="0.2">
      <c r="A401" s="5"/>
      <c r="C401" s="7"/>
      <c r="D401" s="7"/>
      <c r="E401" s="7"/>
      <c r="F401" s="7"/>
      <c r="G401" s="8"/>
      <c r="H401" s="8"/>
      <c r="I401" s="8"/>
      <c r="J401" s="9"/>
      <c r="K401" s="8"/>
    </row>
    <row r="402" spans="1:11" s="6" customFormat="1" x14ac:dyDescent="0.2">
      <c r="A402" s="5"/>
      <c r="C402" s="7"/>
      <c r="D402" s="7"/>
      <c r="E402" s="7"/>
      <c r="F402" s="7"/>
      <c r="G402" s="8"/>
      <c r="H402" s="8"/>
      <c r="I402" s="8"/>
      <c r="J402" s="9"/>
      <c r="K402" s="8"/>
    </row>
    <row r="403" spans="1:11" s="6" customFormat="1" x14ac:dyDescent="0.2">
      <c r="A403" s="5"/>
      <c r="C403" s="7"/>
      <c r="D403" s="7"/>
      <c r="E403" s="7"/>
      <c r="F403" s="7"/>
      <c r="G403" s="8"/>
      <c r="H403" s="8"/>
      <c r="I403" s="8"/>
      <c r="J403" s="9"/>
      <c r="K403" s="8"/>
    </row>
    <row r="404" spans="1:11" s="6" customFormat="1" x14ac:dyDescent="0.2">
      <c r="A404" s="5"/>
      <c r="C404" s="7"/>
      <c r="D404" s="7"/>
      <c r="E404" s="7"/>
      <c r="F404" s="7"/>
      <c r="G404" s="8"/>
      <c r="H404" s="8"/>
      <c r="I404" s="8"/>
      <c r="J404" s="9"/>
      <c r="K404" s="8"/>
    </row>
    <row r="405" spans="1:11" s="6" customFormat="1" x14ac:dyDescent="0.2">
      <c r="A405" s="5"/>
      <c r="C405" s="7"/>
      <c r="D405" s="7"/>
      <c r="E405" s="7"/>
      <c r="F405" s="7"/>
      <c r="G405" s="8"/>
      <c r="H405" s="8"/>
      <c r="I405" s="8"/>
      <c r="J405" s="9"/>
      <c r="K405" s="8"/>
    </row>
    <row r="406" spans="1:11" s="6" customFormat="1" x14ac:dyDescent="0.2">
      <c r="A406" s="5"/>
      <c r="C406" s="7"/>
      <c r="D406" s="7"/>
      <c r="E406" s="7"/>
      <c r="F406" s="7"/>
      <c r="G406" s="8"/>
      <c r="H406" s="8"/>
      <c r="I406" s="8"/>
      <c r="J406" s="9"/>
      <c r="K406" s="8"/>
    </row>
    <row r="407" spans="1:11" s="6" customFormat="1" x14ac:dyDescent="0.2">
      <c r="A407" s="5"/>
      <c r="C407" s="7"/>
      <c r="D407" s="7"/>
      <c r="E407" s="7"/>
      <c r="F407" s="7"/>
      <c r="G407" s="8"/>
      <c r="H407" s="8"/>
      <c r="I407" s="8"/>
      <c r="J407" s="9"/>
      <c r="K407" s="8"/>
    </row>
    <row r="408" spans="1:11" s="6" customFormat="1" x14ac:dyDescent="0.2">
      <c r="A408" s="5"/>
      <c r="C408" s="7"/>
      <c r="D408" s="7"/>
      <c r="E408" s="7"/>
      <c r="F408" s="7"/>
      <c r="G408" s="8"/>
      <c r="H408" s="8"/>
      <c r="I408" s="8"/>
      <c r="J408" s="9"/>
      <c r="K408" s="8"/>
    </row>
    <row r="409" spans="1:11" s="6" customFormat="1" x14ac:dyDescent="0.2">
      <c r="A409" s="5"/>
      <c r="C409" s="7"/>
      <c r="D409" s="7"/>
      <c r="E409" s="7"/>
      <c r="F409" s="7"/>
      <c r="G409" s="8"/>
      <c r="H409" s="8"/>
      <c r="I409" s="8"/>
      <c r="J409" s="9"/>
      <c r="K409" s="8"/>
    </row>
    <row r="410" spans="1:11" s="6" customFormat="1" x14ac:dyDescent="0.2">
      <c r="A410" s="5"/>
      <c r="C410" s="7"/>
      <c r="D410" s="7"/>
      <c r="E410" s="7"/>
      <c r="F410" s="7"/>
      <c r="G410" s="8"/>
      <c r="H410" s="8"/>
      <c r="I410" s="8"/>
      <c r="J410" s="9"/>
      <c r="K410" s="8"/>
    </row>
    <row r="411" spans="1:11" s="6" customFormat="1" x14ac:dyDescent="0.2">
      <c r="A411" s="5"/>
      <c r="C411" s="7"/>
      <c r="D411" s="7"/>
      <c r="E411" s="7"/>
      <c r="F411" s="7"/>
      <c r="G411" s="8"/>
      <c r="H411" s="8"/>
      <c r="I411" s="8"/>
      <c r="J411" s="9"/>
      <c r="K411" s="8"/>
    </row>
    <row r="412" spans="1:11" s="6" customFormat="1" x14ac:dyDescent="0.2">
      <c r="A412" s="5"/>
      <c r="C412" s="7"/>
      <c r="D412" s="7"/>
      <c r="E412" s="7"/>
      <c r="F412" s="7"/>
      <c r="G412" s="8"/>
      <c r="H412" s="8"/>
      <c r="I412" s="8"/>
      <c r="J412" s="9"/>
      <c r="K412" s="8"/>
    </row>
    <row r="413" spans="1:11" s="6" customFormat="1" x14ac:dyDescent="0.2">
      <c r="A413" s="5"/>
      <c r="C413" s="7"/>
      <c r="D413" s="7"/>
      <c r="E413" s="7"/>
      <c r="F413" s="7"/>
      <c r="G413" s="8"/>
      <c r="H413" s="8"/>
      <c r="I413" s="8"/>
      <c r="J413" s="9"/>
      <c r="K413" s="8"/>
    </row>
    <row r="414" spans="1:11" s="6" customFormat="1" x14ac:dyDescent="0.2">
      <c r="A414" s="5"/>
      <c r="C414" s="7"/>
      <c r="D414" s="7"/>
      <c r="E414" s="7"/>
      <c r="F414" s="7"/>
      <c r="G414" s="8"/>
      <c r="H414" s="8"/>
      <c r="I414" s="8"/>
      <c r="J414" s="9"/>
      <c r="K414" s="8"/>
    </row>
    <row r="415" spans="1:11" s="6" customFormat="1" x14ac:dyDescent="0.2">
      <c r="A415" s="5"/>
      <c r="C415" s="7"/>
      <c r="D415" s="7"/>
      <c r="E415" s="7"/>
      <c r="F415" s="7"/>
      <c r="G415" s="8"/>
      <c r="H415" s="8"/>
      <c r="I415" s="8"/>
      <c r="J415" s="9"/>
      <c r="K415" s="8"/>
    </row>
    <row r="416" spans="1:11" s="6" customFormat="1" x14ac:dyDescent="0.2">
      <c r="A416" s="5"/>
      <c r="C416" s="7"/>
      <c r="D416" s="7"/>
      <c r="E416" s="7"/>
      <c r="F416" s="7"/>
      <c r="G416" s="8"/>
      <c r="H416" s="8"/>
      <c r="I416" s="8"/>
      <c r="J416" s="9"/>
      <c r="K416" s="8"/>
    </row>
    <row r="417" spans="1:11" s="6" customFormat="1" x14ac:dyDescent="0.2">
      <c r="A417" s="5"/>
      <c r="C417" s="7"/>
      <c r="D417" s="7"/>
      <c r="E417" s="7"/>
      <c r="F417" s="7"/>
      <c r="G417" s="8"/>
      <c r="H417" s="8"/>
      <c r="I417" s="8"/>
      <c r="J417" s="9"/>
      <c r="K417" s="8"/>
    </row>
    <row r="418" spans="1:11" s="6" customFormat="1" x14ac:dyDescent="0.2">
      <c r="A418" s="5"/>
      <c r="C418" s="7"/>
      <c r="D418" s="7"/>
      <c r="E418" s="7"/>
      <c r="F418" s="7"/>
      <c r="G418" s="8"/>
      <c r="H418" s="8"/>
      <c r="I418" s="8"/>
      <c r="J418" s="9"/>
      <c r="K418" s="8"/>
    </row>
    <row r="419" spans="1:11" s="6" customFormat="1" x14ac:dyDescent="0.2">
      <c r="A419" s="5"/>
      <c r="C419" s="7"/>
      <c r="D419" s="7"/>
      <c r="E419" s="7"/>
      <c r="F419" s="7"/>
      <c r="G419" s="8"/>
      <c r="H419" s="8"/>
      <c r="I419" s="8"/>
      <c r="J419" s="9"/>
      <c r="K419" s="8"/>
    </row>
    <row r="420" spans="1:11" s="6" customFormat="1" x14ac:dyDescent="0.2">
      <c r="A420" s="5"/>
      <c r="C420" s="7"/>
      <c r="D420" s="7"/>
      <c r="E420" s="7"/>
      <c r="F420" s="7"/>
      <c r="G420" s="8"/>
      <c r="H420" s="8"/>
      <c r="I420" s="8"/>
      <c r="J420" s="9"/>
      <c r="K420" s="8"/>
    </row>
    <row r="421" spans="1:11" s="6" customFormat="1" x14ac:dyDescent="0.2">
      <c r="A421" s="5"/>
      <c r="C421" s="7"/>
      <c r="D421" s="7"/>
      <c r="E421" s="7"/>
      <c r="F421" s="7"/>
      <c r="G421" s="8"/>
      <c r="H421" s="8"/>
      <c r="I421" s="8"/>
      <c r="J421" s="9"/>
      <c r="K421" s="8"/>
    </row>
    <row r="422" spans="1:11" s="6" customFormat="1" x14ac:dyDescent="0.2">
      <c r="A422" s="5"/>
      <c r="C422" s="7"/>
      <c r="D422" s="7"/>
      <c r="E422" s="7"/>
      <c r="F422" s="7"/>
      <c r="G422" s="8"/>
      <c r="H422" s="8"/>
      <c r="I422" s="8"/>
      <c r="J422" s="9"/>
      <c r="K422" s="8"/>
    </row>
    <row r="423" spans="1:11" s="6" customFormat="1" x14ac:dyDescent="0.2">
      <c r="A423" s="5"/>
      <c r="C423" s="7"/>
      <c r="D423" s="7"/>
      <c r="E423" s="7"/>
      <c r="F423" s="7"/>
      <c r="G423" s="8"/>
      <c r="H423" s="8"/>
      <c r="I423" s="8"/>
      <c r="J423" s="9"/>
      <c r="K423" s="8"/>
    </row>
    <row r="424" spans="1:11" s="6" customFormat="1" x14ac:dyDescent="0.2">
      <c r="A424" s="5"/>
      <c r="C424" s="7"/>
      <c r="D424" s="7"/>
      <c r="E424" s="7"/>
      <c r="F424" s="7"/>
      <c r="G424" s="8"/>
      <c r="H424" s="8"/>
      <c r="I424" s="8"/>
      <c r="J424" s="9"/>
      <c r="K424" s="8"/>
    </row>
    <row r="425" spans="1:11" s="6" customFormat="1" x14ac:dyDescent="0.2">
      <c r="A425" s="5"/>
      <c r="C425" s="7"/>
      <c r="D425" s="7"/>
      <c r="E425" s="7"/>
      <c r="F425" s="7"/>
      <c r="G425" s="8"/>
      <c r="H425" s="8"/>
      <c r="I425" s="8"/>
      <c r="J425" s="9"/>
      <c r="K425" s="8"/>
    </row>
    <row r="426" spans="1:11" s="6" customFormat="1" x14ac:dyDescent="0.2">
      <c r="A426" s="5"/>
      <c r="C426" s="7"/>
      <c r="D426" s="7"/>
      <c r="E426" s="7"/>
      <c r="F426" s="7"/>
      <c r="G426" s="8"/>
      <c r="H426" s="8"/>
      <c r="I426" s="8"/>
      <c r="J426" s="9"/>
      <c r="K426" s="8"/>
    </row>
    <row r="427" spans="1:11" s="6" customFormat="1" x14ac:dyDescent="0.2">
      <c r="A427" s="5"/>
      <c r="C427" s="7"/>
      <c r="D427" s="7"/>
      <c r="E427" s="7"/>
      <c r="F427" s="7"/>
      <c r="G427" s="8"/>
      <c r="H427" s="8"/>
      <c r="I427" s="8"/>
      <c r="J427" s="9"/>
      <c r="K427" s="8"/>
    </row>
    <row r="428" spans="1:11" s="6" customFormat="1" x14ac:dyDescent="0.2">
      <c r="A428" s="5"/>
      <c r="C428" s="7"/>
      <c r="D428" s="7"/>
      <c r="E428" s="7"/>
      <c r="F428" s="7"/>
      <c r="G428" s="8"/>
      <c r="H428" s="8"/>
      <c r="I428" s="8"/>
      <c r="J428" s="9"/>
      <c r="K428" s="8"/>
    </row>
    <row r="429" spans="1:11" s="6" customFormat="1" x14ac:dyDescent="0.2">
      <c r="A429" s="5"/>
      <c r="C429" s="7"/>
      <c r="D429" s="7"/>
      <c r="E429" s="7"/>
      <c r="F429" s="7"/>
      <c r="G429" s="8"/>
      <c r="H429" s="8"/>
      <c r="I429" s="8"/>
      <c r="J429" s="9"/>
      <c r="K429" s="8"/>
    </row>
    <row r="430" spans="1:11" s="6" customFormat="1" x14ac:dyDescent="0.2">
      <c r="A430" s="5"/>
      <c r="C430" s="7"/>
      <c r="D430" s="7"/>
      <c r="E430" s="7"/>
      <c r="F430" s="7"/>
      <c r="G430" s="8"/>
      <c r="H430" s="8"/>
      <c r="I430" s="8"/>
      <c r="J430" s="9"/>
      <c r="K430" s="8"/>
    </row>
    <row r="431" spans="1:11" s="6" customFormat="1" x14ac:dyDescent="0.2">
      <c r="A431" s="5"/>
      <c r="C431" s="7"/>
      <c r="D431" s="7"/>
      <c r="E431" s="7"/>
      <c r="F431" s="7"/>
      <c r="G431" s="8"/>
      <c r="H431" s="8"/>
      <c r="I431" s="8"/>
      <c r="J431" s="9"/>
      <c r="K431" s="8"/>
    </row>
    <row r="432" spans="1:11" s="6" customFormat="1" x14ac:dyDescent="0.2">
      <c r="A432" s="5"/>
      <c r="C432" s="7"/>
      <c r="D432" s="7"/>
      <c r="E432" s="7"/>
      <c r="F432" s="7"/>
      <c r="G432" s="8"/>
      <c r="H432" s="8"/>
      <c r="I432" s="8"/>
      <c r="J432" s="9"/>
      <c r="K432" s="8"/>
    </row>
    <row r="433" spans="1:11" s="6" customFormat="1" x14ac:dyDescent="0.2">
      <c r="A433" s="5"/>
      <c r="C433" s="7"/>
      <c r="D433" s="7"/>
      <c r="E433" s="7"/>
      <c r="F433" s="7"/>
      <c r="G433" s="8"/>
      <c r="H433" s="8"/>
      <c r="I433" s="8"/>
      <c r="J433" s="9"/>
      <c r="K433" s="8"/>
    </row>
    <row r="434" spans="1:11" s="6" customFormat="1" x14ac:dyDescent="0.2">
      <c r="A434" s="5"/>
      <c r="C434" s="7"/>
      <c r="D434" s="7"/>
      <c r="E434" s="7"/>
      <c r="F434" s="7"/>
      <c r="G434" s="8"/>
      <c r="H434" s="8"/>
      <c r="I434" s="8"/>
      <c r="J434" s="9"/>
      <c r="K434" s="8"/>
    </row>
    <row r="435" spans="1:11" s="6" customFormat="1" x14ac:dyDescent="0.2">
      <c r="A435" s="5"/>
      <c r="C435" s="7"/>
      <c r="D435" s="7"/>
      <c r="E435" s="7"/>
      <c r="F435" s="7"/>
      <c r="G435" s="8"/>
      <c r="H435" s="8"/>
      <c r="I435" s="8"/>
      <c r="J435" s="9"/>
      <c r="K435" s="8"/>
    </row>
    <row r="436" spans="1:11" s="6" customFormat="1" x14ac:dyDescent="0.2">
      <c r="A436" s="5"/>
      <c r="C436" s="7"/>
      <c r="D436" s="7"/>
      <c r="E436" s="7"/>
      <c r="F436" s="7"/>
      <c r="G436" s="8"/>
      <c r="H436" s="8"/>
      <c r="I436" s="8"/>
      <c r="J436" s="9"/>
      <c r="K436" s="8"/>
    </row>
    <row r="437" spans="1:11" s="6" customFormat="1" x14ac:dyDescent="0.2">
      <c r="A437" s="5"/>
      <c r="C437" s="7"/>
      <c r="D437" s="7"/>
      <c r="E437" s="7"/>
      <c r="F437" s="7"/>
      <c r="G437" s="8"/>
      <c r="H437" s="8"/>
      <c r="I437" s="8"/>
      <c r="J437" s="9"/>
      <c r="K437" s="8"/>
    </row>
    <row r="438" spans="1:11" s="6" customFormat="1" x14ac:dyDescent="0.2">
      <c r="A438" s="5"/>
      <c r="C438" s="7"/>
      <c r="D438" s="7"/>
      <c r="E438" s="7"/>
      <c r="F438" s="7"/>
      <c r="G438" s="8"/>
      <c r="H438" s="8"/>
      <c r="I438" s="8"/>
      <c r="J438" s="9"/>
      <c r="K438" s="8"/>
    </row>
    <row r="439" spans="1:11" s="6" customFormat="1" x14ac:dyDescent="0.2">
      <c r="A439" s="5"/>
      <c r="C439" s="7"/>
      <c r="D439" s="7"/>
      <c r="E439" s="7"/>
      <c r="F439" s="7"/>
      <c r="G439" s="8"/>
      <c r="H439" s="8"/>
      <c r="I439" s="8"/>
      <c r="J439" s="9"/>
      <c r="K439" s="8"/>
    </row>
    <row r="440" spans="1:11" s="6" customFormat="1" x14ac:dyDescent="0.2">
      <c r="A440" s="5"/>
      <c r="C440" s="7"/>
      <c r="D440" s="7"/>
      <c r="E440" s="7"/>
      <c r="F440" s="7"/>
      <c r="G440" s="8"/>
      <c r="H440" s="8"/>
      <c r="I440" s="8"/>
      <c r="J440" s="9"/>
      <c r="K440" s="8"/>
    </row>
    <row r="441" spans="1:11" s="6" customFormat="1" x14ac:dyDescent="0.2">
      <c r="A441" s="5"/>
      <c r="C441" s="7"/>
      <c r="D441" s="7"/>
      <c r="E441" s="7"/>
      <c r="F441" s="7"/>
      <c r="G441" s="8"/>
      <c r="H441" s="8"/>
      <c r="I441" s="8"/>
      <c r="J441" s="9"/>
      <c r="K441" s="8"/>
    </row>
    <row r="442" spans="1:11" s="6" customFormat="1" x14ac:dyDescent="0.2">
      <c r="A442" s="5"/>
      <c r="C442" s="7"/>
      <c r="D442" s="7"/>
      <c r="E442" s="7"/>
      <c r="F442" s="7"/>
      <c r="G442" s="8"/>
      <c r="H442" s="8"/>
      <c r="I442" s="8"/>
      <c r="J442" s="9"/>
      <c r="K442" s="8"/>
    </row>
    <row r="443" spans="1:11" s="6" customFormat="1" x14ac:dyDescent="0.2">
      <c r="A443" s="5"/>
      <c r="C443" s="7"/>
      <c r="D443" s="7"/>
      <c r="E443" s="7"/>
      <c r="F443" s="7"/>
      <c r="G443" s="8"/>
      <c r="H443" s="8"/>
      <c r="I443" s="8"/>
      <c r="J443" s="9"/>
      <c r="K443" s="8"/>
    </row>
    <row r="444" spans="1:11" s="6" customFormat="1" x14ac:dyDescent="0.2">
      <c r="A444" s="5"/>
      <c r="C444" s="7"/>
      <c r="D444" s="7"/>
      <c r="E444" s="7"/>
      <c r="F444" s="7"/>
      <c r="G444" s="8"/>
      <c r="H444" s="8"/>
      <c r="I444" s="8"/>
      <c r="J444" s="9"/>
      <c r="K444" s="8"/>
    </row>
    <row r="445" spans="1:11" s="6" customFormat="1" x14ac:dyDescent="0.2">
      <c r="A445" s="5"/>
      <c r="C445" s="7"/>
      <c r="D445" s="7"/>
      <c r="E445" s="7"/>
      <c r="F445" s="7"/>
      <c r="G445" s="8"/>
      <c r="H445" s="8"/>
      <c r="I445" s="8"/>
      <c r="J445" s="9"/>
      <c r="K445" s="8"/>
    </row>
    <row r="446" spans="1:11" s="6" customFormat="1" x14ac:dyDescent="0.2">
      <c r="A446" s="5"/>
      <c r="C446" s="7"/>
      <c r="D446" s="7"/>
      <c r="E446" s="7"/>
      <c r="F446" s="7"/>
      <c r="G446" s="8"/>
      <c r="H446" s="8"/>
      <c r="I446" s="8"/>
      <c r="J446" s="9"/>
      <c r="K446" s="8"/>
    </row>
    <row r="447" spans="1:11" s="6" customFormat="1" x14ac:dyDescent="0.2">
      <c r="A447" s="5"/>
      <c r="C447" s="7"/>
      <c r="D447" s="7"/>
      <c r="E447" s="7"/>
      <c r="F447" s="7"/>
      <c r="G447" s="8"/>
      <c r="H447" s="8"/>
      <c r="I447" s="8"/>
      <c r="J447" s="9"/>
      <c r="K447" s="8"/>
    </row>
    <row r="448" spans="1:11" s="6" customFormat="1" x14ac:dyDescent="0.2">
      <c r="A448" s="5"/>
      <c r="C448" s="7"/>
      <c r="D448" s="7"/>
      <c r="E448" s="7"/>
      <c r="F448" s="7"/>
      <c r="G448" s="8"/>
      <c r="H448" s="8"/>
      <c r="I448" s="8"/>
      <c r="J448" s="9"/>
      <c r="K448" s="8"/>
    </row>
    <row r="449" spans="1:11" s="6" customFormat="1" x14ac:dyDescent="0.2">
      <c r="A449" s="5"/>
      <c r="C449" s="7"/>
      <c r="D449" s="7"/>
      <c r="E449" s="7"/>
      <c r="F449" s="7"/>
      <c r="G449" s="8"/>
      <c r="H449" s="8"/>
      <c r="I449" s="8"/>
      <c r="J449" s="9"/>
      <c r="K449" s="8"/>
    </row>
    <row r="450" spans="1:11" s="6" customFormat="1" x14ac:dyDescent="0.2">
      <c r="A450" s="5"/>
      <c r="C450" s="7"/>
      <c r="D450" s="7"/>
      <c r="E450" s="7"/>
      <c r="F450" s="7"/>
      <c r="G450" s="8"/>
      <c r="H450" s="8"/>
      <c r="I450" s="8"/>
      <c r="J450" s="9"/>
      <c r="K450" s="8"/>
    </row>
    <row r="451" spans="1:11" s="6" customFormat="1" x14ac:dyDescent="0.2">
      <c r="A451" s="5"/>
      <c r="C451" s="7"/>
      <c r="D451" s="7"/>
      <c r="E451" s="7"/>
      <c r="F451" s="7"/>
      <c r="G451" s="8"/>
      <c r="H451" s="8"/>
      <c r="I451" s="8"/>
      <c r="J451" s="9"/>
      <c r="K451" s="8"/>
    </row>
    <row r="452" spans="1:11" s="6" customFormat="1" x14ac:dyDescent="0.2">
      <c r="A452" s="5"/>
      <c r="C452" s="7"/>
      <c r="D452" s="7"/>
      <c r="E452" s="7"/>
      <c r="F452" s="7"/>
      <c r="G452" s="8"/>
      <c r="H452" s="8"/>
      <c r="I452" s="8"/>
      <c r="J452" s="9"/>
      <c r="K452" s="8"/>
    </row>
    <row r="453" spans="1:11" s="6" customFormat="1" x14ac:dyDescent="0.2">
      <c r="A453" s="5"/>
      <c r="C453" s="7"/>
      <c r="D453" s="7"/>
      <c r="E453" s="7"/>
      <c r="F453" s="7"/>
      <c r="G453" s="8"/>
      <c r="H453" s="8"/>
      <c r="I453" s="8"/>
      <c r="J453" s="9"/>
      <c r="K453" s="8"/>
    </row>
    <row r="454" spans="1:11" s="6" customFormat="1" x14ac:dyDescent="0.2">
      <c r="A454" s="5"/>
      <c r="C454" s="7"/>
      <c r="D454" s="7"/>
      <c r="E454" s="7"/>
      <c r="F454" s="7"/>
      <c r="G454" s="8"/>
      <c r="H454" s="8"/>
      <c r="I454" s="8"/>
      <c r="J454" s="9"/>
      <c r="K454" s="8"/>
    </row>
    <row r="455" spans="1:11" s="6" customFormat="1" x14ac:dyDescent="0.2">
      <c r="A455" s="5"/>
      <c r="C455" s="7"/>
      <c r="D455" s="7"/>
      <c r="E455" s="7"/>
      <c r="F455" s="7"/>
      <c r="G455" s="8"/>
      <c r="H455" s="8"/>
      <c r="I455" s="8"/>
      <c r="J455" s="9"/>
      <c r="K455" s="8"/>
    </row>
    <row r="456" spans="1:11" s="6" customFormat="1" x14ac:dyDescent="0.2">
      <c r="A456" s="5"/>
      <c r="C456" s="7"/>
      <c r="D456" s="7"/>
      <c r="E456" s="7"/>
      <c r="F456" s="7"/>
      <c r="G456" s="8"/>
      <c r="H456" s="8"/>
      <c r="I456" s="8"/>
      <c r="J456" s="9"/>
      <c r="K456" s="8"/>
    </row>
    <row r="457" spans="1:11" s="6" customFormat="1" x14ac:dyDescent="0.2">
      <c r="A457" s="5"/>
      <c r="C457" s="7"/>
      <c r="D457" s="7"/>
      <c r="E457" s="7"/>
      <c r="F457" s="7"/>
      <c r="G457" s="8"/>
      <c r="H457" s="8"/>
      <c r="I457" s="8"/>
      <c r="J457" s="9"/>
      <c r="K457" s="8"/>
    </row>
    <row r="458" spans="1:11" s="6" customFormat="1" x14ac:dyDescent="0.2">
      <c r="A458" s="5"/>
      <c r="C458" s="7"/>
      <c r="D458" s="7"/>
      <c r="E458" s="7"/>
      <c r="F458" s="7"/>
      <c r="G458" s="8"/>
      <c r="H458" s="8"/>
      <c r="I458" s="8"/>
      <c r="J458" s="9"/>
      <c r="K458" s="8"/>
    </row>
    <row r="459" spans="1:11" s="6" customFormat="1" x14ac:dyDescent="0.2">
      <c r="A459" s="5"/>
      <c r="C459" s="7"/>
      <c r="D459" s="7"/>
      <c r="E459" s="7"/>
      <c r="F459" s="7"/>
      <c r="G459" s="8"/>
      <c r="H459" s="8"/>
      <c r="I459" s="8"/>
      <c r="J459" s="9"/>
      <c r="K459" s="8"/>
    </row>
    <row r="460" spans="1:11" s="6" customFormat="1" x14ac:dyDescent="0.2">
      <c r="A460" s="5"/>
      <c r="C460" s="7"/>
      <c r="D460" s="7"/>
      <c r="E460" s="7"/>
      <c r="F460" s="7"/>
      <c r="G460" s="8"/>
      <c r="H460" s="8"/>
      <c r="I460" s="8"/>
      <c r="J460" s="9"/>
      <c r="K460" s="8"/>
    </row>
    <row r="461" spans="1:11" s="6" customFormat="1" x14ac:dyDescent="0.2">
      <c r="A461" s="5"/>
      <c r="C461" s="7"/>
      <c r="D461" s="7"/>
      <c r="E461" s="7"/>
      <c r="F461" s="7"/>
      <c r="G461" s="8"/>
      <c r="H461" s="8"/>
      <c r="I461" s="8"/>
      <c r="J461" s="9"/>
      <c r="K461" s="8"/>
    </row>
    <row r="462" spans="1:11" s="6" customFormat="1" x14ac:dyDescent="0.2">
      <c r="A462" s="5"/>
      <c r="C462" s="7"/>
      <c r="D462" s="7"/>
      <c r="E462" s="7"/>
      <c r="F462" s="7"/>
      <c r="G462" s="8"/>
      <c r="H462" s="8"/>
      <c r="I462" s="8"/>
      <c r="J462" s="9"/>
      <c r="K462" s="8"/>
    </row>
    <row r="463" spans="1:11" s="6" customFormat="1" x14ac:dyDescent="0.2">
      <c r="A463" s="5"/>
      <c r="C463" s="7"/>
      <c r="D463" s="7"/>
      <c r="E463" s="7"/>
      <c r="F463" s="7"/>
      <c r="G463" s="8"/>
      <c r="H463" s="8"/>
      <c r="I463" s="8"/>
      <c r="J463" s="9"/>
      <c r="K463" s="8"/>
    </row>
    <row r="464" spans="1:11" s="6" customFormat="1" x14ac:dyDescent="0.2">
      <c r="A464" s="5"/>
      <c r="C464" s="7"/>
      <c r="D464" s="7"/>
      <c r="E464" s="7"/>
      <c r="F464" s="7"/>
      <c r="G464" s="8"/>
      <c r="H464" s="8"/>
      <c r="I464" s="8"/>
      <c r="J464" s="9"/>
      <c r="K464" s="8"/>
    </row>
    <row r="465" spans="1:11" s="6" customFormat="1" x14ac:dyDescent="0.2">
      <c r="A465" s="5"/>
      <c r="C465" s="7"/>
      <c r="D465" s="7"/>
      <c r="E465" s="7"/>
      <c r="F465" s="7"/>
      <c r="G465" s="8"/>
      <c r="H465" s="8"/>
      <c r="I465" s="8"/>
      <c r="J465" s="9"/>
      <c r="K465" s="8"/>
    </row>
    <row r="466" spans="1:11" s="6" customFormat="1" x14ac:dyDescent="0.2">
      <c r="A466" s="5"/>
      <c r="C466" s="7"/>
      <c r="D466" s="7"/>
      <c r="E466" s="7"/>
      <c r="F466" s="7"/>
      <c r="G466" s="8"/>
      <c r="H466" s="8"/>
      <c r="I466" s="8"/>
      <c r="J466" s="9"/>
      <c r="K466" s="8"/>
    </row>
    <row r="467" spans="1:11" s="6" customFormat="1" x14ac:dyDescent="0.2">
      <c r="A467" s="5"/>
      <c r="C467" s="7"/>
      <c r="D467" s="7"/>
      <c r="E467" s="7"/>
      <c r="F467" s="7"/>
      <c r="G467" s="8"/>
      <c r="H467" s="8"/>
      <c r="I467" s="8"/>
      <c r="J467" s="9"/>
      <c r="K467" s="8"/>
    </row>
    <row r="468" spans="1:11" s="6" customFormat="1" x14ac:dyDescent="0.2">
      <c r="A468" s="5"/>
      <c r="C468" s="7"/>
      <c r="D468" s="7"/>
      <c r="E468" s="7"/>
      <c r="F468" s="7"/>
      <c r="G468" s="8"/>
      <c r="H468" s="8"/>
      <c r="I468" s="8"/>
      <c r="J468" s="9"/>
      <c r="K468" s="8"/>
    </row>
    <row r="469" spans="1:11" s="6" customFormat="1" x14ac:dyDescent="0.2">
      <c r="A469" s="5"/>
      <c r="C469" s="7"/>
      <c r="D469" s="7"/>
      <c r="E469" s="7"/>
      <c r="F469" s="7"/>
      <c r="G469" s="8"/>
      <c r="H469" s="8"/>
      <c r="I469" s="8"/>
      <c r="J469" s="9"/>
      <c r="K469" s="8"/>
    </row>
    <row r="470" spans="1:11" s="6" customFormat="1" x14ac:dyDescent="0.2">
      <c r="A470" s="5"/>
      <c r="C470" s="7"/>
      <c r="D470" s="7"/>
      <c r="E470" s="7"/>
      <c r="F470" s="7"/>
      <c r="G470" s="8"/>
      <c r="H470" s="8"/>
      <c r="I470" s="8"/>
      <c r="J470" s="9"/>
      <c r="K470" s="8"/>
    </row>
    <row r="471" spans="1:11" s="6" customFormat="1" x14ac:dyDescent="0.2">
      <c r="A471" s="5"/>
      <c r="C471" s="7"/>
      <c r="D471" s="7"/>
      <c r="E471" s="7"/>
      <c r="F471" s="7"/>
      <c r="G471" s="8"/>
      <c r="H471" s="8"/>
      <c r="I471" s="8"/>
      <c r="J471" s="9"/>
      <c r="K471" s="8"/>
    </row>
    <row r="472" spans="1:11" s="6" customFormat="1" x14ac:dyDescent="0.2">
      <c r="A472" s="5"/>
      <c r="C472" s="7"/>
      <c r="D472" s="7"/>
      <c r="E472" s="7"/>
      <c r="F472" s="7"/>
      <c r="G472" s="8"/>
      <c r="H472" s="8"/>
      <c r="I472" s="8"/>
      <c r="J472" s="9"/>
      <c r="K472" s="8"/>
    </row>
    <row r="473" spans="1:11" s="6" customFormat="1" x14ac:dyDescent="0.2">
      <c r="A473" s="5"/>
      <c r="C473" s="7"/>
      <c r="D473" s="7"/>
      <c r="E473" s="7"/>
      <c r="F473" s="7"/>
      <c r="G473" s="8"/>
      <c r="H473" s="8"/>
      <c r="I473" s="8"/>
      <c r="J473" s="9"/>
      <c r="K473" s="8"/>
    </row>
    <row r="474" spans="1:11" s="6" customFormat="1" x14ac:dyDescent="0.2">
      <c r="A474" s="5"/>
      <c r="C474" s="7"/>
      <c r="D474" s="7"/>
      <c r="E474" s="7"/>
      <c r="F474" s="7"/>
      <c r="G474" s="8"/>
      <c r="H474" s="8"/>
      <c r="I474" s="8"/>
      <c r="J474" s="9"/>
      <c r="K474" s="8"/>
    </row>
    <row r="475" spans="1:11" s="6" customFormat="1" x14ac:dyDescent="0.2">
      <c r="A475" s="5"/>
      <c r="C475" s="7"/>
      <c r="D475" s="7"/>
      <c r="E475" s="7"/>
      <c r="F475" s="7"/>
      <c r="G475" s="8"/>
      <c r="H475" s="8"/>
      <c r="I475" s="8"/>
      <c r="J475" s="9"/>
      <c r="K475" s="8"/>
    </row>
    <row r="476" spans="1:11" s="6" customFormat="1" x14ac:dyDescent="0.2">
      <c r="A476" s="5"/>
      <c r="C476" s="7"/>
      <c r="D476" s="7"/>
      <c r="E476" s="7"/>
      <c r="F476" s="7"/>
      <c r="G476" s="8"/>
      <c r="H476" s="8"/>
      <c r="I476" s="8"/>
      <c r="J476" s="9"/>
      <c r="K476" s="8"/>
    </row>
    <row r="477" spans="1:11" s="6" customFormat="1" x14ac:dyDescent="0.2">
      <c r="A477" s="5"/>
      <c r="C477" s="7"/>
      <c r="D477" s="7"/>
      <c r="E477" s="7"/>
      <c r="F477" s="7"/>
      <c r="G477" s="8"/>
      <c r="H477" s="8"/>
      <c r="I477" s="8"/>
      <c r="J477" s="9"/>
      <c r="K477" s="8"/>
    </row>
    <row r="478" spans="1:11" s="6" customFormat="1" x14ac:dyDescent="0.2">
      <c r="A478" s="5"/>
      <c r="C478" s="7"/>
      <c r="D478" s="7"/>
      <c r="E478" s="7"/>
      <c r="F478" s="7"/>
      <c r="G478" s="8"/>
      <c r="H478" s="8"/>
      <c r="I478" s="8"/>
      <c r="J478" s="9"/>
      <c r="K478" s="8"/>
    </row>
    <row r="479" spans="1:11" s="6" customFormat="1" x14ac:dyDescent="0.2">
      <c r="A479" s="5"/>
      <c r="C479" s="7"/>
      <c r="D479" s="7"/>
      <c r="E479" s="7"/>
      <c r="F479" s="7"/>
      <c r="G479" s="8"/>
      <c r="H479" s="8"/>
      <c r="I479" s="8"/>
      <c r="J479" s="9"/>
      <c r="K479" s="8"/>
    </row>
    <row r="480" spans="1:11" s="6" customFormat="1" x14ac:dyDescent="0.2">
      <c r="A480" s="5"/>
      <c r="C480" s="7"/>
      <c r="D480" s="7"/>
      <c r="E480" s="7"/>
      <c r="F480" s="7"/>
      <c r="G480" s="8"/>
      <c r="H480" s="8"/>
      <c r="I480" s="8"/>
      <c r="J480" s="9"/>
      <c r="K480" s="8"/>
    </row>
    <row r="481" spans="1:11" s="6" customFormat="1" x14ac:dyDescent="0.2">
      <c r="A481" s="5"/>
      <c r="C481" s="7"/>
      <c r="D481" s="7"/>
      <c r="E481" s="7"/>
      <c r="F481" s="7"/>
      <c r="G481" s="8"/>
      <c r="H481" s="8"/>
      <c r="I481" s="8"/>
      <c r="J481" s="9"/>
      <c r="K481" s="8"/>
    </row>
    <row r="482" spans="1:11" s="6" customFormat="1" x14ac:dyDescent="0.2">
      <c r="A482" s="5"/>
      <c r="C482" s="7"/>
      <c r="D482" s="7"/>
      <c r="E482" s="7"/>
      <c r="F482" s="7"/>
      <c r="G482" s="8"/>
      <c r="H482" s="8"/>
      <c r="I482" s="8"/>
      <c r="J482" s="9"/>
      <c r="K482" s="8"/>
    </row>
    <row r="483" spans="1:11" s="6" customFormat="1" x14ac:dyDescent="0.2">
      <c r="A483" s="5"/>
      <c r="C483" s="7"/>
      <c r="D483" s="7"/>
      <c r="E483" s="7"/>
      <c r="F483" s="7"/>
      <c r="G483" s="8"/>
      <c r="H483" s="8"/>
      <c r="I483" s="8"/>
      <c r="J483" s="9"/>
      <c r="K483" s="8"/>
    </row>
    <row r="484" spans="1:11" s="6" customFormat="1" x14ac:dyDescent="0.2">
      <c r="A484" s="5"/>
      <c r="C484" s="7"/>
      <c r="D484" s="7"/>
      <c r="E484" s="7"/>
      <c r="F484" s="7"/>
      <c r="G484" s="8"/>
      <c r="H484" s="8"/>
      <c r="I484" s="8"/>
      <c r="J484" s="9"/>
      <c r="K484" s="8"/>
    </row>
    <row r="485" spans="1:11" s="6" customFormat="1" x14ac:dyDescent="0.2">
      <c r="A485" s="5"/>
      <c r="C485" s="7"/>
      <c r="D485" s="7"/>
      <c r="E485" s="7"/>
      <c r="F485" s="7"/>
      <c r="G485" s="8"/>
      <c r="H485" s="8"/>
      <c r="I485" s="8"/>
      <c r="J485" s="9"/>
      <c r="K485" s="8"/>
    </row>
    <row r="486" spans="1:11" s="6" customFormat="1" x14ac:dyDescent="0.2">
      <c r="A486" s="5"/>
      <c r="C486" s="7"/>
      <c r="D486" s="7"/>
      <c r="E486" s="7"/>
      <c r="F486" s="7"/>
      <c r="G486" s="8"/>
      <c r="H486" s="8"/>
      <c r="I486" s="8"/>
      <c r="J486" s="9"/>
      <c r="K486" s="8"/>
    </row>
    <row r="487" spans="1:11" s="6" customFormat="1" x14ac:dyDescent="0.2">
      <c r="A487" s="5"/>
      <c r="C487" s="7"/>
      <c r="D487" s="7"/>
      <c r="E487" s="7"/>
      <c r="F487" s="7"/>
      <c r="G487" s="8"/>
      <c r="H487" s="8"/>
      <c r="I487" s="8"/>
      <c r="J487" s="9"/>
      <c r="K487" s="8"/>
    </row>
    <row r="488" spans="1:11" s="6" customFormat="1" x14ac:dyDescent="0.2">
      <c r="A488" s="5"/>
      <c r="C488" s="7"/>
      <c r="D488" s="7"/>
      <c r="E488" s="7"/>
      <c r="F488" s="7"/>
      <c r="G488" s="8"/>
      <c r="H488" s="8"/>
      <c r="I488" s="8"/>
      <c r="J488" s="9"/>
      <c r="K488" s="8"/>
    </row>
    <row r="489" spans="1:11" s="6" customFormat="1" x14ac:dyDescent="0.2">
      <c r="A489" s="5"/>
      <c r="C489" s="7"/>
      <c r="D489" s="7"/>
      <c r="E489" s="7"/>
      <c r="F489" s="7"/>
      <c r="G489" s="8"/>
      <c r="H489" s="8"/>
      <c r="I489" s="8"/>
      <c r="J489" s="9"/>
      <c r="K489" s="8"/>
    </row>
    <row r="490" spans="1:11" s="6" customFormat="1" x14ac:dyDescent="0.2">
      <c r="A490" s="5"/>
      <c r="C490" s="7"/>
      <c r="D490" s="7"/>
      <c r="E490" s="7"/>
      <c r="F490" s="7"/>
      <c r="G490" s="8"/>
      <c r="H490" s="8"/>
      <c r="I490" s="8"/>
      <c r="J490" s="9"/>
      <c r="K490" s="8"/>
    </row>
    <row r="491" spans="1:11" s="6" customFormat="1" x14ac:dyDescent="0.2">
      <c r="A491" s="5"/>
      <c r="C491" s="7"/>
      <c r="D491" s="7"/>
      <c r="E491" s="7"/>
      <c r="F491" s="7"/>
      <c r="G491" s="8"/>
      <c r="H491" s="8"/>
      <c r="I491" s="8"/>
      <c r="J491" s="9"/>
      <c r="K491" s="8"/>
    </row>
    <row r="492" spans="1:11" s="6" customFormat="1" x14ac:dyDescent="0.2">
      <c r="A492" s="5"/>
      <c r="C492" s="7"/>
      <c r="D492" s="7"/>
      <c r="E492" s="7"/>
      <c r="F492" s="7"/>
      <c r="G492" s="8"/>
      <c r="H492" s="8"/>
      <c r="I492" s="8"/>
      <c r="J492" s="9"/>
      <c r="K492" s="8"/>
    </row>
    <row r="493" spans="1:11" s="6" customFormat="1" x14ac:dyDescent="0.2">
      <c r="A493" s="5"/>
      <c r="C493" s="7"/>
      <c r="D493" s="7"/>
      <c r="E493" s="7"/>
      <c r="F493" s="7"/>
      <c r="G493" s="8"/>
      <c r="H493" s="8"/>
      <c r="I493" s="8"/>
      <c r="J493" s="9"/>
      <c r="K493" s="8"/>
    </row>
    <row r="494" spans="1:11" s="6" customFormat="1" x14ac:dyDescent="0.2">
      <c r="A494" s="5"/>
      <c r="C494" s="7"/>
      <c r="D494" s="7"/>
      <c r="E494" s="7"/>
      <c r="F494" s="7"/>
      <c r="G494" s="8"/>
      <c r="H494" s="8"/>
      <c r="I494" s="8"/>
      <c r="J494" s="9"/>
      <c r="K494" s="8"/>
    </row>
    <row r="495" spans="1:11" s="6" customFormat="1" x14ac:dyDescent="0.2">
      <c r="A495" s="5"/>
      <c r="C495" s="7"/>
      <c r="D495" s="7"/>
      <c r="E495" s="7"/>
      <c r="F495" s="7"/>
      <c r="G495" s="8"/>
      <c r="H495" s="8"/>
      <c r="I495" s="8"/>
      <c r="J495" s="9"/>
      <c r="K495" s="8"/>
    </row>
    <row r="496" spans="1:11" s="6" customFormat="1" x14ac:dyDescent="0.2">
      <c r="A496" s="5"/>
      <c r="C496" s="7"/>
      <c r="D496" s="7"/>
      <c r="E496" s="7"/>
      <c r="F496" s="7"/>
      <c r="G496" s="8"/>
      <c r="H496" s="8"/>
      <c r="I496" s="8"/>
      <c r="J496" s="9"/>
      <c r="K496" s="8"/>
    </row>
    <row r="497" spans="1:11" s="6" customFormat="1" x14ac:dyDescent="0.2">
      <c r="A497" s="5"/>
      <c r="C497" s="7"/>
      <c r="D497" s="7"/>
      <c r="E497" s="7"/>
      <c r="F497" s="7"/>
      <c r="G497" s="8"/>
      <c r="H497" s="8"/>
      <c r="I497" s="8"/>
      <c r="J497" s="9"/>
      <c r="K497" s="8"/>
    </row>
    <row r="498" spans="1:11" s="6" customFormat="1" x14ac:dyDescent="0.2">
      <c r="A498" s="5"/>
      <c r="C498" s="7"/>
      <c r="D498" s="7"/>
      <c r="E498" s="7"/>
      <c r="F498" s="7"/>
      <c r="G498" s="8"/>
      <c r="H498" s="8"/>
      <c r="I498" s="8"/>
      <c r="J498" s="9"/>
      <c r="K498" s="8"/>
    </row>
    <row r="499" spans="1:11" s="6" customFormat="1" x14ac:dyDescent="0.2">
      <c r="A499" s="5"/>
      <c r="C499" s="7"/>
      <c r="D499" s="7"/>
      <c r="E499" s="7"/>
      <c r="F499" s="7"/>
      <c r="G499" s="8"/>
      <c r="H499" s="8"/>
      <c r="I499" s="8"/>
      <c r="J499" s="9"/>
      <c r="K499" s="8"/>
    </row>
    <row r="500" spans="1:11" s="6" customFormat="1" x14ac:dyDescent="0.2">
      <c r="A500" s="5"/>
      <c r="C500" s="7"/>
      <c r="D500" s="7"/>
      <c r="E500" s="7"/>
      <c r="F500" s="7"/>
      <c r="G500" s="8"/>
      <c r="H500" s="8"/>
      <c r="I500" s="8"/>
      <c r="J500" s="9"/>
      <c r="K500" s="8"/>
    </row>
    <row r="501" spans="1:11" s="6" customFormat="1" x14ac:dyDescent="0.2">
      <c r="A501" s="5"/>
      <c r="C501" s="7"/>
      <c r="D501" s="7"/>
      <c r="E501" s="7"/>
      <c r="F501" s="7"/>
      <c r="G501" s="8"/>
      <c r="H501" s="8"/>
      <c r="I501" s="8"/>
      <c r="J501" s="9"/>
      <c r="K501" s="8"/>
    </row>
    <row r="502" spans="1:11" s="6" customFormat="1" x14ac:dyDescent="0.2">
      <c r="A502" s="5"/>
      <c r="C502" s="7"/>
      <c r="D502" s="7"/>
      <c r="E502" s="7"/>
      <c r="F502" s="7"/>
      <c r="G502" s="8"/>
      <c r="H502" s="8"/>
      <c r="I502" s="8"/>
      <c r="J502" s="9"/>
      <c r="K502" s="8"/>
    </row>
    <row r="503" spans="1:11" s="6" customFormat="1" x14ac:dyDescent="0.2">
      <c r="A503" s="5"/>
      <c r="C503" s="7"/>
      <c r="D503" s="7"/>
      <c r="E503" s="7"/>
      <c r="F503" s="7"/>
      <c r="G503" s="8"/>
      <c r="H503" s="8"/>
      <c r="I503" s="8"/>
      <c r="J503" s="9"/>
      <c r="K503" s="8"/>
    </row>
    <row r="504" spans="1:11" s="6" customFormat="1" x14ac:dyDescent="0.2">
      <c r="A504" s="5"/>
      <c r="C504" s="7"/>
      <c r="D504" s="7"/>
      <c r="E504" s="7"/>
      <c r="F504" s="7"/>
      <c r="G504" s="8"/>
      <c r="H504" s="8"/>
      <c r="I504" s="8"/>
      <c r="J504" s="9"/>
      <c r="K504" s="8"/>
    </row>
    <row r="505" spans="1:11" s="6" customFormat="1" x14ac:dyDescent="0.2">
      <c r="A505" s="5"/>
      <c r="C505" s="7"/>
      <c r="D505" s="7"/>
      <c r="E505" s="7"/>
      <c r="F505" s="7"/>
      <c r="G505" s="8"/>
      <c r="H505" s="8"/>
      <c r="I505" s="8"/>
      <c r="J505" s="9"/>
      <c r="K505" s="8"/>
    </row>
    <row r="506" spans="1:11" s="6" customFormat="1" x14ac:dyDescent="0.2">
      <c r="A506" s="5"/>
      <c r="C506" s="7"/>
      <c r="D506" s="7"/>
      <c r="E506" s="7"/>
      <c r="F506" s="7"/>
      <c r="G506" s="8"/>
      <c r="H506" s="8"/>
      <c r="I506" s="8"/>
      <c r="J506" s="9"/>
      <c r="K506" s="8"/>
    </row>
    <row r="507" spans="1:11" s="6" customFormat="1" x14ac:dyDescent="0.2">
      <c r="A507" s="5"/>
      <c r="C507" s="7"/>
      <c r="D507" s="7"/>
      <c r="E507" s="7"/>
      <c r="F507" s="7"/>
      <c r="G507" s="8"/>
      <c r="H507" s="8"/>
      <c r="I507" s="8"/>
      <c r="J507" s="9"/>
      <c r="K507" s="8"/>
    </row>
    <row r="508" spans="1:11" s="6" customFormat="1" x14ac:dyDescent="0.2">
      <c r="A508" s="5"/>
      <c r="C508" s="7"/>
      <c r="D508" s="7"/>
      <c r="E508" s="7"/>
      <c r="F508" s="7"/>
      <c r="G508" s="8"/>
      <c r="H508" s="8"/>
      <c r="I508" s="8"/>
      <c r="J508" s="9"/>
      <c r="K508" s="8"/>
    </row>
    <row r="509" spans="1:11" s="6" customFormat="1" x14ac:dyDescent="0.2">
      <c r="A509" s="5"/>
      <c r="C509" s="7"/>
      <c r="D509" s="7"/>
      <c r="E509" s="7"/>
      <c r="F509" s="7"/>
      <c r="G509" s="8"/>
      <c r="H509" s="8"/>
      <c r="I509" s="8"/>
      <c r="J509" s="9"/>
      <c r="K509" s="8"/>
    </row>
    <row r="510" spans="1:11" s="6" customFormat="1" x14ac:dyDescent="0.2">
      <c r="A510" s="5"/>
      <c r="C510" s="7"/>
      <c r="D510" s="7"/>
      <c r="E510" s="7"/>
      <c r="F510" s="7"/>
      <c r="G510" s="8"/>
      <c r="H510" s="8"/>
      <c r="I510" s="8"/>
      <c r="J510" s="9"/>
      <c r="K510" s="8"/>
    </row>
    <row r="511" spans="1:11" s="6" customFormat="1" x14ac:dyDescent="0.2">
      <c r="A511" s="5"/>
      <c r="C511" s="7"/>
      <c r="D511" s="7"/>
      <c r="E511" s="7"/>
      <c r="F511" s="7"/>
      <c r="G511" s="8"/>
      <c r="H511" s="8"/>
      <c r="I511" s="8"/>
      <c r="J511" s="9"/>
      <c r="K511" s="8"/>
    </row>
    <row r="512" spans="1:11" s="6" customFormat="1" x14ac:dyDescent="0.2">
      <c r="A512" s="5"/>
      <c r="C512" s="7"/>
      <c r="D512" s="7"/>
      <c r="E512" s="7"/>
      <c r="F512" s="7"/>
      <c r="G512" s="8"/>
      <c r="H512" s="8"/>
      <c r="I512" s="8"/>
      <c r="J512" s="9"/>
      <c r="K512" s="8"/>
    </row>
    <row r="513" spans="1:11" s="6" customFormat="1" x14ac:dyDescent="0.2">
      <c r="A513" s="5"/>
      <c r="C513" s="7"/>
      <c r="D513" s="7"/>
      <c r="E513" s="7"/>
      <c r="F513" s="7"/>
      <c r="G513" s="8"/>
      <c r="H513" s="8"/>
      <c r="I513" s="8"/>
      <c r="J513" s="9"/>
      <c r="K513" s="8"/>
    </row>
    <row r="514" spans="1:11" s="6" customFormat="1" x14ac:dyDescent="0.2">
      <c r="A514" s="5"/>
      <c r="C514" s="7"/>
      <c r="D514" s="7"/>
      <c r="E514" s="7"/>
      <c r="F514" s="7"/>
      <c r="G514" s="8"/>
      <c r="H514" s="8"/>
      <c r="I514" s="8"/>
      <c r="J514" s="9"/>
      <c r="K514" s="8"/>
    </row>
    <row r="515" spans="1:11" s="6" customFormat="1" x14ac:dyDescent="0.2">
      <c r="A515" s="5"/>
      <c r="C515" s="7"/>
      <c r="D515" s="7"/>
      <c r="E515" s="7"/>
      <c r="F515" s="7"/>
      <c r="G515" s="8"/>
      <c r="H515" s="8"/>
      <c r="I515" s="8"/>
      <c r="J515" s="9"/>
      <c r="K515" s="8"/>
    </row>
    <row r="516" spans="1:11" s="6" customFormat="1" x14ac:dyDescent="0.2">
      <c r="A516" s="5"/>
      <c r="C516" s="7"/>
      <c r="D516" s="7"/>
      <c r="E516" s="7"/>
      <c r="F516" s="7"/>
      <c r="G516" s="8"/>
      <c r="H516" s="8"/>
      <c r="I516" s="8"/>
      <c r="J516" s="9"/>
      <c r="K516" s="8"/>
    </row>
    <row r="517" spans="1:11" s="6" customFormat="1" x14ac:dyDescent="0.2">
      <c r="A517" s="5"/>
      <c r="C517" s="7"/>
      <c r="D517" s="7"/>
      <c r="E517" s="7"/>
      <c r="F517" s="7"/>
      <c r="G517" s="8"/>
      <c r="H517" s="8"/>
      <c r="I517" s="8"/>
      <c r="J517" s="9"/>
      <c r="K517" s="8"/>
    </row>
    <row r="518" spans="1:11" s="6" customFormat="1" x14ac:dyDescent="0.2">
      <c r="A518" s="5"/>
      <c r="C518" s="7"/>
      <c r="D518" s="7"/>
      <c r="E518" s="7"/>
      <c r="F518" s="7"/>
      <c r="G518" s="8"/>
      <c r="H518" s="8"/>
      <c r="I518" s="8"/>
      <c r="J518" s="9"/>
      <c r="K518" s="8"/>
    </row>
    <row r="519" spans="1:11" s="6" customFormat="1" x14ac:dyDescent="0.2">
      <c r="A519" s="5"/>
      <c r="C519" s="7"/>
      <c r="D519" s="7"/>
      <c r="E519" s="7"/>
      <c r="F519" s="7"/>
      <c r="G519" s="8"/>
      <c r="H519" s="8"/>
      <c r="I519" s="8"/>
      <c r="J519" s="9"/>
      <c r="K519" s="8"/>
    </row>
    <row r="520" spans="1:11" s="6" customFormat="1" x14ac:dyDescent="0.2">
      <c r="A520" s="5"/>
      <c r="C520" s="7"/>
      <c r="D520" s="7"/>
      <c r="E520" s="7"/>
      <c r="F520" s="7"/>
      <c r="G520" s="8"/>
      <c r="H520" s="8"/>
      <c r="I520" s="8"/>
      <c r="J520" s="9"/>
      <c r="K520" s="8"/>
    </row>
    <row r="521" spans="1:11" s="6" customFormat="1" x14ac:dyDescent="0.2">
      <c r="A521" s="5"/>
      <c r="C521" s="7"/>
      <c r="D521" s="7"/>
      <c r="E521" s="7"/>
      <c r="F521" s="7"/>
      <c r="G521" s="8"/>
      <c r="H521" s="8"/>
      <c r="I521" s="8"/>
      <c r="J521" s="9"/>
      <c r="K521" s="8"/>
    </row>
    <row r="522" spans="1:11" s="6" customFormat="1" x14ac:dyDescent="0.2">
      <c r="A522" s="5"/>
      <c r="C522" s="7"/>
      <c r="D522" s="7"/>
      <c r="E522" s="7"/>
      <c r="F522" s="7"/>
      <c r="G522" s="8"/>
      <c r="H522" s="8"/>
      <c r="I522" s="8"/>
      <c r="J522" s="9"/>
      <c r="K522" s="8"/>
    </row>
    <row r="523" spans="1:11" s="6" customFormat="1" x14ac:dyDescent="0.2">
      <c r="A523" s="5"/>
      <c r="C523" s="7"/>
      <c r="D523" s="7"/>
      <c r="E523" s="7"/>
      <c r="F523" s="7"/>
      <c r="G523" s="8"/>
      <c r="H523" s="8"/>
      <c r="I523" s="8"/>
      <c r="J523" s="9"/>
      <c r="K523" s="8"/>
    </row>
    <row r="524" spans="1:11" s="6" customFormat="1" x14ac:dyDescent="0.2">
      <c r="A524" s="5"/>
      <c r="C524" s="7"/>
      <c r="D524" s="7"/>
      <c r="E524" s="7"/>
      <c r="F524" s="7"/>
      <c r="G524" s="8"/>
      <c r="H524" s="8"/>
      <c r="I524" s="8"/>
      <c r="J524" s="9"/>
      <c r="K524" s="8"/>
    </row>
    <row r="525" spans="1:11" s="6" customFormat="1" x14ac:dyDescent="0.2">
      <c r="A525" s="5"/>
      <c r="C525" s="7"/>
      <c r="D525" s="7"/>
      <c r="E525" s="7"/>
      <c r="F525" s="7"/>
      <c r="G525" s="8"/>
      <c r="H525" s="8"/>
      <c r="I525" s="8"/>
      <c r="J525" s="9"/>
      <c r="K525" s="8"/>
    </row>
    <row r="526" spans="1:11" s="6" customFormat="1" x14ac:dyDescent="0.2">
      <c r="A526" s="5"/>
      <c r="C526" s="7"/>
      <c r="D526" s="7"/>
      <c r="E526" s="7"/>
      <c r="F526" s="7"/>
      <c r="G526" s="8"/>
      <c r="H526" s="8"/>
      <c r="I526" s="8"/>
      <c r="J526" s="9"/>
      <c r="K526" s="8"/>
    </row>
    <row r="527" spans="1:11" s="6" customFormat="1" x14ac:dyDescent="0.2">
      <c r="A527" s="5"/>
      <c r="C527" s="7"/>
      <c r="D527" s="7"/>
      <c r="E527" s="7"/>
      <c r="F527" s="7"/>
      <c r="G527" s="8"/>
      <c r="H527" s="8"/>
      <c r="I527" s="8"/>
      <c r="J527" s="9"/>
      <c r="K527" s="8"/>
    </row>
    <row r="528" spans="1:11" s="6" customFormat="1" x14ac:dyDescent="0.2">
      <c r="A528" s="5"/>
      <c r="C528" s="7"/>
      <c r="D528" s="7"/>
      <c r="E528" s="7"/>
      <c r="F528" s="7"/>
      <c r="G528" s="8"/>
      <c r="H528" s="8"/>
      <c r="I528" s="8"/>
      <c r="J528" s="9"/>
      <c r="K528" s="8"/>
    </row>
    <row r="529" spans="1:11" s="6" customFormat="1" x14ac:dyDescent="0.2">
      <c r="A529" s="5"/>
      <c r="C529" s="7"/>
      <c r="D529" s="7"/>
      <c r="E529" s="7"/>
      <c r="F529" s="7"/>
      <c r="G529" s="8"/>
      <c r="H529" s="8"/>
      <c r="I529" s="8"/>
      <c r="J529" s="9"/>
      <c r="K529" s="8"/>
    </row>
    <row r="530" spans="1:11" s="6" customFormat="1" x14ac:dyDescent="0.2">
      <c r="A530" s="5"/>
      <c r="C530" s="7"/>
      <c r="D530" s="7"/>
      <c r="E530" s="7"/>
      <c r="F530" s="7"/>
      <c r="G530" s="8"/>
      <c r="H530" s="8"/>
      <c r="I530" s="8"/>
      <c r="J530" s="9"/>
      <c r="K530" s="8"/>
    </row>
    <row r="531" spans="1:11" s="6" customFormat="1" x14ac:dyDescent="0.2">
      <c r="A531" s="5"/>
      <c r="C531" s="7"/>
      <c r="D531" s="7"/>
      <c r="E531" s="7"/>
      <c r="F531" s="7"/>
      <c r="G531" s="8"/>
      <c r="H531" s="8"/>
      <c r="I531" s="8"/>
      <c r="J531" s="9"/>
      <c r="K531" s="8"/>
    </row>
    <row r="532" spans="1:11" s="6" customFormat="1" x14ac:dyDescent="0.2">
      <c r="A532" s="5"/>
      <c r="C532" s="7"/>
      <c r="D532" s="7"/>
      <c r="E532" s="7"/>
      <c r="F532" s="7"/>
      <c r="G532" s="8"/>
      <c r="H532" s="8"/>
      <c r="I532" s="8"/>
      <c r="J532" s="9"/>
      <c r="K532" s="8"/>
    </row>
    <row r="533" spans="1:11" s="6" customFormat="1" x14ac:dyDescent="0.2">
      <c r="A533" s="5"/>
      <c r="C533" s="7"/>
      <c r="D533" s="7"/>
      <c r="E533" s="7"/>
      <c r="F533" s="7"/>
      <c r="G533" s="8"/>
      <c r="H533" s="8"/>
      <c r="I533" s="8"/>
      <c r="J533" s="9"/>
      <c r="K533" s="8"/>
    </row>
    <row r="534" spans="1:11" s="6" customFormat="1" x14ac:dyDescent="0.2">
      <c r="A534" s="5"/>
      <c r="C534" s="7"/>
      <c r="D534" s="7"/>
      <c r="E534" s="7"/>
      <c r="F534" s="7"/>
      <c r="G534" s="8"/>
      <c r="H534" s="8"/>
      <c r="I534" s="8"/>
      <c r="J534" s="9"/>
      <c r="K534" s="8"/>
    </row>
    <row r="535" spans="1:11" s="6" customFormat="1" x14ac:dyDescent="0.2">
      <c r="A535" s="5"/>
      <c r="C535" s="7"/>
      <c r="D535" s="7"/>
      <c r="E535" s="7"/>
      <c r="F535" s="7"/>
      <c r="G535" s="8"/>
      <c r="H535" s="8"/>
      <c r="I535" s="8"/>
      <c r="J535" s="9"/>
      <c r="K535" s="8"/>
    </row>
    <row r="536" spans="1:11" s="6" customFormat="1" x14ac:dyDescent="0.2">
      <c r="A536" s="5"/>
      <c r="C536" s="7"/>
      <c r="D536" s="7"/>
      <c r="E536" s="7"/>
      <c r="F536" s="7"/>
      <c r="G536" s="8"/>
      <c r="H536" s="8"/>
      <c r="I536" s="8"/>
      <c r="J536" s="9"/>
      <c r="K536" s="8"/>
    </row>
    <row r="537" spans="1:11" s="6" customFormat="1" x14ac:dyDescent="0.2">
      <c r="A537" s="5"/>
      <c r="C537" s="7"/>
      <c r="D537" s="7"/>
      <c r="E537" s="7"/>
      <c r="F537" s="7"/>
      <c r="G537" s="8"/>
      <c r="H537" s="8"/>
      <c r="I537" s="8"/>
      <c r="J537" s="9"/>
      <c r="K537" s="8"/>
    </row>
    <row r="538" spans="1:11" s="6" customFormat="1" x14ac:dyDescent="0.2">
      <c r="A538" s="5"/>
      <c r="C538" s="7"/>
      <c r="D538" s="7"/>
      <c r="E538" s="7"/>
      <c r="F538" s="7"/>
      <c r="G538" s="8"/>
      <c r="H538" s="8"/>
      <c r="I538" s="8"/>
      <c r="J538" s="9"/>
      <c r="K538" s="8"/>
    </row>
    <row r="539" spans="1:11" s="6" customFormat="1" x14ac:dyDescent="0.2">
      <c r="A539" s="5"/>
      <c r="C539" s="7"/>
      <c r="D539" s="7"/>
      <c r="E539" s="7"/>
      <c r="F539" s="7"/>
      <c r="G539" s="8"/>
      <c r="H539" s="8"/>
      <c r="I539" s="8"/>
      <c r="J539" s="9"/>
      <c r="K539" s="8"/>
    </row>
    <row r="540" spans="1:11" s="6" customFormat="1" x14ac:dyDescent="0.2">
      <c r="A540" s="5"/>
      <c r="C540" s="7"/>
      <c r="D540" s="7"/>
      <c r="E540" s="7"/>
      <c r="F540" s="7"/>
      <c r="G540" s="8"/>
      <c r="H540" s="8"/>
      <c r="I540" s="8"/>
      <c r="J540" s="9"/>
      <c r="K540" s="8"/>
    </row>
    <row r="541" spans="1:11" s="6" customFormat="1" x14ac:dyDescent="0.2">
      <c r="A541" s="5"/>
      <c r="C541" s="7"/>
      <c r="D541" s="7"/>
      <c r="E541" s="7"/>
      <c r="F541" s="7"/>
      <c r="G541" s="8"/>
      <c r="H541" s="8"/>
      <c r="I541" s="8"/>
      <c r="J541" s="9"/>
      <c r="K541" s="8"/>
    </row>
    <row r="542" spans="1:11" s="6" customFormat="1" x14ac:dyDescent="0.2">
      <c r="A542" s="5"/>
      <c r="C542" s="7"/>
      <c r="D542" s="7"/>
      <c r="E542" s="7"/>
      <c r="F542" s="7"/>
      <c r="G542" s="8"/>
      <c r="H542" s="8"/>
      <c r="I542" s="8"/>
      <c r="J542" s="9"/>
      <c r="K542" s="8"/>
    </row>
    <row r="543" spans="1:11" s="6" customFormat="1" x14ac:dyDescent="0.2">
      <c r="A543" s="5"/>
      <c r="C543" s="7"/>
      <c r="D543" s="7"/>
      <c r="E543" s="7"/>
      <c r="F543" s="7"/>
      <c r="G543" s="8"/>
      <c r="H543" s="8"/>
      <c r="I543" s="8"/>
      <c r="J543" s="9"/>
      <c r="K543" s="8"/>
    </row>
    <row r="544" spans="1:11" s="6" customFormat="1" x14ac:dyDescent="0.2">
      <c r="A544" s="5"/>
      <c r="C544" s="7"/>
      <c r="D544" s="7"/>
      <c r="E544" s="7"/>
      <c r="F544" s="7"/>
      <c r="G544" s="8"/>
      <c r="H544" s="8"/>
      <c r="I544" s="8"/>
      <c r="J544" s="9"/>
      <c r="K544" s="8"/>
    </row>
    <row r="545" spans="1:11" s="6" customFormat="1" x14ac:dyDescent="0.2">
      <c r="A545" s="5"/>
      <c r="C545" s="7"/>
      <c r="D545" s="7"/>
      <c r="E545" s="7"/>
      <c r="F545" s="7"/>
      <c r="G545" s="8"/>
      <c r="H545" s="8"/>
      <c r="I545" s="8"/>
      <c r="J545" s="9"/>
      <c r="K545" s="8"/>
    </row>
    <row r="546" spans="1:11" s="6" customFormat="1" x14ac:dyDescent="0.2">
      <c r="A546" s="5"/>
      <c r="C546" s="7"/>
      <c r="D546" s="7"/>
      <c r="E546" s="7"/>
      <c r="F546" s="7"/>
      <c r="G546" s="8"/>
      <c r="H546" s="8"/>
      <c r="I546" s="8"/>
      <c r="J546" s="9"/>
      <c r="K546" s="8"/>
    </row>
    <row r="547" spans="1:11" s="6" customFormat="1" x14ac:dyDescent="0.2">
      <c r="A547" s="5"/>
      <c r="C547" s="7"/>
      <c r="D547" s="7"/>
      <c r="E547" s="7"/>
      <c r="F547" s="7"/>
      <c r="G547" s="8"/>
      <c r="H547" s="8"/>
      <c r="I547" s="8"/>
      <c r="J547" s="9"/>
      <c r="K547" s="8"/>
    </row>
    <row r="548" spans="1:11" s="6" customFormat="1" x14ac:dyDescent="0.2">
      <c r="A548" s="5"/>
      <c r="C548" s="7"/>
      <c r="D548" s="7"/>
      <c r="E548" s="7"/>
      <c r="F548" s="7"/>
      <c r="G548" s="8"/>
      <c r="H548" s="8"/>
      <c r="I548" s="8"/>
      <c r="J548" s="9"/>
      <c r="K548" s="8"/>
    </row>
    <row r="549" spans="1:11" s="6" customFormat="1" x14ac:dyDescent="0.2">
      <c r="A549" s="5"/>
      <c r="C549" s="7"/>
      <c r="D549" s="7"/>
      <c r="E549" s="7"/>
      <c r="F549" s="7"/>
      <c r="G549" s="8"/>
      <c r="H549" s="8"/>
      <c r="I549" s="8"/>
      <c r="J549" s="9"/>
      <c r="K549" s="8"/>
    </row>
    <row r="550" spans="1:11" s="6" customFormat="1" x14ac:dyDescent="0.2">
      <c r="A550" s="5"/>
      <c r="C550" s="7"/>
      <c r="D550" s="7"/>
      <c r="E550" s="7"/>
      <c r="F550" s="7"/>
      <c r="G550" s="8"/>
      <c r="H550" s="8"/>
      <c r="I550" s="8"/>
      <c r="J550" s="9"/>
      <c r="K550" s="8"/>
    </row>
    <row r="551" spans="1:11" s="6" customFormat="1" x14ac:dyDescent="0.2">
      <c r="A551" s="5"/>
      <c r="C551" s="7"/>
      <c r="D551" s="7"/>
      <c r="E551" s="7"/>
      <c r="F551" s="7"/>
      <c r="G551" s="8"/>
      <c r="H551" s="8"/>
      <c r="I551" s="8"/>
      <c r="J551" s="9"/>
      <c r="K551" s="8"/>
    </row>
    <row r="552" spans="1:11" s="6" customFormat="1" x14ac:dyDescent="0.2">
      <c r="A552" s="5"/>
      <c r="C552" s="7"/>
      <c r="D552" s="7"/>
      <c r="E552" s="7"/>
      <c r="F552" s="7"/>
      <c r="G552" s="8"/>
      <c r="H552" s="8"/>
      <c r="I552" s="8"/>
      <c r="J552" s="9"/>
      <c r="K552" s="8"/>
    </row>
    <row r="553" spans="1:11" s="6" customFormat="1" x14ac:dyDescent="0.2">
      <c r="A553" s="5"/>
      <c r="C553" s="7"/>
      <c r="D553" s="7"/>
      <c r="E553" s="7"/>
      <c r="F553" s="7"/>
      <c r="G553" s="8"/>
      <c r="H553" s="8"/>
      <c r="I553" s="8"/>
      <c r="J553" s="9"/>
      <c r="K553" s="8"/>
    </row>
    <row r="554" spans="1:11" s="6" customFormat="1" x14ac:dyDescent="0.2">
      <c r="A554" s="5"/>
      <c r="C554" s="7"/>
      <c r="D554" s="7"/>
      <c r="E554" s="7"/>
      <c r="F554" s="7"/>
      <c r="G554" s="8"/>
      <c r="H554" s="8"/>
      <c r="I554" s="8"/>
      <c r="J554" s="9"/>
      <c r="K554" s="8"/>
    </row>
    <row r="555" spans="1:11" s="6" customFormat="1" x14ac:dyDescent="0.2">
      <c r="A555" s="5"/>
      <c r="C555" s="7"/>
      <c r="D555" s="7"/>
      <c r="E555" s="7"/>
      <c r="F555" s="7"/>
      <c r="G555" s="8"/>
      <c r="H555" s="8"/>
      <c r="I555" s="8"/>
      <c r="J555" s="9"/>
      <c r="K555" s="8"/>
    </row>
    <row r="556" spans="1:11" s="6" customFormat="1" x14ac:dyDescent="0.2">
      <c r="A556" s="5"/>
      <c r="C556" s="7"/>
      <c r="D556" s="7"/>
      <c r="E556" s="7"/>
      <c r="F556" s="7"/>
      <c r="G556" s="8"/>
      <c r="H556" s="8"/>
      <c r="I556" s="8"/>
      <c r="J556" s="9"/>
      <c r="K556" s="8"/>
    </row>
    <row r="557" spans="1:11" s="6" customFormat="1" x14ac:dyDescent="0.2">
      <c r="A557" s="5"/>
      <c r="C557" s="7"/>
      <c r="D557" s="7"/>
      <c r="E557" s="7"/>
      <c r="F557" s="7"/>
      <c r="G557" s="8"/>
      <c r="H557" s="8"/>
      <c r="I557" s="8"/>
      <c r="J557" s="9"/>
      <c r="K557" s="8"/>
    </row>
    <row r="558" spans="1:11" s="6" customFormat="1" x14ac:dyDescent="0.2">
      <c r="A558" s="5"/>
      <c r="C558" s="7"/>
      <c r="D558" s="7"/>
      <c r="E558" s="7"/>
      <c r="F558" s="7"/>
      <c r="G558" s="8"/>
      <c r="H558" s="8"/>
      <c r="I558" s="8"/>
      <c r="J558" s="9"/>
      <c r="K558" s="8"/>
    </row>
    <row r="559" spans="1:11" s="6" customFormat="1" x14ac:dyDescent="0.2">
      <c r="A559" s="5"/>
      <c r="C559" s="7"/>
      <c r="D559" s="7"/>
      <c r="E559" s="7"/>
      <c r="F559" s="7"/>
      <c r="G559" s="8"/>
      <c r="H559" s="8"/>
      <c r="I559" s="8"/>
      <c r="J559" s="9"/>
      <c r="K559" s="8"/>
    </row>
    <row r="560" spans="1:11" s="6" customFormat="1" x14ac:dyDescent="0.2">
      <c r="A560" s="5"/>
      <c r="C560" s="7"/>
      <c r="D560" s="7"/>
      <c r="E560" s="7"/>
      <c r="F560" s="7"/>
      <c r="G560" s="8"/>
      <c r="H560" s="8"/>
      <c r="I560" s="8"/>
      <c r="J560" s="9"/>
      <c r="K560" s="8"/>
    </row>
    <row r="561" spans="1:11" s="6" customFormat="1" x14ac:dyDescent="0.2">
      <c r="A561" s="5"/>
      <c r="C561" s="7"/>
      <c r="D561" s="7"/>
      <c r="E561" s="7"/>
      <c r="F561" s="7"/>
      <c r="G561" s="8"/>
      <c r="H561" s="8"/>
      <c r="I561" s="8"/>
      <c r="J561" s="9"/>
      <c r="K561" s="8"/>
    </row>
    <row r="562" spans="1:11" s="6" customFormat="1" x14ac:dyDescent="0.2">
      <c r="A562" s="5"/>
      <c r="C562" s="7"/>
      <c r="D562" s="7"/>
      <c r="E562" s="7"/>
      <c r="F562" s="7"/>
      <c r="G562" s="8"/>
      <c r="H562" s="8"/>
      <c r="I562" s="8"/>
      <c r="J562" s="9"/>
      <c r="K562" s="8"/>
    </row>
    <row r="563" spans="1:11" s="6" customFormat="1" x14ac:dyDescent="0.2">
      <c r="A563" s="5"/>
      <c r="C563" s="7"/>
      <c r="D563" s="7"/>
      <c r="E563" s="7"/>
      <c r="F563" s="7"/>
      <c r="G563" s="8"/>
      <c r="H563" s="8"/>
      <c r="I563" s="8"/>
      <c r="J563" s="9"/>
      <c r="K563" s="8"/>
    </row>
    <row r="564" spans="1:11" s="6" customFormat="1" x14ac:dyDescent="0.2">
      <c r="A564" s="5"/>
      <c r="C564" s="7"/>
      <c r="D564" s="7"/>
      <c r="E564" s="7"/>
      <c r="F564" s="7"/>
      <c r="G564" s="8"/>
      <c r="H564" s="8"/>
      <c r="I564" s="8"/>
      <c r="J564" s="9"/>
      <c r="K564" s="8"/>
    </row>
    <row r="565" spans="1:11" s="6" customFormat="1" x14ac:dyDescent="0.2">
      <c r="A565" s="5"/>
      <c r="C565" s="7"/>
      <c r="D565" s="7"/>
      <c r="E565" s="7"/>
      <c r="F565" s="7"/>
      <c r="G565" s="8"/>
      <c r="H565" s="8"/>
      <c r="I565" s="8"/>
      <c r="J565" s="9"/>
      <c r="K565" s="8"/>
    </row>
    <row r="566" spans="1:11" s="6" customFormat="1" x14ac:dyDescent="0.2">
      <c r="A566" s="5"/>
      <c r="C566" s="7"/>
      <c r="D566" s="7"/>
      <c r="E566" s="7"/>
      <c r="F566" s="7"/>
      <c r="G566" s="8"/>
      <c r="H566" s="8"/>
      <c r="I566" s="8"/>
      <c r="J566" s="9"/>
      <c r="K566" s="8"/>
    </row>
    <row r="567" spans="1:11" s="6" customFormat="1" x14ac:dyDescent="0.2">
      <c r="A567" s="5"/>
      <c r="C567" s="7"/>
      <c r="D567" s="7"/>
      <c r="E567" s="7"/>
      <c r="F567" s="7"/>
      <c r="G567" s="8"/>
      <c r="H567" s="8"/>
      <c r="I567" s="8"/>
      <c r="J567" s="9"/>
      <c r="K567" s="8"/>
    </row>
    <row r="568" spans="1:11" s="6" customFormat="1" x14ac:dyDescent="0.2">
      <c r="A568" s="5"/>
      <c r="C568" s="7"/>
      <c r="D568" s="7"/>
      <c r="E568" s="7"/>
      <c r="F568" s="7"/>
      <c r="G568" s="8"/>
      <c r="H568" s="8"/>
      <c r="I568" s="8"/>
      <c r="J568" s="9"/>
      <c r="K568" s="8"/>
    </row>
    <row r="569" spans="1:11" s="6" customFormat="1" x14ac:dyDescent="0.2">
      <c r="A569" s="5"/>
      <c r="C569" s="7"/>
      <c r="D569" s="7"/>
      <c r="E569" s="7"/>
      <c r="F569" s="7"/>
      <c r="G569" s="8"/>
      <c r="H569" s="8"/>
      <c r="I569" s="8"/>
      <c r="J569" s="9"/>
      <c r="K569" s="8"/>
    </row>
    <row r="570" spans="1:11" s="6" customFormat="1" x14ac:dyDescent="0.2">
      <c r="A570" s="5"/>
      <c r="C570" s="7"/>
      <c r="D570" s="7"/>
      <c r="E570" s="7"/>
      <c r="F570" s="7"/>
      <c r="G570" s="8"/>
      <c r="H570" s="8"/>
      <c r="I570" s="8"/>
      <c r="J570" s="9"/>
      <c r="K570" s="8"/>
    </row>
    <row r="571" spans="1:11" s="6" customFormat="1" x14ac:dyDescent="0.2">
      <c r="A571" s="5"/>
      <c r="C571" s="7"/>
      <c r="D571" s="7"/>
      <c r="E571" s="7"/>
      <c r="F571" s="7"/>
      <c r="G571" s="8"/>
      <c r="H571" s="8"/>
      <c r="I571" s="8"/>
      <c r="J571" s="9"/>
      <c r="K571" s="8"/>
    </row>
    <row r="572" spans="1:11" s="6" customFormat="1" x14ac:dyDescent="0.2">
      <c r="A572" s="5"/>
      <c r="C572" s="7"/>
      <c r="D572" s="7"/>
      <c r="E572" s="7"/>
      <c r="F572" s="7"/>
      <c r="G572" s="8"/>
      <c r="H572" s="8"/>
      <c r="I572" s="8"/>
      <c r="J572" s="9"/>
      <c r="K572" s="8"/>
    </row>
    <row r="573" spans="1:11" s="6" customFormat="1" x14ac:dyDescent="0.2">
      <c r="A573" s="5"/>
      <c r="C573" s="7"/>
      <c r="D573" s="7"/>
      <c r="E573" s="7"/>
      <c r="F573" s="7"/>
      <c r="G573" s="8"/>
      <c r="H573" s="8"/>
      <c r="I573" s="8"/>
      <c r="J573" s="9"/>
      <c r="K573" s="8"/>
    </row>
    <row r="574" spans="1:11" s="6" customFormat="1" x14ac:dyDescent="0.2">
      <c r="A574" s="5"/>
      <c r="C574" s="7"/>
      <c r="D574" s="7"/>
      <c r="E574" s="7"/>
      <c r="F574" s="7"/>
      <c r="G574" s="8"/>
      <c r="H574" s="8"/>
      <c r="I574" s="8"/>
      <c r="J574" s="9"/>
      <c r="K574" s="8"/>
    </row>
    <row r="575" spans="1:11" s="6" customFormat="1" x14ac:dyDescent="0.2">
      <c r="A575" s="5"/>
      <c r="C575" s="7"/>
      <c r="D575" s="7"/>
      <c r="E575" s="7"/>
      <c r="F575" s="7"/>
      <c r="G575" s="8"/>
      <c r="H575" s="8"/>
      <c r="I575" s="8"/>
      <c r="J575" s="9"/>
      <c r="K575" s="8"/>
    </row>
    <row r="576" spans="1:11" s="6" customFormat="1" x14ac:dyDescent="0.2">
      <c r="A576" s="5"/>
      <c r="C576" s="7"/>
      <c r="D576" s="7"/>
      <c r="E576" s="7"/>
      <c r="F576" s="7"/>
      <c r="G576" s="8"/>
      <c r="H576" s="8"/>
      <c r="I576" s="8"/>
      <c r="J576" s="9"/>
      <c r="K576" s="8"/>
    </row>
    <row r="577" spans="1:11" s="6" customFormat="1" x14ac:dyDescent="0.2">
      <c r="A577" s="5"/>
      <c r="C577" s="7"/>
      <c r="D577" s="7"/>
      <c r="E577" s="7"/>
      <c r="F577" s="7"/>
      <c r="G577" s="8"/>
      <c r="H577" s="8"/>
      <c r="I577" s="8"/>
      <c r="J577" s="9"/>
      <c r="K577" s="8"/>
    </row>
    <row r="578" spans="1:11" s="6" customFormat="1" x14ac:dyDescent="0.2">
      <c r="A578" s="5"/>
      <c r="C578" s="7"/>
      <c r="D578" s="7"/>
      <c r="E578" s="7"/>
      <c r="F578" s="7"/>
      <c r="G578" s="8"/>
      <c r="H578" s="8"/>
      <c r="I578" s="8"/>
      <c r="J578" s="9"/>
      <c r="K578" s="8"/>
    </row>
    <row r="579" spans="1:11" s="6" customFormat="1" x14ac:dyDescent="0.2">
      <c r="A579" s="5"/>
      <c r="C579" s="7"/>
      <c r="D579" s="7"/>
      <c r="E579" s="7"/>
      <c r="F579" s="7"/>
      <c r="G579" s="8"/>
      <c r="H579" s="8"/>
      <c r="I579" s="8"/>
      <c r="J579" s="9"/>
      <c r="K579" s="8"/>
    </row>
    <row r="580" spans="1:11" s="6" customFormat="1" x14ac:dyDescent="0.2">
      <c r="A580" s="5"/>
      <c r="C580" s="7"/>
      <c r="D580" s="7"/>
      <c r="E580" s="7"/>
      <c r="F580" s="7"/>
      <c r="G580" s="8"/>
      <c r="H580" s="8"/>
      <c r="I580" s="8"/>
      <c r="J580" s="9"/>
      <c r="K580" s="8"/>
    </row>
    <row r="581" spans="1:11" s="6" customFormat="1" x14ac:dyDescent="0.2">
      <c r="A581" s="5"/>
      <c r="C581" s="7"/>
      <c r="D581" s="7"/>
      <c r="E581" s="7"/>
      <c r="F581" s="7"/>
      <c r="G581" s="8"/>
      <c r="H581" s="8"/>
      <c r="I581" s="8"/>
      <c r="J581" s="9"/>
      <c r="K581" s="8"/>
    </row>
    <row r="582" spans="1:11" s="6" customFormat="1" x14ac:dyDescent="0.2">
      <c r="A582" s="5"/>
      <c r="C582" s="7"/>
      <c r="D582" s="7"/>
      <c r="E582" s="7"/>
      <c r="F582" s="7"/>
      <c r="G582" s="8"/>
      <c r="H582" s="8"/>
      <c r="I582" s="8"/>
      <c r="J582" s="9"/>
      <c r="K582" s="8"/>
    </row>
    <row r="583" spans="1:11" s="6" customFormat="1" x14ac:dyDescent="0.2">
      <c r="A583" s="5"/>
      <c r="C583" s="7"/>
      <c r="D583" s="7"/>
      <c r="E583" s="7"/>
      <c r="F583" s="7"/>
      <c r="G583" s="8"/>
      <c r="H583" s="8"/>
      <c r="I583" s="8"/>
      <c r="J583" s="9"/>
      <c r="K583" s="8"/>
    </row>
    <row r="584" spans="1:11" s="6" customFormat="1" x14ac:dyDescent="0.2">
      <c r="A584" s="5"/>
      <c r="C584" s="7"/>
      <c r="D584" s="7"/>
      <c r="E584" s="7"/>
      <c r="F584" s="7"/>
      <c r="G584" s="8"/>
      <c r="H584" s="8"/>
      <c r="I584" s="8"/>
      <c r="J584" s="9"/>
      <c r="K584" s="8"/>
    </row>
    <row r="585" spans="1:11" s="6" customFormat="1" x14ac:dyDescent="0.2">
      <c r="A585" s="5"/>
      <c r="C585" s="7"/>
      <c r="D585" s="7"/>
      <c r="E585" s="7"/>
      <c r="F585" s="7"/>
      <c r="G585" s="8"/>
      <c r="H585" s="8"/>
      <c r="I585" s="8"/>
      <c r="J585" s="9"/>
      <c r="K585" s="8"/>
    </row>
    <row r="586" spans="1:11" s="6" customFormat="1" x14ac:dyDescent="0.2">
      <c r="A586" s="5"/>
      <c r="C586" s="7"/>
      <c r="D586" s="7"/>
      <c r="E586" s="7"/>
      <c r="F586" s="7"/>
      <c r="G586" s="8"/>
      <c r="H586" s="8"/>
      <c r="I586" s="8"/>
      <c r="J586" s="9"/>
      <c r="K586" s="8"/>
    </row>
    <row r="587" spans="1:11" s="6" customFormat="1" x14ac:dyDescent="0.2">
      <c r="A587" s="5"/>
      <c r="C587" s="7"/>
      <c r="D587" s="7"/>
      <c r="E587" s="7"/>
      <c r="F587" s="7"/>
      <c r="G587" s="8"/>
      <c r="H587" s="8"/>
      <c r="I587" s="8"/>
      <c r="J587" s="9"/>
      <c r="K587" s="8"/>
    </row>
    <row r="588" spans="1:11" s="6" customFormat="1" x14ac:dyDescent="0.2">
      <c r="A588" s="5"/>
      <c r="C588" s="7"/>
      <c r="D588" s="7"/>
      <c r="E588" s="7"/>
      <c r="F588" s="7"/>
      <c r="G588" s="8"/>
      <c r="H588" s="8"/>
      <c r="I588" s="8"/>
      <c r="J588" s="9"/>
      <c r="K588" s="8"/>
    </row>
    <row r="589" spans="1:11" s="6" customFormat="1" x14ac:dyDescent="0.2">
      <c r="A589" s="5"/>
      <c r="C589" s="7"/>
      <c r="D589" s="7"/>
      <c r="E589" s="7"/>
      <c r="F589" s="7"/>
      <c r="G589" s="8"/>
      <c r="H589" s="8"/>
      <c r="I589" s="8"/>
      <c r="J589" s="9"/>
      <c r="K589" s="8"/>
    </row>
    <row r="590" spans="1:11" s="6" customFormat="1" x14ac:dyDescent="0.2">
      <c r="A590" s="5"/>
      <c r="C590" s="7"/>
      <c r="D590" s="7"/>
      <c r="E590" s="7"/>
      <c r="F590" s="7"/>
      <c r="G590" s="8"/>
      <c r="H590" s="8"/>
      <c r="I590" s="8"/>
      <c r="J590" s="9"/>
      <c r="K590" s="8"/>
    </row>
    <row r="591" spans="1:11" s="6" customFormat="1" x14ac:dyDescent="0.2">
      <c r="A591" s="5"/>
      <c r="C591" s="7"/>
      <c r="D591" s="7"/>
      <c r="E591" s="7"/>
      <c r="F591" s="7"/>
      <c r="G591" s="8"/>
      <c r="H591" s="8"/>
      <c r="I591" s="8"/>
      <c r="J591" s="9"/>
      <c r="K591" s="8"/>
    </row>
    <row r="592" spans="1:11" s="6" customFormat="1" x14ac:dyDescent="0.2">
      <c r="A592" s="5"/>
      <c r="C592" s="7"/>
      <c r="D592" s="7"/>
      <c r="E592" s="7"/>
      <c r="F592" s="7"/>
      <c r="G592" s="8"/>
      <c r="H592" s="8"/>
      <c r="I592" s="8"/>
      <c r="J592" s="9"/>
      <c r="K592" s="8"/>
    </row>
    <row r="593" spans="1:11" s="6" customFormat="1" x14ac:dyDescent="0.2">
      <c r="A593" s="5"/>
      <c r="C593" s="7"/>
      <c r="D593" s="7"/>
      <c r="E593" s="7"/>
      <c r="F593" s="7"/>
      <c r="G593" s="8"/>
      <c r="H593" s="8"/>
      <c r="I593" s="8"/>
      <c r="J593" s="9"/>
      <c r="K593" s="8"/>
    </row>
    <row r="594" spans="1:11" s="6" customFormat="1" x14ac:dyDescent="0.2">
      <c r="A594" s="5"/>
      <c r="C594" s="7"/>
      <c r="D594" s="7"/>
      <c r="E594" s="7"/>
      <c r="F594" s="7"/>
      <c r="G594" s="8"/>
      <c r="H594" s="8"/>
      <c r="I594" s="8"/>
      <c r="J594" s="9"/>
      <c r="K594" s="8"/>
    </row>
    <row r="595" spans="1:11" s="6" customFormat="1" x14ac:dyDescent="0.2">
      <c r="A595" s="5"/>
      <c r="C595" s="7"/>
      <c r="D595" s="7"/>
      <c r="E595" s="7"/>
      <c r="F595" s="7"/>
      <c r="G595" s="8"/>
      <c r="H595" s="8"/>
      <c r="I595" s="8"/>
      <c r="J595" s="9"/>
      <c r="K595" s="8"/>
    </row>
    <row r="596" spans="1:11" s="6" customFormat="1" x14ac:dyDescent="0.2">
      <c r="A596" s="5"/>
      <c r="C596" s="7"/>
      <c r="D596" s="7"/>
      <c r="E596" s="7"/>
      <c r="F596" s="7"/>
      <c r="G596" s="8"/>
      <c r="H596" s="8"/>
      <c r="I596" s="8"/>
      <c r="J596" s="9"/>
      <c r="K596" s="8"/>
    </row>
    <row r="597" spans="1:11" s="6" customFormat="1" x14ac:dyDescent="0.2">
      <c r="A597" s="5"/>
      <c r="C597" s="7"/>
      <c r="D597" s="7"/>
      <c r="E597" s="7"/>
      <c r="F597" s="7"/>
      <c r="G597" s="8"/>
      <c r="H597" s="8"/>
      <c r="I597" s="8"/>
      <c r="J597" s="9"/>
      <c r="K597" s="8"/>
    </row>
    <row r="598" spans="1:11" s="6" customFormat="1" x14ac:dyDescent="0.2">
      <c r="A598" s="5"/>
      <c r="C598" s="7"/>
      <c r="D598" s="7"/>
      <c r="E598" s="7"/>
      <c r="F598" s="7"/>
      <c r="G598" s="8"/>
      <c r="H598" s="8"/>
      <c r="I598" s="8"/>
      <c r="J598" s="9"/>
      <c r="K598" s="8"/>
    </row>
    <row r="599" spans="1:11" s="6" customFormat="1" x14ac:dyDescent="0.2">
      <c r="A599" s="5"/>
      <c r="C599" s="7"/>
      <c r="D599" s="7"/>
      <c r="E599" s="7"/>
      <c r="F599" s="7"/>
      <c r="G599" s="8"/>
      <c r="H599" s="8"/>
      <c r="I599" s="8"/>
      <c r="J599" s="9"/>
      <c r="K599" s="8"/>
    </row>
    <row r="600" spans="1:11" s="6" customFormat="1" x14ac:dyDescent="0.2">
      <c r="A600" s="5"/>
      <c r="C600" s="7"/>
      <c r="D600" s="7"/>
      <c r="E600" s="7"/>
      <c r="F600" s="7"/>
      <c r="G600" s="8"/>
      <c r="H600" s="8"/>
      <c r="I600" s="8"/>
      <c r="J600" s="9"/>
      <c r="K600" s="8"/>
    </row>
    <row r="601" spans="1:11" s="6" customFormat="1" x14ac:dyDescent="0.2">
      <c r="A601" s="5"/>
      <c r="C601" s="7"/>
      <c r="D601" s="7"/>
      <c r="E601" s="7"/>
      <c r="F601" s="7"/>
      <c r="G601" s="8"/>
      <c r="H601" s="8"/>
      <c r="I601" s="8"/>
      <c r="J601" s="9"/>
      <c r="K601" s="8"/>
    </row>
    <row r="602" spans="1:11" s="6" customFormat="1" x14ac:dyDescent="0.2">
      <c r="A602" s="5"/>
      <c r="C602" s="7"/>
      <c r="D602" s="7"/>
      <c r="E602" s="7"/>
      <c r="F602" s="7"/>
      <c r="G602" s="8"/>
      <c r="H602" s="8"/>
      <c r="I602" s="8"/>
      <c r="J602" s="9"/>
      <c r="K602" s="8"/>
    </row>
    <row r="603" spans="1:11" s="6" customFormat="1" x14ac:dyDescent="0.2">
      <c r="A603" s="5"/>
      <c r="C603" s="7"/>
      <c r="D603" s="7"/>
      <c r="E603" s="7"/>
      <c r="F603" s="7"/>
      <c r="G603" s="8"/>
      <c r="H603" s="8"/>
      <c r="I603" s="8"/>
      <c r="J603" s="9"/>
      <c r="K603" s="8"/>
    </row>
    <row r="604" spans="1:11" s="6" customFormat="1" x14ac:dyDescent="0.2">
      <c r="A604" s="5"/>
      <c r="C604" s="7"/>
      <c r="D604" s="7"/>
      <c r="E604" s="7"/>
      <c r="F604" s="7"/>
      <c r="G604" s="8"/>
      <c r="H604" s="8"/>
      <c r="I604" s="8"/>
      <c r="J604" s="9"/>
      <c r="K604" s="8"/>
    </row>
    <row r="605" spans="1:11" s="6" customFormat="1" x14ac:dyDescent="0.2">
      <c r="A605" s="5"/>
      <c r="C605" s="7"/>
      <c r="D605" s="7"/>
      <c r="E605" s="7"/>
      <c r="F605" s="7"/>
      <c r="G605" s="8"/>
      <c r="H605" s="8"/>
      <c r="I605" s="8"/>
      <c r="J605" s="9"/>
      <c r="K605" s="8"/>
    </row>
    <row r="606" spans="1:11" s="6" customFormat="1" x14ac:dyDescent="0.2">
      <c r="A606" s="5"/>
      <c r="C606" s="7"/>
      <c r="D606" s="7"/>
      <c r="E606" s="7"/>
      <c r="F606" s="7"/>
      <c r="G606" s="8"/>
      <c r="H606" s="8"/>
      <c r="I606" s="8"/>
      <c r="J606" s="9"/>
      <c r="K606" s="8"/>
    </row>
    <row r="607" spans="1:11" s="6" customFormat="1" x14ac:dyDescent="0.2">
      <c r="A607" s="5"/>
      <c r="C607" s="7"/>
      <c r="D607" s="7"/>
      <c r="E607" s="7"/>
      <c r="F607" s="7"/>
      <c r="G607" s="8"/>
      <c r="H607" s="8"/>
      <c r="I607" s="8"/>
      <c r="J607" s="9"/>
      <c r="K607" s="8"/>
    </row>
    <row r="608" spans="1:11" s="6" customFormat="1" x14ac:dyDescent="0.2">
      <c r="A608" s="5"/>
      <c r="C608" s="7"/>
      <c r="D608" s="7"/>
      <c r="E608" s="7"/>
      <c r="F608" s="7"/>
      <c r="G608" s="8"/>
      <c r="H608" s="8"/>
      <c r="I608" s="8"/>
      <c r="J608" s="9"/>
      <c r="K608" s="8"/>
    </row>
    <row r="609" spans="1:11" s="6" customFormat="1" x14ac:dyDescent="0.2">
      <c r="A609" s="5"/>
      <c r="C609" s="7"/>
      <c r="D609" s="7"/>
      <c r="E609" s="7"/>
      <c r="F609" s="7"/>
      <c r="G609" s="8"/>
      <c r="H609" s="8"/>
      <c r="I609" s="8"/>
      <c r="J609" s="9"/>
      <c r="K609" s="8"/>
    </row>
    <row r="610" spans="1:11" s="6" customFormat="1" x14ac:dyDescent="0.2">
      <c r="A610" s="5"/>
      <c r="C610" s="7"/>
      <c r="D610" s="7"/>
      <c r="E610" s="7"/>
      <c r="F610" s="7"/>
      <c r="G610" s="8"/>
      <c r="H610" s="8"/>
      <c r="I610" s="8"/>
      <c r="J610" s="9"/>
      <c r="K610" s="8"/>
    </row>
    <row r="611" spans="1:11" s="6" customFormat="1" x14ac:dyDescent="0.2">
      <c r="A611" s="5"/>
      <c r="C611" s="7"/>
      <c r="D611" s="7"/>
      <c r="E611" s="7"/>
      <c r="F611" s="7"/>
      <c r="G611" s="8"/>
      <c r="H611" s="8"/>
      <c r="I611" s="8"/>
      <c r="J611" s="9"/>
      <c r="K611" s="8"/>
    </row>
    <row r="612" spans="1:11" s="6" customFormat="1" x14ac:dyDescent="0.2">
      <c r="A612" s="5"/>
      <c r="C612" s="7"/>
      <c r="D612" s="7"/>
      <c r="E612" s="7"/>
      <c r="F612" s="7"/>
      <c r="G612" s="8"/>
      <c r="H612" s="8"/>
      <c r="I612" s="8"/>
      <c r="J612" s="9"/>
      <c r="K612" s="8"/>
    </row>
    <row r="613" spans="1:11" s="6" customFormat="1" x14ac:dyDescent="0.2">
      <c r="A613" s="5"/>
      <c r="C613" s="7"/>
      <c r="D613" s="7"/>
      <c r="E613" s="7"/>
      <c r="F613" s="7"/>
      <c r="G613" s="8"/>
      <c r="H613" s="8"/>
      <c r="I613" s="8"/>
      <c r="J613" s="9"/>
      <c r="K613" s="8"/>
    </row>
    <row r="614" spans="1:11" s="6" customFormat="1" x14ac:dyDescent="0.2">
      <c r="A614" s="5"/>
      <c r="C614" s="7"/>
      <c r="D614" s="7"/>
      <c r="E614" s="7"/>
      <c r="F614" s="7"/>
      <c r="G614" s="8"/>
      <c r="H614" s="8"/>
      <c r="I614" s="8"/>
      <c r="J614" s="9"/>
      <c r="K614" s="8"/>
    </row>
    <row r="615" spans="1:11" s="6" customFormat="1" x14ac:dyDescent="0.2">
      <c r="A615" s="5"/>
      <c r="C615" s="7"/>
      <c r="D615" s="7"/>
      <c r="E615" s="7"/>
      <c r="F615" s="7"/>
      <c r="G615" s="8"/>
      <c r="H615" s="8"/>
      <c r="I615" s="8"/>
      <c r="J615" s="9"/>
      <c r="K615" s="8"/>
    </row>
    <row r="616" spans="1:11" s="6" customFormat="1" x14ac:dyDescent="0.2">
      <c r="A616" s="5"/>
      <c r="C616" s="7"/>
      <c r="D616" s="7"/>
      <c r="E616" s="7"/>
      <c r="F616" s="7"/>
      <c r="G616" s="8"/>
      <c r="H616" s="8"/>
      <c r="I616" s="8"/>
      <c r="J616" s="9"/>
      <c r="K616" s="8"/>
    </row>
    <row r="617" spans="1:11" s="6" customFormat="1" x14ac:dyDescent="0.2">
      <c r="A617" s="5"/>
      <c r="C617" s="7"/>
      <c r="D617" s="7"/>
      <c r="E617" s="7"/>
      <c r="F617" s="7"/>
      <c r="G617" s="8"/>
      <c r="H617" s="8"/>
      <c r="I617" s="8"/>
      <c r="J617" s="9"/>
      <c r="K617" s="8"/>
    </row>
    <row r="618" spans="1:11" s="6" customFormat="1" x14ac:dyDescent="0.2">
      <c r="A618" s="5"/>
      <c r="C618" s="7"/>
      <c r="D618" s="7"/>
      <c r="E618" s="7"/>
      <c r="F618" s="7"/>
      <c r="G618" s="8"/>
      <c r="H618" s="8"/>
      <c r="I618" s="8"/>
      <c r="J618" s="9"/>
      <c r="K618" s="8"/>
    </row>
    <row r="619" spans="1:11" s="6" customFormat="1" x14ac:dyDescent="0.2">
      <c r="A619" s="5"/>
      <c r="C619" s="7"/>
      <c r="D619" s="7"/>
      <c r="E619" s="7"/>
      <c r="F619" s="7"/>
      <c r="G619" s="8"/>
      <c r="H619" s="8"/>
      <c r="I619" s="8"/>
      <c r="J619" s="9"/>
      <c r="K619" s="8"/>
    </row>
    <row r="620" spans="1:11" s="6" customFormat="1" x14ac:dyDescent="0.2">
      <c r="A620" s="5"/>
      <c r="C620" s="7"/>
      <c r="D620" s="7"/>
      <c r="E620" s="7"/>
      <c r="F620" s="7"/>
      <c r="G620" s="8"/>
      <c r="H620" s="8"/>
      <c r="I620" s="8"/>
      <c r="J620" s="9"/>
      <c r="K620" s="8"/>
    </row>
    <row r="621" spans="1:11" s="6" customFormat="1" x14ac:dyDescent="0.2">
      <c r="A621" s="5"/>
      <c r="C621" s="7"/>
      <c r="D621" s="7"/>
      <c r="E621" s="7"/>
      <c r="F621" s="7"/>
      <c r="G621" s="8"/>
      <c r="H621" s="8"/>
      <c r="I621" s="8"/>
      <c r="J621" s="9"/>
      <c r="K621" s="8"/>
    </row>
    <row r="622" spans="1:11" s="6" customFormat="1" x14ac:dyDescent="0.2">
      <c r="A622" s="5"/>
      <c r="C622" s="7"/>
      <c r="D622" s="7"/>
      <c r="E622" s="7"/>
      <c r="F622" s="7"/>
      <c r="G622" s="8"/>
      <c r="H622" s="8"/>
      <c r="I622" s="8"/>
      <c r="J622" s="9"/>
      <c r="K622" s="8"/>
    </row>
    <row r="623" spans="1:11" s="6" customFormat="1" x14ac:dyDescent="0.2">
      <c r="A623" s="5"/>
      <c r="C623" s="7"/>
      <c r="D623" s="7"/>
      <c r="E623" s="7"/>
      <c r="F623" s="7"/>
      <c r="G623" s="8"/>
      <c r="H623" s="8"/>
      <c r="I623" s="8"/>
      <c r="J623" s="9"/>
      <c r="K623" s="8"/>
    </row>
    <row r="624" spans="1:11" s="6" customFormat="1" x14ac:dyDescent="0.2">
      <c r="A624" s="5"/>
      <c r="C624" s="7"/>
      <c r="D624" s="7"/>
      <c r="E624" s="7"/>
      <c r="F624" s="7"/>
      <c r="G624" s="8"/>
      <c r="H624" s="8"/>
      <c r="I624" s="8"/>
      <c r="J624" s="9"/>
      <c r="K624" s="8"/>
    </row>
    <row r="625" spans="1:11" s="6" customFormat="1" x14ac:dyDescent="0.2">
      <c r="A625" s="5"/>
      <c r="C625" s="7"/>
      <c r="D625" s="7"/>
      <c r="E625" s="7"/>
      <c r="F625" s="7"/>
      <c r="G625" s="8"/>
      <c r="H625" s="8"/>
      <c r="I625" s="8"/>
      <c r="J625" s="9"/>
      <c r="K625" s="8"/>
    </row>
    <row r="626" spans="1:11" s="6" customFormat="1" x14ac:dyDescent="0.2">
      <c r="A626" s="5"/>
      <c r="C626" s="7"/>
      <c r="D626" s="7"/>
      <c r="E626" s="7"/>
      <c r="F626" s="7"/>
      <c r="G626" s="8"/>
      <c r="H626" s="8"/>
      <c r="I626" s="8"/>
      <c r="J626" s="9"/>
      <c r="K626" s="8"/>
    </row>
    <row r="627" spans="1:11" s="6" customFormat="1" x14ac:dyDescent="0.2">
      <c r="A627" s="5"/>
      <c r="C627" s="7"/>
      <c r="D627" s="7"/>
      <c r="E627" s="7"/>
      <c r="F627" s="7"/>
      <c r="G627" s="8"/>
      <c r="H627" s="8"/>
      <c r="I627" s="8"/>
      <c r="J627" s="9"/>
      <c r="K627" s="8"/>
    </row>
    <row r="628" spans="1:11" s="6" customFormat="1" x14ac:dyDescent="0.2">
      <c r="A628" s="5"/>
      <c r="C628" s="7"/>
      <c r="D628" s="7"/>
      <c r="E628" s="7"/>
      <c r="F628" s="7"/>
      <c r="G628" s="8"/>
      <c r="H628" s="8"/>
      <c r="I628" s="8"/>
      <c r="J628" s="9"/>
      <c r="K628" s="8"/>
    </row>
    <row r="629" spans="1:11" s="6" customFormat="1" x14ac:dyDescent="0.2">
      <c r="A629" s="5"/>
      <c r="C629" s="7"/>
      <c r="D629" s="7"/>
      <c r="E629" s="7"/>
      <c r="F629" s="7"/>
      <c r="G629" s="8"/>
      <c r="H629" s="8"/>
      <c r="I629" s="8"/>
      <c r="J629" s="9"/>
      <c r="K629" s="8"/>
    </row>
    <row r="630" spans="1:11" s="6" customFormat="1" x14ac:dyDescent="0.2">
      <c r="A630" s="5"/>
      <c r="C630" s="7"/>
      <c r="D630" s="7"/>
      <c r="E630" s="7"/>
      <c r="F630" s="7"/>
      <c r="G630" s="8"/>
      <c r="H630" s="8"/>
      <c r="I630" s="8"/>
      <c r="J630" s="9"/>
      <c r="K630" s="8"/>
    </row>
    <row r="631" spans="1:11" s="6" customFormat="1" x14ac:dyDescent="0.2">
      <c r="A631" s="5"/>
      <c r="C631" s="7"/>
      <c r="D631" s="7"/>
      <c r="E631" s="7"/>
      <c r="F631" s="7"/>
      <c r="G631" s="8"/>
      <c r="H631" s="8"/>
      <c r="I631" s="8"/>
      <c r="J631" s="9"/>
      <c r="K631" s="8"/>
    </row>
    <row r="632" spans="1:11" s="6" customFormat="1" x14ac:dyDescent="0.2">
      <c r="A632" s="5"/>
      <c r="C632" s="7"/>
      <c r="D632" s="7"/>
      <c r="E632" s="7"/>
      <c r="F632" s="7"/>
      <c r="G632" s="8"/>
      <c r="H632" s="8"/>
      <c r="I632" s="8"/>
      <c r="J632" s="9"/>
      <c r="K632" s="8"/>
    </row>
    <row r="633" spans="1:11" s="6" customFormat="1" x14ac:dyDescent="0.2">
      <c r="A633" s="5"/>
      <c r="C633" s="7"/>
      <c r="D633" s="7"/>
      <c r="E633" s="7"/>
      <c r="F633" s="7"/>
      <c r="G633" s="8"/>
      <c r="H633" s="8"/>
      <c r="I633" s="8"/>
      <c r="J633" s="9"/>
      <c r="K633" s="8"/>
    </row>
    <row r="634" spans="1:11" s="6" customFormat="1" x14ac:dyDescent="0.2">
      <c r="A634" s="5"/>
      <c r="C634" s="7"/>
      <c r="D634" s="7"/>
      <c r="E634" s="7"/>
      <c r="F634" s="7"/>
      <c r="G634" s="8"/>
      <c r="H634" s="8"/>
      <c r="I634" s="8"/>
      <c r="J634" s="9"/>
      <c r="K634" s="8"/>
    </row>
    <row r="635" spans="1:11" s="6" customFormat="1" x14ac:dyDescent="0.2">
      <c r="A635" s="5"/>
      <c r="C635" s="7"/>
      <c r="D635" s="7"/>
      <c r="E635" s="7"/>
      <c r="F635" s="7"/>
      <c r="G635" s="8"/>
      <c r="H635" s="8"/>
      <c r="I635" s="8"/>
      <c r="J635" s="9"/>
      <c r="K635" s="8"/>
    </row>
    <row r="636" spans="1:11" s="6" customFormat="1" x14ac:dyDescent="0.2">
      <c r="A636" s="5"/>
      <c r="C636" s="7"/>
      <c r="D636" s="7"/>
      <c r="E636" s="7"/>
      <c r="F636" s="7"/>
      <c r="G636" s="8"/>
      <c r="H636" s="8"/>
      <c r="I636" s="8"/>
      <c r="J636" s="9"/>
      <c r="K636" s="8"/>
    </row>
    <row r="637" spans="1:11" s="6" customFormat="1" x14ac:dyDescent="0.2">
      <c r="A637" s="5"/>
      <c r="C637" s="7"/>
      <c r="D637" s="7"/>
      <c r="E637" s="7"/>
      <c r="F637" s="7"/>
      <c r="G637" s="8"/>
      <c r="H637" s="8"/>
      <c r="I637" s="8"/>
      <c r="J637" s="9"/>
      <c r="K637" s="8"/>
    </row>
    <row r="638" spans="1:11" s="6" customFormat="1" x14ac:dyDescent="0.2">
      <c r="A638" s="5"/>
      <c r="C638" s="7"/>
      <c r="D638" s="7"/>
      <c r="E638" s="7"/>
      <c r="F638" s="7"/>
      <c r="G638" s="8"/>
      <c r="H638" s="8"/>
      <c r="I638" s="8"/>
      <c r="J638" s="9"/>
      <c r="K638" s="8"/>
    </row>
    <row r="639" spans="1:11" s="6" customFormat="1" x14ac:dyDescent="0.2">
      <c r="A639" s="5"/>
      <c r="C639" s="7"/>
      <c r="D639" s="7"/>
      <c r="E639" s="7"/>
      <c r="F639" s="7"/>
      <c r="G639" s="8"/>
      <c r="H639" s="8"/>
      <c r="I639" s="8"/>
      <c r="J639" s="9"/>
      <c r="K639" s="8"/>
    </row>
    <row r="640" spans="1:11" s="6" customFormat="1" x14ac:dyDescent="0.2">
      <c r="A640" s="5"/>
      <c r="C640" s="7"/>
      <c r="D640" s="7"/>
      <c r="E640" s="7"/>
      <c r="F640" s="7"/>
      <c r="G640" s="8"/>
      <c r="H640" s="8"/>
      <c r="I640" s="8"/>
      <c r="J640" s="9"/>
      <c r="K640" s="8"/>
    </row>
    <row r="641" spans="1:11" s="6" customFormat="1" x14ac:dyDescent="0.2">
      <c r="A641" s="5"/>
      <c r="C641" s="7"/>
      <c r="D641" s="7"/>
      <c r="E641" s="7"/>
      <c r="F641" s="7"/>
      <c r="G641" s="8"/>
      <c r="H641" s="8"/>
      <c r="I641" s="8"/>
      <c r="J641" s="9"/>
      <c r="K641" s="8"/>
    </row>
    <row r="642" spans="1:11" s="6" customFormat="1" x14ac:dyDescent="0.2">
      <c r="A642" s="5"/>
      <c r="C642" s="7"/>
      <c r="D642" s="7"/>
      <c r="E642" s="7"/>
      <c r="F642" s="7"/>
      <c r="G642" s="8"/>
      <c r="H642" s="8"/>
      <c r="I642" s="8"/>
      <c r="J642" s="9"/>
      <c r="K642" s="8"/>
    </row>
    <row r="643" spans="1:11" s="6" customFormat="1" x14ac:dyDescent="0.2">
      <c r="A643" s="5"/>
      <c r="C643" s="7"/>
      <c r="D643" s="7"/>
      <c r="E643" s="7"/>
      <c r="F643" s="7"/>
      <c r="G643" s="8"/>
      <c r="H643" s="8"/>
      <c r="I643" s="8"/>
      <c r="J643" s="9"/>
      <c r="K643" s="8"/>
    </row>
    <row r="644" spans="1:11" s="6" customFormat="1" x14ac:dyDescent="0.2">
      <c r="A644" s="5"/>
      <c r="C644" s="7"/>
      <c r="D644" s="7"/>
      <c r="E644" s="7"/>
      <c r="F644" s="7"/>
      <c r="G644" s="8"/>
      <c r="H644" s="8"/>
      <c r="I644" s="8"/>
      <c r="J644" s="9"/>
      <c r="K644" s="8"/>
    </row>
    <row r="645" spans="1:11" s="6" customFormat="1" x14ac:dyDescent="0.2">
      <c r="A645" s="5"/>
      <c r="C645" s="7"/>
      <c r="D645" s="7"/>
      <c r="E645" s="7"/>
      <c r="F645" s="7"/>
      <c r="G645" s="8"/>
      <c r="H645" s="8"/>
      <c r="I645" s="8"/>
      <c r="J645" s="9"/>
      <c r="K645" s="8"/>
    </row>
    <row r="646" spans="1:11" s="6" customFormat="1" x14ac:dyDescent="0.2">
      <c r="A646" s="5"/>
      <c r="C646" s="7"/>
      <c r="D646" s="7"/>
      <c r="E646" s="7"/>
      <c r="F646" s="7"/>
      <c r="G646" s="8"/>
      <c r="H646" s="8"/>
      <c r="I646" s="8"/>
      <c r="J646" s="9"/>
      <c r="K646" s="8"/>
    </row>
    <row r="647" spans="1:11" s="6" customFormat="1" x14ac:dyDescent="0.2">
      <c r="A647" s="5"/>
      <c r="C647" s="7"/>
      <c r="D647" s="7"/>
      <c r="E647" s="7"/>
      <c r="F647" s="7"/>
      <c r="G647" s="8"/>
      <c r="H647" s="8"/>
      <c r="I647" s="8"/>
      <c r="J647" s="9"/>
      <c r="K647" s="8"/>
    </row>
    <row r="648" spans="1:11" s="6" customFormat="1" x14ac:dyDescent="0.2">
      <c r="A648" s="5"/>
      <c r="C648" s="7"/>
      <c r="D648" s="7"/>
      <c r="E648" s="7"/>
      <c r="F648" s="7"/>
      <c r="G648" s="8"/>
      <c r="H648" s="8"/>
      <c r="I648" s="8"/>
      <c r="J648" s="9"/>
      <c r="K648" s="8"/>
    </row>
    <row r="649" spans="1:11" s="6" customFormat="1" x14ac:dyDescent="0.2">
      <c r="A649" s="5"/>
      <c r="C649" s="7"/>
      <c r="D649" s="7"/>
      <c r="E649" s="7"/>
      <c r="F649" s="7"/>
      <c r="G649" s="8"/>
      <c r="H649" s="8"/>
      <c r="I649" s="8"/>
      <c r="J649" s="9"/>
      <c r="K649" s="8"/>
    </row>
    <row r="650" spans="1:11" s="6" customFormat="1" x14ac:dyDescent="0.2">
      <c r="A650" s="5"/>
      <c r="C650" s="7"/>
      <c r="D650" s="7"/>
      <c r="E650" s="7"/>
      <c r="F650" s="7"/>
      <c r="G650" s="8"/>
      <c r="H650" s="8"/>
      <c r="I650" s="8"/>
      <c r="J650" s="9"/>
      <c r="K650" s="8"/>
    </row>
    <row r="651" spans="1:11" s="6" customFormat="1" x14ac:dyDescent="0.2">
      <c r="A651" s="5"/>
      <c r="C651" s="7"/>
      <c r="D651" s="7"/>
      <c r="E651" s="7"/>
      <c r="F651" s="7"/>
      <c r="G651" s="8"/>
      <c r="H651" s="8"/>
      <c r="I651" s="8"/>
      <c r="J651" s="9"/>
      <c r="K651" s="8"/>
    </row>
    <row r="652" spans="1:11" s="6" customFormat="1" x14ac:dyDescent="0.2">
      <c r="A652" s="5"/>
      <c r="C652" s="7"/>
      <c r="D652" s="7"/>
      <c r="E652" s="7"/>
      <c r="F652" s="7"/>
      <c r="G652" s="8"/>
      <c r="H652" s="8"/>
      <c r="I652" s="8"/>
      <c r="J652" s="9"/>
      <c r="K652" s="8"/>
    </row>
    <row r="653" spans="1:11" s="6" customFormat="1" x14ac:dyDescent="0.2">
      <c r="A653" s="5"/>
      <c r="C653" s="7"/>
      <c r="D653" s="7"/>
      <c r="E653" s="7"/>
      <c r="F653" s="7"/>
      <c r="G653" s="8"/>
      <c r="H653" s="8"/>
      <c r="I653" s="8"/>
      <c r="J653" s="9"/>
      <c r="K653" s="8"/>
    </row>
    <row r="654" spans="1:11" s="6" customFormat="1" x14ac:dyDescent="0.2">
      <c r="A654" s="5"/>
      <c r="C654" s="7"/>
      <c r="D654" s="7"/>
      <c r="E654" s="7"/>
      <c r="F654" s="7"/>
      <c r="G654" s="8"/>
      <c r="H654" s="8"/>
      <c r="I654" s="8"/>
      <c r="J654" s="9"/>
      <c r="K654" s="8"/>
    </row>
    <row r="655" spans="1:11" s="6" customFormat="1" x14ac:dyDescent="0.2">
      <c r="A655" s="5"/>
      <c r="C655" s="7"/>
      <c r="D655" s="7"/>
      <c r="E655" s="7"/>
      <c r="F655" s="7"/>
      <c r="G655" s="8"/>
      <c r="H655" s="8"/>
      <c r="I655" s="8"/>
      <c r="J655" s="9"/>
      <c r="K655" s="8"/>
    </row>
    <row r="656" spans="1:11" s="6" customFormat="1" x14ac:dyDescent="0.2">
      <c r="A656" s="5"/>
      <c r="C656" s="7"/>
      <c r="D656" s="7"/>
      <c r="E656" s="7"/>
      <c r="F656" s="7"/>
      <c r="G656" s="8"/>
      <c r="H656" s="8"/>
      <c r="I656" s="8"/>
      <c r="J656" s="9"/>
      <c r="K656" s="8"/>
    </row>
    <row r="657" spans="1:11" s="6" customFormat="1" x14ac:dyDescent="0.2">
      <c r="A657" s="5"/>
      <c r="C657" s="7"/>
      <c r="D657" s="7"/>
      <c r="E657" s="7"/>
      <c r="F657" s="7"/>
      <c r="G657" s="8"/>
      <c r="H657" s="8"/>
      <c r="I657" s="8"/>
      <c r="J657" s="9"/>
      <c r="K657" s="8"/>
    </row>
    <row r="658" spans="1:11" s="6" customFormat="1" x14ac:dyDescent="0.2">
      <c r="A658" s="5"/>
      <c r="C658" s="7"/>
      <c r="D658" s="7"/>
      <c r="E658" s="7"/>
      <c r="F658" s="7"/>
      <c r="G658" s="8"/>
      <c r="H658" s="8"/>
      <c r="I658" s="8"/>
      <c r="J658" s="9"/>
      <c r="K658" s="8"/>
    </row>
    <row r="659" spans="1:11" s="6" customFormat="1" x14ac:dyDescent="0.2">
      <c r="A659" s="5"/>
      <c r="C659" s="7"/>
      <c r="D659" s="7"/>
      <c r="E659" s="7"/>
      <c r="F659" s="7"/>
      <c r="G659" s="8"/>
      <c r="H659" s="8"/>
      <c r="I659" s="8"/>
      <c r="J659" s="9"/>
      <c r="K659" s="8"/>
    </row>
    <row r="660" spans="1:11" s="6" customFormat="1" x14ac:dyDescent="0.2">
      <c r="A660" s="5"/>
      <c r="C660" s="7"/>
      <c r="D660" s="7"/>
      <c r="E660" s="7"/>
      <c r="F660" s="7"/>
      <c r="G660" s="8"/>
      <c r="H660" s="8"/>
      <c r="I660" s="8"/>
      <c r="J660" s="9"/>
      <c r="K660" s="8"/>
    </row>
    <row r="661" spans="1:11" s="6" customFormat="1" x14ac:dyDescent="0.2">
      <c r="A661" s="5"/>
      <c r="C661" s="7"/>
      <c r="D661" s="7"/>
      <c r="E661" s="7"/>
      <c r="F661" s="7"/>
      <c r="G661" s="8"/>
      <c r="H661" s="8"/>
      <c r="I661" s="8"/>
      <c r="J661" s="9"/>
      <c r="K661" s="8"/>
    </row>
    <row r="662" spans="1:11" s="6" customFormat="1" x14ac:dyDescent="0.2">
      <c r="A662" s="5"/>
      <c r="C662" s="7"/>
      <c r="D662" s="7"/>
      <c r="E662" s="7"/>
      <c r="F662" s="7"/>
      <c r="G662" s="8"/>
      <c r="H662" s="8"/>
      <c r="I662" s="8"/>
      <c r="J662" s="9"/>
      <c r="K662" s="8"/>
    </row>
    <row r="663" spans="1:11" s="6" customFormat="1" x14ac:dyDescent="0.2">
      <c r="A663" s="5"/>
      <c r="C663" s="7"/>
      <c r="D663" s="7"/>
      <c r="E663" s="7"/>
      <c r="F663" s="7"/>
      <c r="G663" s="8"/>
      <c r="H663" s="8"/>
      <c r="I663" s="8"/>
      <c r="J663" s="9"/>
      <c r="K663" s="8"/>
    </row>
    <row r="664" spans="1:11" s="6" customFormat="1" x14ac:dyDescent="0.2">
      <c r="A664" s="5"/>
      <c r="C664" s="7"/>
      <c r="D664" s="7"/>
      <c r="E664" s="7"/>
      <c r="F664" s="7"/>
      <c r="G664" s="8"/>
      <c r="H664" s="8"/>
      <c r="I664" s="8"/>
      <c r="J664" s="9"/>
      <c r="K664" s="8"/>
    </row>
    <row r="665" spans="1:11" s="6" customFormat="1" x14ac:dyDescent="0.2">
      <c r="A665" s="5"/>
      <c r="C665" s="7"/>
      <c r="D665" s="7"/>
      <c r="E665" s="7"/>
      <c r="F665" s="7"/>
      <c r="G665" s="8"/>
      <c r="H665" s="8"/>
      <c r="I665" s="8"/>
      <c r="J665" s="9"/>
      <c r="K665" s="8"/>
    </row>
    <row r="666" spans="1:11" s="6" customFormat="1" x14ac:dyDescent="0.2">
      <c r="A666" s="5"/>
      <c r="C666" s="7"/>
      <c r="D666" s="7"/>
      <c r="E666" s="7"/>
      <c r="F666" s="7"/>
      <c r="G666" s="8"/>
      <c r="H666" s="8"/>
      <c r="I666" s="8"/>
      <c r="J666" s="9"/>
      <c r="K666" s="8"/>
    </row>
    <row r="667" spans="1:11" s="6" customFormat="1" x14ac:dyDescent="0.2">
      <c r="A667" s="5"/>
      <c r="C667" s="7"/>
      <c r="D667" s="7"/>
      <c r="E667" s="7"/>
      <c r="F667" s="7"/>
      <c r="G667" s="8"/>
      <c r="H667" s="8"/>
      <c r="I667" s="8"/>
      <c r="J667" s="9"/>
      <c r="K667" s="8"/>
    </row>
    <row r="668" spans="1:11" s="6" customFormat="1" x14ac:dyDescent="0.2">
      <c r="A668" s="5"/>
      <c r="C668" s="7"/>
      <c r="D668" s="7"/>
      <c r="E668" s="7"/>
      <c r="F668" s="7"/>
      <c r="G668" s="8"/>
      <c r="H668" s="8"/>
      <c r="I668" s="8"/>
      <c r="J668" s="9"/>
      <c r="K668" s="8"/>
    </row>
    <row r="669" spans="1:11" s="6" customFormat="1" x14ac:dyDescent="0.2">
      <c r="A669" s="5"/>
      <c r="C669" s="7"/>
      <c r="D669" s="7"/>
      <c r="E669" s="7"/>
      <c r="F669" s="7"/>
      <c r="G669" s="8"/>
      <c r="H669" s="8"/>
      <c r="I669" s="8"/>
      <c r="J669" s="9"/>
      <c r="K669" s="8"/>
    </row>
    <row r="670" spans="1:11" s="6" customFormat="1" x14ac:dyDescent="0.2">
      <c r="A670" s="5"/>
      <c r="C670" s="7"/>
      <c r="D670" s="7"/>
      <c r="E670" s="7"/>
      <c r="F670" s="7"/>
      <c r="G670" s="8"/>
      <c r="H670" s="8"/>
      <c r="I670" s="8"/>
      <c r="J670" s="9"/>
      <c r="K670" s="8"/>
    </row>
    <row r="671" spans="1:11" s="6" customFormat="1" x14ac:dyDescent="0.2">
      <c r="A671" s="5"/>
      <c r="C671" s="7"/>
      <c r="D671" s="7"/>
      <c r="E671" s="7"/>
      <c r="F671" s="7"/>
      <c r="G671" s="8"/>
      <c r="H671" s="8"/>
      <c r="I671" s="8"/>
      <c r="J671" s="9"/>
      <c r="K671" s="8"/>
    </row>
    <row r="672" spans="1:11" s="6" customFormat="1" x14ac:dyDescent="0.2">
      <c r="A672" s="5"/>
      <c r="C672" s="7"/>
      <c r="D672" s="7"/>
      <c r="E672" s="7"/>
      <c r="F672" s="7"/>
      <c r="G672" s="8"/>
      <c r="H672" s="8"/>
      <c r="I672" s="8"/>
      <c r="J672" s="9"/>
      <c r="K672" s="8"/>
    </row>
    <row r="673" spans="1:11" s="6" customFormat="1" x14ac:dyDescent="0.2">
      <c r="A673" s="5"/>
      <c r="C673" s="7"/>
      <c r="D673" s="7"/>
      <c r="E673" s="7"/>
      <c r="F673" s="7"/>
      <c r="G673" s="8"/>
      <c r="H673" s="8"/>
      <c r="I673" s="8"/>
      <c r="J673" s="9"/>
      <c r="K673" s="8"/>
    </row>
    <row r="674" spans="1:11" s="6" customFormat="1" x14ac:dyDescent="0.2">
      <c r="A674" s="5"/>
      <c r="C674" s="7"/>
      <c r="D674" s="7"/>
      <c r="E674" s="7"/>
      <c r="F674" s="7"/>
      <c r="G674" s="8"/>
      <c r="H674" s="8"/>
      <c r="I674" s="8"/>
      <c r="J674" s="9"/>
      <c r="K674" s="8"/>
    </row>
    <row r="675" spans="1:11" s="6" customFormat="1" x14ac:dyDescent="0.2">
      <c r="A675" s="5"/>
      <c r="C675" s="7"/>
      <c r="D675" s="7"/>
      <c r="E675" s="7"/>
      <c r="F675" s="7"/>
      <c r="G675" s="8"/>
      <c r="H675" s="8"/>
      <c r="I675" s="8"/>
      <c r="J675" s="9"/>
      <c r="K675" s="8"/>
    </row>
    <row r="676" spans="1:11" s="6" customFormat="1" x14ac:dyDescent="0.2">
      <c r="A676" s="5"/>
      <c r="C676" s="7"/>
      <c r="D676" s="7"/>
      <c r="E676" s="7"/>
      <c r="F676" s="7"/>
      <c r="G676" s="8"/>
      <c r="H676" s="8"/>
      <c r="I676" s="8"/>
      <c r="J676" s="9"/>
      <c r="K676" s="8"/>
    </row>
    <row r="677" spans="1:11" s="6" customFormat="1" x14ac:dyDescent="0.2">
      <c r="A677" s="5"/>
      <c r="C677" s="7"/>
      <c r="D677" s="7"/>
      <c r="E677" s="7"/>
      <c r="F677" s="7"/>
      <c r="G677" s="8"/>
      <c r="H677" s="8"/>
      <c r="I677" s="8"/>
      <c r="J677" s="9"/>
      <c r="K677" s="8"/>
    </row>
    <row r="678" spans="1:11" s="6" customFormat="1" x14ac:dyDescent="0.2">
      <c r="A678" s="5"/>
      <c r="C678" s="7"/>
      <c r="D678" s="7"/>
      <c r="E678" s="7"/>
      <c r="F678" s="7"/>
      <c r="G678" s="8"/>
      <c r="H678" s="8"/>
      <c r="I678" s="8"/>
      <c r="J678" s="9"/>
      <c r="K678" s="8"/>
    </row>
    <row r="679" spans="1:11" s="6" customFormat="1" x14ac:dyDescent="0.2">
      <c r="A679" s="5"/>
      <c r="C679" s="7"/>
      <c r="D679" s="7"/>
      <c r="E679" s="7"/>
      <c r="F679" s="7"/>
      <c r="G679" s="8"/>
      <c r="H679" s="8"/>
      <c r="I679" s="8"/>
      <c r="J679" s="9"/>
      <c r="K679" s="8"/>
    </row>
    <row r="680" spans="1:11" s="6" customFormat="1" x14ac:dyDescent="0.2">
      <c r="A680" s="5"/>
      <c r="C680" s="7"/>
      <c r="D680" s="7"/>
      <c r="E680" s="7"/>
      <c r="F680" s="7"/>
      <c r="G680" s="8"/>
      <c r="H680" s="8"/>
      <c r="I680" s="8"/>
      <c r="J680" s="9"/>
      <c r="K680" s="8"/>
    </row>
    <row r="681" spans="1:11" s="6" customFormat="1" x14ac:dyDescent="0.2">
      <c r="A681" s="5"/>
      <c r="C681" s="7"/>
      <c r="D681" s="7"/>
      <c r="E681" s="7"/>
      <c r="F681" s="7"/>
      <c r="G681" s="8"/>
      <c r="H681" s="8"/>
      <c r="I681" s="8"/>
      <c r="J681" s="9"/>
      <c r="K681" s="8"/>
    </row>
    <row r="682" spans="1:11" s="6" customFormat="1" x14ac:dyDescent="0.2">
      <c r="A682" s="5"/>
      <c r="C682" s="7"/>
      <c r="D682" s="7"/>
      <c r="E682" s="7"/>
      <c r="F682" s="7"/>
      <c r="G682" s="8"/>
      <c r="H682" s="8"/>
      <c r="I682" s="8"/>
      <c r="J682" s="9"/>
      <c r="K682" s="8"/>
    </row>
    <row r="683" spans="1:11" s="6" customFormat="1" x14ac:dyDescent="0.2">
      <c r="A683" s="5"/>
      <c r="C683" s="7"/>
      <c r="D683" s="7"/>
      <c r="E683" s="7"/>
      <c r="F683" s="7"/>
      <c r="G683" s="8"/>
      <c r="H683" s="8"/>
      <c r="I683" s="8"/>
      <c r="J683" s="9"/>
      <c r="K683" s="8"/>
    </row>
    <row r="684" spans="1:11" s="6" customFormat="1" x14ac:dyDescent="0.2">
      <c r="A684" s="5"/>
      <c r="C684" s="7"/>
      <c r="D684" s="7"/>
      <c r="E684" s="7"/>
      <c r="F684" s="7"/>
      <c r="G684" s="8"/>
      <c r="H684" s="8"/>
      <c r="I684" s="8"/>
      <c r="J684" s="9"/>
      <c r="K684" s="8"/>
    </row>
    <row r="685" spans="1:11" s="6" customFormat="1" x14ac:dyDescent="0.2">
      <c r="A685" s="5"/>
      <c r="C685" s="7"/>
      <c r="D685" s="7"/>
      <c r="E685" s="7"/>
      <c r="F685" s="7"/>
      <c r="G685" s="8"/>
      <c r="H685" s="8"/>
      <c r="I685" s="8"/>
      <c r="J685" s="9"/>
      <c r="K685" s="8"/>
    </row>
    <row r="686" spans="1:11" s="6" customFormat="1" x14ac:dyDescent="0.2">
      <c r="A686" s="5"/>
      <c r="C686" s="7"/>
      <c r="D686" s="7"/>
      <c r="E686" s="7"/>
      <c r="F686" s="7"/>
      <c r="G686" s="8"/>
      <c r="H686" s="8"/>
      <c r="I686" s="8"/>
      <c r="J686" s="9"/>
      <c r="K686" s="8"/>
    </row>
    <row r="687" spans="1:11" s="6" customFormat="1" x14ac:dyDescent="0.2">
      <c r="A687" s="5"/>
      <c r="C687" s="7"/>
      <c r="D687" s="7"/>
      <c r="E687" s="7"/>
      <c r="F687" s="7"/>
      <c r="G687" s="8"/>
      <c r="H687" s="8"/>
      <c r="I687" s="8"/>
      <c r="J687" s="9"/>
      <c r="K687" s="8"/>
    </row>
    <row r="688" spans="1:11" s="6" customFormat="1" x14ac:dyDescent="0.2">
      <c r="A688" s="5"/>
      <c r="C688" s="7"/>
      <c r="D688" s="7"/>
      <c r="E688" s="7"/>
      <c r="F688" s="7"/>
      <c r="G688" s="8"/>
      <c r="H688" s="8"/>
      <c r="I688" s="8"/>
      <c r="J688" s="9"/>
      <c r="K688" s="8"/>
    </row>
    <row r="689" spans="1:11" s="6" customFormat="1" x14ac:dyDescent="0.2">
      <c r="A689" s="5"/>
      <c r="C689" s="7"/>
      <c r="D689" s="7"/>
      <c r="E689" s="7"/>
      <c r="F689" s="7"/>
      <c r="G689" s="8"/>
      <c r="H689" s="8"/>
      <c r="I689" s="8"/>
      <c r="J689" s="9"/>
      <c r="K689" s="8"/>
    </row>
    <row r="690" spans="1:11" s="6" customFormat="1" x14ac:dyDescent="0.2">
      <c r="A690" s="5"/>
      <c r="C690" s="7"/>
      <c r="D690" s="7"/>
      <c r="E690" s="7"/>
      <c r="F690" s="7"/>
      <c r="G690" s="8"/>
      <c r="H690" s="8"/>
      <c r="I690" s="8"/>
      <c r="J690" s="9"/>
      <c r="K690" s="8"/>
    </row>
    <row r="691" spans="1:11" s="6" customFormat="1" x14ac:dyDescent="0.2">
      <c r="A691" s="5"/>
      <c r="C691" s="7"/>
      <c r="D691" s="7"/>
      <c r="E691" s="7"/>
      <c r="F691" s="7"/>
      <c r="G691" s="8"/>
      <c r="H691" s="8"/>
      <c r="I691" s="8"/>
      <c r="J691" s="9"/>
      <c r="K691" s="8"/>
    </row>
    <row r="692" spans="1:11" s="6" customFormat="1" x14ac:dyDescent="0.2">
      <c r="A692" s="5"/>
      <c r="C692" s="7"/>
      <c r="D692" s="7"/>
      <c r="E692" s="7"/>
      <c r="F692" s="7"/>
      <c r="G692" s="8"/>
      <c r="H692" s="8"/>
      <c r="I692" s="8"/>
      <c r="J692" s="9"/>
      <c r="K692" s="8"/>
    </row>
    <row r="693" spans="1:11" s="6" customFormat="1" x14ac:dyDescent="0.2">
      <c r="A693" s="5"/>
      <c r="C693" s="7"/>
      <c r="D693" s="7"/>
      <c r="E693" s="7"/>
      <c r="F693" s="7"/>
      <c r="G693" s="8"/>
      <c r="H693" s="8"/>
      <c r="I693" s="8"/>
      <c r="J693" s="9"/>
      <c r="K693" s="8"/>
    </row>
    <row r="694" spans="1:11" s="6" customFormat="1" x14ac:dyDescent="0.2">
      <c r="A694" s="5"/>
      <c r="C694" s="7"/>
      <c r="D694" s="7"/>
      <c r="E694" s="7"/>
      <c r="F694" s="7"/>
      <c r="G694" s="8"/>
      <c r="H694" s="8"/>
      <c r="I694" s="8"/>
      <c r="J694" s="9"/>
      <c r="K694" s="8"/>
    </row>
    <row r="695" spans="1:11" s="6" customFormat="1" x14ac:dyDescent="0.2">
      <c r="A695" s="5"/>
      <c r="C695" s="7"/>
      <c r="D695" s="7"/>
      <c r="E695" s="7"/>
      <c r="F695" s="7"/>
      <c r="G695" s="8"/>
      <c r="H695" s="8"/>
      <c r="I695" s="8"/>
      <c r="J695" s="9"/>
      <c r="K695" s="8"/>
    </row>
    <row r="696" spans="1:11" s="6" customFormat="1" x14ac:dyDescent="0.2">
      <c r="A696" s="5"/>
      <c r="C696" s="7"/>
      <c r="D696" s="7"/>
      <c r="E696" s="7"/>
      <c r="F696" s="7"/>
      <c r="G696" s="8"/>
      <c r="H696" s="8"/>
      <c r="I696" s="8"/>
      <c r="J696" s="9"/>
      <c r="K696" s="8"/>
    </row>
    <row r="697" spans="1:11" s="6" customFormat="1" x14ac:dyDescent="0.2">
      <c r="A697" s="5"/>
      <c r="C697" s="7"/>
      <c r="D697" s="7"/>
      <c r="E697" s="7"/>
      <c r="F697" s="7"/>
      <c r="G697" s="8"/>
      <c r="H697" s="8"/>
      <c r="I697" s="8"/>
      <c r="J697" s="9"/>
      <c r="K697" s="8"/>
    </row>
    <row r="698" spans="1:11" s="6" customFormat="1" x14ac:dyDescent="0.2">
      <c r="A698" s="5"/>
      <c r="C698" s="7"/>
      <c r="D698" s="7"/>
      <c r="E698" s="7"/>
      <c r="F698" s="7"/>
      <c r="G698" s="8"/>
      <c r="H698" s="8"/>
      <c r="I698" s="8"/>
      <c r="J698" s="9"/>
      <c r="K698" s="8"/>
    </row>
    <row r="699" spans="1:11" s="6" customFormat="1" x14ac:dyDescent="0.2">
      <c r="A699" s="5"/>
      <c r="C699" s="7"/>
      <c r="D699" s="7"/>
      <c r="E699" s="7"/>
      <c r="F699" s="7"/>
      <c r="G699" s="8"/>
      <c r="H699" s="8"/>
      <c r="I699" s="8"/>
      <c r="J699" s="9"/>
      <c r="K699" s="8"/>
    </row>
    <row r="700" spans="1:11" s="6" customFormat="1" x14ac:dyDescent="0.2">
      <c r="A700" s="5"/>
      <c r="C700" s="7"/>
      <c r="D700" s="7"/>
      <c r="E700" s="7"/>
      <c r="F700" s="7"/>
      <c r="G700" s="8"/>
      <c r="H700" s="8"/>
      <c r="I700" s="8"/>
      <c r="J700" s="9"/>
      <c r="K700" s="8"/>
    </row>
    <row r="701" spans="1:11" s="6" customFormat="1" x14ac:dyDescent="0.2">
      <c r="A701" s="5"/>
      <c r="C701" s="7"/>
      <c r="D701" s="7"/>
      <c r="E701" s="7"/>
      <c r="F701" s="7"/>
      <c r="G701" s="8"/>
      <c r="H701" s="8"/>
      <c r="I701" s="8"/>
      <c r="J701" s="9"/>
      <c r="K701" s="8"/>
    </row>
    <row r="702" spans="1:11" s="6" customFormat="1" x14ac:dyDescent="0.2">
      <c r="A702" s="5"/>
      <c r="C702" s="7"/>
      <c r="D702" s="7"/>
      <c r="E702" s="7"/>
      <c r="F702" s="7"/>
      <c r="G702" s="8"/>
      <c r="H702" s="8"/>
      <c r="I702" s="8"/>
      <c r="J702" s="9"/>
      <c r="K702" s="8"/>
    </row>
    <row r="703" spans="1:11" s="6" customFormat="1" x14ac:dyDescent="0.2">
      <c r="A703" s="5"/>
      <c r="C703" s="7"/>
      <c r="D703" s="7"/>
      <c r="E703" s="7"/>
      <c r="F703" s="7"/>
      <c r="G703" s="8"/>
      <c r="H703" s="8"/>
      <c r="I703" s="8"/>
      <c r="J703" s="9"/>
      <c r="K703" s="8"/>
    </row>
    <row r="704" spans="1:11" s="6" customFormat="1" x14ac:dyDescent="0.2">
      <c r="A704" s="5"/>
      <c r="C704" s="7"/>
      <c r="D704" s="7"/>
      <c r="E704" s="7"/>
      <c r="F704" s="7"/>
      <c r="G704" s="8"/>
      <c r="H704" s="8"/>
      <c r="I704" s="8"/>
      <c r="J704" s="9"/>
      <c r="K704" s="8"/>
    </row>
    <row r="705" spans="1:11" s="6" customFormat="1" x14ac:dyDescent="0.2">
      <c r="A705" s="5"/>
      <c r="C705" s="7"/>
      <c r="D705" s="7"/>
      <c r="E705" s="7"/>
      <c r="F705" s="7"/>
      <c r="G705" s="8"/>
      <c r="H705" s="8"/>
      <c r="I705" s="8"/>
      <c r="J705" s="9"/>
      <c r="K705" s="8"/>
    </row>
    <row r="706" spans="1:11" s="6" customFormat="1" x14ac:dyDescent="0.2">
      <c r="A706" s="5"/>
      <c r="C706" s="7"/>
      <c r="D706" s="7"/>
      <c r="E706" s="7"/>
      <c r="F706" s="7"/>
      <c r="G706" s="8"/>
      <c r="H706" s="8"/>
      <c r="I706" s="8"/>
      <c r="J706" s="9"/>
      <c r="K706" s="8"/>
    </row>
    <row r="707" spans="1:11" s="6" customFormat="1" x14ac:dyDescent="0.2">
      <c r="A707" s="5"/>
      <c r="C707" s="7"/>
      <c r="D707" s="7"/>
      <c r="E707" s="7"/>
      <c r="F707" s="7"/>
      <c r="G707" s="8"/>
      <c r="H707" s="8"/>
      <c r="I707" s="8"/>
      <c r="J707" s="9"/>
      <c r="K707" s="8"/>
    </row>
    <row r="708" spans="1:11" s="6" customFormat="1" x14ac:dyDescent="0.2">
      <c r="A708" s="5"/>
      <c r="C708" s="7"/>
      <c r="D708" s="7"/>
      <c r="E708" s="7"/>
      <c r="F708" s="7"/>
      <c r="G708" s="8"/>
      <c r="H708" s="8"/>
      <c r="I708" s="8"/>
      <c r="J708" s="9"/>
      <c r="K708" s="8"/>
    </row>
    <row r="709" spans="1:11" s="6" customFormat="1" x14ac:dyDescent="0.2">
      <c r="A709" s="5"/>
      <c r="C709" s="7"/>
      <c r="D709" s="7"/>
      <c r="E709" s="7"/>
      <c r="F709" s="7"/>
      <c r="G709" s="8"/>
      <c r="H709" s="8"/>
      <c r="I709" s="8"/>
      <c r="J709" s="9"/>
      <c r="K709" s="8"/>
    </row>
    <row r="710" spans="1:11" s="6" customFormat="1" x14ac:dyDescent="0.2">
      <c r="A710" s="5"/>
      <c r="C710" s="7"/>
      <c r="D710" s="7"/>
      <c r="E710" s="7"/>
      <c r="F710" s="7"/>
      <c r="G710" s="8"/>
      <c r="H710" s="8"/>
      <c r="I710" s="8"/>
      <c r="J710" s="9"/>
      <c r="K710" s="8"/>
    </row>
    <row r="711" spans="1:11" s="6" customFormat="1" x14ac:dyDescent="0.2">
      <c r="A711" s="5"/>
      <c r="C711" s="7"/>
      <c r="D711" s="7"/>
      <c r="E711" s="7"/>
      <c r="F711" s="7"/>
      <c r="G711" s="8"/>
      <c r="H711" s="8"/>
      <c r="I711" s="8"/>
      <c r="J711" s="9"/>
      <c r="K711" s="8"/>
    </row>
    <row r="712" spans="1:11" s="6" customFormat="1" x14ac:dyDescent="0.2">
      <c r="A712" s="5"/>
      <c r="C712" s="7"/>
      <c r="D712" s="7"/>
      <c r="E712" s="7"/>
      <c r="F712" s="7"/>
      <c r="G712" s="8"/>
      <c r="H712" s="8"/>
      <c r="I712" s="8"/>
      <c r="J712" s="9"/>
      <c r="K712" s="8"/>
    </row>
    <row r="713" spans="1:11" s="6" customFormat="1" x14ac:dyDescent="0.2">
      <c r="A713" s="5"/>
      <c r="C713" s="7"/>
      <c r="D713" s="7"/>
      <c r="E713" s="7"/>
      <c r="F713" s="7"/>
      <c r="G713" s="8"/>
      <c r="H713" s="8"/>
      <c r="I713" s="8"/>
      <c r="J713" s="9"/>
      <c r="K713" s="8"/>
    </row>
    <row r="714" spans="1:11" s="6" customFormat="1" x14ac:dyDescent="0.2">
      <c r="A714" s="5"/>
      <c r="C714" s="7"/>
      <c r="D714" s="7"/>
      <c r="E714" s="7"/>
      <c r="F714" s="7"/>
      <c r="G714" s="8"/>
      <c r="H714" s="8"/>
      <c r="I714" s="8"/>
      <c r="J714" s="9"/>
      <c r="K714" s="8"/>
    </row>
    <row r="715" spans="1:11" s="6" customFormat="1" x14ac:dyDescent="0.2">
      <c r="A715" s="5"/>
      <c r="C715" s="7"/>
      <c r="D715" s="7"/>
      <c r="E715" s="7"/>
      <c r="F715" s="7"/>
      <c r="G715" s="8"/>
      <c r="H715" s="8"/>
      <c r="I715" s="8"/>
      <c r="J715" s="9"/>
      <c r="K715" s="8"/>
    </row>
    <row r="716" spans="1:11" s="6" customFormat="1" x14ac:dyDescent="0.2">
      <c r="A716" s="5"/>
      <c r="C716" s="7"/>
      <c r="D716" s="7"/>
      <c r="E716" s="7"/>
      <c r="F716" s="7"/>
      <c r="G716" s="8"/>
      <c r="H716" s="8"/>
      <c r="I716" s="8"/>
      <c r="J716" s="9"/>
      <c r="K716" s="8"/>
    </row>
    <row r="717" spans="1:11" s="6" customFormat="1" x14ac:dyDescent="0.2">
      <c r="A717" s="5"/>
      <c r="C717" s="7"/>
      <c r="D717" s="7"/>
      <c r="E717" s="7"/>
      <c r="F717" s="7"/>
      <c r="G717" s="8"/>
      <c r="H717" s="8"/>
      <c r="I717" s="8"/>
      <c r="J717" s="9"/>
      <c r="K717" s="8"/>
    </row>
    <row r="718" spans="1:11" s="6" customFormat="1" x14ac:dyDescent="0.2">
      <c r="A718" s="5"/>
      <c r="C718" s="7"/>
      <c r="D718" s="7"/>
      <c r="E718" s="7"/>
      <c r="F718" s="7"/>
      <c r="G718" s="8"/>
      <c r="H718" s="8"/>
      <c r="I718" s="8"/>
      <c r="J718" s="9"/>
      <c r="K718" s="8"/>
    </row>
    <row r="719" spans="1:11" s="6" customFormat="1" x14ac:dyDescent="0.2">
      <c r="A719" s="5"/>
      <c r="C719" s="7"/>
      <c r="D719" s="7"/>
      <c r="E719" s="7"/>
      <c r="F719" s="7"/>
      <c r="G719" s="8"/>
      <c r="H719" s="8"/>
      <c r="I719" s="8"/>
      <c r="J719" s="9"/>
      <c r="K719" s="8"/>
    </row>
    <row r="720" spans="1:11" s="6" customFormat="1" x14ac:dyDescent="0.2">
      <c r="A720" s="5"/>
      <c r="C720" s="7"/>
      <c r="D720" s="7"/>
      <c r="E720" s="7"/>
      <c r="F720" s="7"/>
      <c r="G720" s="8"/>
      <c r="H720" s="8"/>
      <c r="I720" s="8"/>
      <c r="J720" s="9"/>
      <c r="K720" s="8"/>
    </row>
    <row r="721" spans="1:11" s="6" customFormat="1" x14ac:dyDescent="0.2">
      <c r="A721" s="5"/>
      <c r="C721" s="7"/>
      <c r="D721" s="7"/>
      <c r="E721" s="7"/>
      <c r="F721" s="7"/>
      <c r="G721" s="8"/>
      <c r="H721" s="8"/>
      <c r="I721" s="8"/>
      <c r="J721" s="9"/>
      <c r="K721" s="8"/>
    </row>
    <row r="722" spans="1:11" s="6" customFormat="1" x14ac:dyDescent="0.2">
      <c r="A722" s="5"/>
      <c r="C722" s="7"/>
      <c r="D722" s="7"/>
      <c r="E722" s="7"/>
      <c r="F722" s="7"/>
      <c r="G722" s="8"/>
      <c r="H722" s="8"/>
      <c r="I722" s="8"/>
      <c r="J722" s="9"/>
      <c r="K722" s="8"/>
    </row>
    <row r="723" spans="1:11" s="6" customFormat="1" x14ac:dyDescent="0.2">
      <c r="A723" s="5"/>
      <c r="C723" s="7"/>
      <c r="D723" s="7"/>
      <c r="E723" s="7"/>
      <c r="F723" s="7"/>
      <c r="G723" s="8"/>
      <c r="H723" s="8"/>
      <c r="I723" s="8"/>
      <c r="J723" s="9"/>
      <c r="K723" s="8"/>
    </row>
    <row r="724" spans="1:11" s="6" customFormat="1" x14ac:dyDescent="0.2">
      <c r="A724" s="5"/>
      <c r="C724" s="7"/>
      <c r="D724" s="7"/>
      <c r="E724" s="7"/>
      <c r="F724" s="7"/>
      <c r="G724" s="8"/>
      <c r="H724" s="8"/>
      <c r="I724" s="8"/>
      <c r="J724" s="9"/>
      <c r="K724" s="8"/>
    </row>
    <row r="725" spans="1:11" s="6" customFormat="1" x14ac:dyDescent="0.2">
      <c r="A725" s="5"/>
      <c r="C725" s="7"/>
      <c r="D725" s="7"/>
      <c r="E725" s="7"/>
      <c r="F725" s="7"/>
      <c r="G725" s="8"/>
      <c r="H725" s="8"/>
      <c r="I725" s="8"/>
      <c r="J725" s="9"/>
      <c r="K725" s="8"/>
    </row>
    <row r="726" spans="1:11" s="6" customFormat="1" x14ac:dyDescent="0.2">
      <c r="A726" s="5"/>
      <c r="C726" s="7"/>
      <c r="D726" s="7"/>
      <c r="E726" s="7"/>
      <c r="F726" s="7"/>
      <c r="G726" s="8"/>
      <c r="H726" s="8"/>
      <c r="I726" s="8"/>
      <c r="J726" s="9"/>
      <c r="K726" s="8"/>
    </row>
    <row r="727" spans="1:11" s="6" customFormat="1" x14ac:dyDescent="0.2">
      <c r="A727" s="5"/>
      <c r="C727" s="7"/>
      <c r="D727" s="7"/>
      <c r="E727" s="7"/>
      <c r="F727" s="7"/>
      <c r="G727" s="8"/>
      <c r="H727" s="8"/>
      <c r="I727" s="8"/>
      <c r="J727" s="9"/>
      <c r="K727" s="8"/>
    </row>
    <row r="728" spans="1:11" s="6" customFormat="1" x14ac:dyDescent="0.2">
      <c r="A728" s="5"/>
      <c r="C728" s="7"/>
      <c r="D728" s="7"/>
      <c r="E728" s="7"/>
      <c r="F728" s="7"/>
      <c r="G728" s="8"/>
      <c r="H728" s="8"/>
      <c r="I728" s="8"/>
      <c r="J728" s="9"/>
      <c r="K728" s="8"/>
    </row>
    <row r="729" spans="1:11" s="6" customFormat="1" x14ac:dyDescent="0.2">
      <c r="A729" s="5"/>
      <c r="C729" s="7"/>
      <c r="D729" s="7"/>
      <c r="E729" s="7"/>
      <c r="F729" s="7"/>
      <c r="G729" s="8"/>
      <c r="H729" s="8"/>
      <c r="I729" s="8"/>
      <c r="J729" s="9"/>
      <c r="K729" s="8"/>
    </row>
    <row r="730" spans="1:11" s="6" customFormat="1" x14ac:dyDescent="0.2">
      <c r="A730" s="5"/>
      <c r="C730" s="7"/>
      <c r="D730" s="7"/>
      <c r="E730" s="7"/>
      <c r="F730" s="7"/>
      <c r="G730" s="8"/>
      <c r="H730" s="8"/>
      <c r="I730" s="8"/>
      <c r="J730" s="9"/>
      <c r="K730" s="8"/>
    </row>
    <row r="731" spans="1:11" s="6" customFormat="1" x14ac:dyDescent="0.2">
      <c r="A731" s="5"/>
      <c r="C731" s="7"/>
      <c r="D731" s="7"/>
      <c r="E731" s="7"/>
      <c r="F731" s="7"/>
      <c r="G731" s="8"/>
      <c r="H731" s="8"/>
      <c r="I731" s="8"/>
      <c r="J731" s="9"/>
      <c r="K731" s="8"/>
    </row>
    <row r="732" spans="1:11" s="6" customFormat="1" x14ac:dyDescent="0.2">
      <c r="A732" s="5"/>
      <c r="C732" s="7"/>
      <c r="D732" s="7"/>
      <c r="E732" s="7"/>
      <c r="F732" s="7"/>
      <c r="G732" s="8"/>
      <c r="H732" s="8"/>
      <c r="I732" s="8"/>
      <c r="J732" s="9"/>
      <c r="K732" s="8"/>
    </row>
    <row r="733" spans="1:11" s="6" customFormat="1" x14ac:dyDescent="0.2">
      <c r="A733" s="5"/>
      <c r="C733" s="7"/>
      <c r="D733" s="7"/>
      <c r="E733" s="7"/>
      <c r="F733" s="7"/>
      <c r="G733" s="8"/>
      <c r="H733" s="8"/>
      <c r="I733" s="8"/>
      <c r="J733" s="9"/>
      <c r="K733" s="8"/>
    </row>
    <row r="734" spans="1:11" s="6" customFormat="1" x14ac:dyDescent="0.2">
      <c r="A734" s="5"/>
      <c r="C734" s="7"/>
      <c r="D734" s="7"/>
      <c r="E734" s="7"/>
      <c r="F734" s="7"/>
      <c r="G734" s="8"/>
      <c r="H734" s="8"/>
      <c r="I734" s="8"/>
      <c r="J734" s="9"/>
      <c r="K734" s="8"/>
    </row>
    <row r="735" spans="1:11" s="6" customFormat="1" x14ac:dyDescent="0.2">
      <c r="A735" s="5"/>
      <c r="C735" s="7"/>
      <c r="D735" s="7"/>
      <c r="E735" s="7"/>
      <c r="F735" s="7"/>
      <c r="G735" s="8"/>
      <c r="H735" s="8"/>
      <c r="I735" s="8"/>
      <c r="J735" s="9"/>
      <c r="K735" s="8"/>
    </row>
    <row r="736" spans="1:11" s="6" customFormat="1" x14ac:dyDescent="0.2">
      <c r="A736" s="5"/>
      <c r="C736" s="7"/>
      <c r="D736" s="7"/>
      <c r="E736" s="7"/>
      <c r="F736" s="7"/>
      <c r="G736" s="8"/>
      <c r="H736" s="8"/>
      <c r="I736" s="8"/>
      <c r="J736" s="9"/>
      <c r="K736" s="8"/>
    </row>
    <row r="737" spans="1:11" s="6" customFormat="1" x14ac:dyDescent="0.2">
      <c r="A737" s="5"/>
      <c r="C737" s="7"/>
      <c r="D737" s="7"/>
      <c r="E737" s="7"/>
      <c r="F737" s="7"/>
      <c r="G737" s="8"/>
      <c r="H737" s="8"/>
      <c r="I737" s="8"/>
      <c r="J737" s="9"/>
      <c r="K737" s="8"/>
    </row>
    <row r="738" spans="1:11" s="6" customFormat="1" x14ac:dyDescent="0.2">
      <c r="A738" s="5"/>
      <c r="C738" s="7"/>
      <c r="D738" s="7"/>
      <c r="E738" s="7"/>
      <c r="F738" s="7"/>
      <c r="G738" s="8"/>
      <c r="H738" s="8"/>
      <c r="I738" s="8"/>
      <c r="J738" s="9"/>
      <c r="K738" s="8"/>
    </row>
    <row r="739" spans="1:11" s="6" customFormat="1" x14ac:dyDescent="0.2">
      <c r="A739" s="5"/>
      <c r="C739" s="7"/>
      <c r="D739" s="7"/>
      <c r="E739" s="7"/>
      <c r="F739" s="7"/>
      <c r="G739" s="8"/>
      <c r="H739" s="8"/>
      <c r="I739" s="8"/>
      <c r="J739" s="9"/>
      <c r="K739" s="8"/>
    </row>
    <row r="740" spans="1:11" s="6" customFormat="1" x14ac:dyDescent="0.2">
      <c r="A740" s="5"/>
      <c r="C740" s="7"/>
      <c r="D740" s="7"/>
      <c r="E740" s="7"/>
      <c r="F740" s="7"/>
      <c r="G740" s="8"/>
      <c r="H740" s="8"/>
      <c r="I740" s="8"/>
      <c r="J740" s="9"/>
      <c r="K740" s="8"/>
    </row>
    <row r="741" spans="1:11" s="6" customFormat="1" x14ac:dyDescent="0.2">
      <c r="A741" s="5"/>
      <c r="C741" s="7"/>
      <c r="D741" s="7"/>
      <c r="E741" s="7"/>
      <c r="F741" s="7"/>
      <c r="G741" s="8"/>
      <c r="H741" s="8"/>
      <c r="I741" s="8"/>
      <c r="J741" s="9"/>
      <c r="K741" s="8"/>
    </row>
    <row r="742" spans="1:11" s="6" customFormat="1" x14ac:dyDescent="0.2">
      <c r="A742" s="5"/>
      <c r="C742" s="7"/>
      <c r="D742" s="7"/>
      <c r="E742" s="7"/>
      <c r="F742" s="7"/>
      <c r="G742" s="8"/>
      <c r="H742" s="8"/>
      <c r="I742" s="8"/>
      <c r="J742" s="9"/>
      <c r="K742" s="8"/>
    </row>
    <row r="743" spans="1:11" s="6" customFormat="1" x14ac:dyDescent="0.2">
      <c r="A743" s="5"/>
      <c r="C743" s="7"/>
      <c r="D743" s="7"/>
      <c r="E743" s="7"/>
      <c r="F743" s="7"/>
      <c r="G743" s="8"/>
      <c r="H743" s="8"/>
      <c r="I743" s="8"/>
      <c r="J743" s="9"/>
      <c r="K743" s="8"/>
    </row>
    <row r="744" spans="1:11" s="6" customFormat="1" x14ac:dyDescent="0.2">
      <c r="A744" s="5"/>
      <c r="C744" s="7"/>
      <c r="D744" s="7"/>
      <c r="E744" s="7"/>
      <c r="F744" s="7"/>
      <c r="G744" s="8"/>
      <c r="H744" s="8"/>
      <c r="I744" s="8"/>
      <c r="J744" s="9"/>
      <c r="K744" s="8"/>
    </row>
    <row r="745" spans="1:11" s="6" customFormat="1" x14ac:dyDescent="0.2">
      <c r="A745" s="5"/>
      <c r="C745" s="7"/>
      <c r="D745" s="7"/>
      <c r="E745" s="7"/>
      <c r="F745" s="7"/>
      <c r="G745" s="8"/>
      <c r="H745" s="8"/>
      <c r="I745" s="8"/>
      <c r="J745" s="9"/>
      <c r="K745" s="8"/>
    </row>
    <row r="746" spans="1:11" s="6" customFormat="1" x14ac:dyDescent="0.2">
      <c r="A746" s="5"/>
      <c r="C746" s="7"/>
      <c r="D746" s="7"/>
      <c r="E746" s="7"/>
      <c r="F746" s="7"/>
      <c r="G746" s="8"/>
      <c r="H746" s="8"/>
      <c r="I746" s="8"/>
      <c r="J746" s="9"/>
      <c r="K746" s="8"/>
    </row>
    <row r="747" spans="1:11" s="6" customFormat="1" x14ac:dyDescent="0.2">
      <c r="A747" s="5"/>
      <c r="C747" s="7"/>
      <c r="D747" s="7"/>
      <c r="E747" s="7"/>
      <c r="F747" s="7"/>
      <c r="G747" s="8"/>
      <c r="H747" s="8"/>
      <c r="I747" s="8"/>
      <c r="J747" s="9"/>
      <c r="K747" s="8"/>
    </row>
    <row r="748" spans="1:11" s="6" customFormat="1" x14ac:dyDescent="0.2">
      <c r="A748" s="5"/>
      <c r="C748" s="7"/>
      <c r="D748" s="7"/>
      <c r="E748" s="7"/>
      <c r="F748" s="7"/>
      <c r="G748" s="8"/>
      <c r="H748" s="8"/>
      <c r="I748" s="8"/>
      <c r="J748" s="9"/>
      <c r="K748" s="8"/>
    </row>
    <row r="749" spans="1:11" s="6" customFormat="1" x14ac:dyDescent="0.2">
      <c r="A749" s="5"/>
      <c r="C749" s="7"/>
      <c r="D749" s="7"/>
      <c r="E749" s="7"/>
      <c r="F749" s="7"/>
      <c r="G749" s="8"/>
      <c r="H749" s="8"/>
      <c r="I749" s="8"/>
      <c r="J749" s="9"/>
      <c r="K749" s="8"/>
    </row>
    <row r="750" spans="1:11" s="6" customFormat="1" x14ac:dyDescent="0.2">
      <c r="A750" s="5"/>
      <c r="C750" s="7"/>
      <c r="D750" s="7"/>
      <c r="E750" s="7"/>
      <c r="F750" s="7"/>
      <c r="G750" s="8"/>
      <c r="H750" s="8"/>
      <c r="I750" s="8"/>
      <c r="J750" s="9"/>
      <c r="K750" s="8"/>
    </row>
    <row r="751" spans="1:11" s="6" customFormat="1" x14ac:dyDescent="0.2">
      <c r="A751" s="5"/>
      <c r="C751" s="7"/>
      <c r="D751" s="7"/>
      <c r="E751" s="7"/>
      <c r="F751" s="7"/>
      <c r="G751" s="8"/>
      <c r="H751" s="8"/>
      <c r="I751" s="8"/>
      <c r="J751" s="9"/>
      <c r="K751" s="8"/>
    </row>
    <row r="752" spans="1:11" s="6" customFormat="1" x14ac:dyDescent="0.2">
      <c r="A752" s="5"/>
      <c r="C752" s="7"/>
      <c r="D752" s="7"/>
      <c r="E752" s="7"/>
      <c r="F752" s="7"/>
      <c r="G752" s="8"/>
      <c r="H752" s="8"/>
      <c r="I752" s="8"/>
      <c r="J752" s="9"/>
      <c r="K752" s="8"/>
    </row>
    <row r="753" spans="1:11" s="6" customFormat="1" x14ac:dyDescent="0.2">
      <c r="A753" s="5"/>
      <c r="C753" s="7"/>
      <c r="D753" s="7"/>
      <c r="E753" s="7"/>
      <c r="F753" s="7"/>
      <c r="G753" s="8"/>
      <c r="H753" s="8"/>
      <c r="I753" s="8"/>
      <c r="J753" s="9"/>
      <c r="K753" s="8"/>
    </row>
    <row r="754" spans="1:11" s="6" customFormat="1" x14ac:dyDescent="0.2">
      <c r="A754" s="5"/>
      <c r="C754" s="7"/>
      <c r="D754" s="7"/>
      <c r="E754" s="7"/>
      <c r="F754" s="7"/>
      <c r="G754" s="8"/>
      <c r="H754" s="8"/>
      <c r="I754" s="8"/>
      <c r="J754" s="9"/>
      <c r="K754" s="8"/>
    </row>
    <row r="755" spans="1:11" s="6" customFormat="1" x14ac:dyDescent="0.2">
      <c r="A755" s="5"/>
      <c r="C755" s="7"/>
      <c r="D755" s="7"/>
      <c r="E755" s="7"/>
      <c r="F755" s="7"/>
      <c r="G755" s="8"/>
      <c r="H755" s="8"/>
      <c r="I755" s="8"/>
      <c r="J755" s="9"/>
      <c r="K755" s="8"/>
    </row>
    <row r="756" spans="1:11" s="6" customFormat="1" x14ac:dyDescent="0.2">
      <c r="A756" s="5"/>
      <c r="C756" s="7"/>
      <c r="D756" s="7"/>
      <c r="E756" s="7"/>
      <c r="F756" s="7"/>
      <c r="G756" s="8"/>
      <c r="H756" s="8"/>
      <c r="I756" s="8"/>
      <c r="J756" s="9"/>
      <c r="K756" s="8"/>
    </row>
    <row r="757" spans="1:11" s="6" customFormat="1" x14ac:dyDescent="0.2">
      <c r="A757" s="5"/>
      <c r="C757" s="7"/>
      <c r="D757" s="7"/>
      <c r="E757" s="7"/>
      <c r="F757" s="7"/>
      <c r="G757" s="8"/>
      <c r="H757" s="8"/>
      <c r="I757" s="8"/>
      <c r="J757" s="9"/>
      <c r="K757" s="8"/>
    </row>
    <row r="758" spans="1:11" s="6" customFormat="1" x14ac:dyDescent="0.2">
      <c r="A758" s="5"/>
      <c r="C758" s="7"/>
      <c r="D758" s="7"/>
      <c r="E758" s="7"/>
      <c r="F758" s="7"/>
      <c r="G758" s="8"/>
      <c r="H758" s="8"/>
      <c r="I758" s="8"/>
      <c r="J758" s="9"/>
      <c r="K758" s="8"/>
    </row>
    <row r="759" spans="1:11" s="6" customFormat="1" x14ac:dyDescent="0.2">
      <c r="A759" s="5"/>
      <c r="C759" s="7"/>
      <c r="D759" s="7"/>
      <c r="E759" s="7"/>
      <c r="F759" s="7"/>
      <c r="G759" s="8"/>
      <c r="H759" s="8"/>
      <c r="I759" s="8"/>
      <c r="J759" s="9"/>
      <c r="K759" s="8"/>
    </row>
    <row r="760" spans="1:11" s="6" customFormat="1" x14ac:dyDescent="0.2">
      <c r="A760" s="5"/>
      <c r="C760" s="7"/>
      <c r="D760" s="7"/>
      <c r="E760" s="7"/>
      <c r="F760" s="7"/>
      <c r="G760" s="8"/>
      <c r="H760" s="8"/>
      <c r="I760" s="8"/>
      <c r="J760" s="9"/>
      <c r="K760" s="8"/>
    </row>
    <row r="761" spans="1:11" s="6" customFormat="1" x14ac:dyDescent="0.2">
      <c r="A761" s="5"/>
      <c r="C761" s="7"/>
      <c r="D761" s="7"/>
      <c r="E761" s="7"/>
      <c r="F761" s="7"/>
      <c r="G761" s="8"/>
      <c r="H761" s="8"/>
      <c r="I761" s="8"/>
      <c r="J761" s="9"/>
      <c r="K761" s="8"/>
    </row>
    <row r="762" spans="1:11" s="6" customFormat="1" x14ac:dyDescent="0.2">
      <c r="A762" s="5"/>
      <c r="C762" s="7"/>
      <c r="D762" s="7"/>
      <c r="E762" s="7"/>
      <c r="F762" s="7"/>
      <c r="G762" s="8"/>
      <c r="H762" s="8"/>
      <c r="I762" s="8"/>
      <c r="J762" s="9"/>
      <c r="K762" s="8"/>
    </row>
    <row r="763" spans="1:11" s="6" customFormat="1" x14ac:dyDescent="0.2">
      <c r="A763" s="5"/>
      <c r="C763" s="7"/>
      <c r="D763" s="7"/>
      <c r="E763" s="7"/>
      <c r="F763" s="7"/>
      <c r="G763" s="8"/>
      <c r="H763" s="8"/>
      <c r="I763" s="8"/>
      <c r="J763" s="9"/>
      <c r="K763" s="8"/>
    </row>
    <row r="764" spans="1:11" s="6" customFormat="1" x14ac:dyDescent="0.2">
      <c r="A764" s="5"/>
      <c r="C764" s="7"/>
      <c r="D764" s="7"/>
      <c r="E764" s="7"/>
      <c r="F764" s="7"/>
      <c r="G764" s="8"/>
      <c r="H764" s="8"/>
      <c r="I764" s="8"/>
      <c r="J764" s="9"/>
      <c r="K764" s="8"/>
    </row>
    <row r="765" spans="1:11" s="6" customFormat="1" x14ac:dyDescent="0.2">
      <c r="A765" s="5"/>
      <c r="C765" s="7"/>
      <c r="D765" s="7"/>
      <c r="E765" s="7"/>
      <c r="F765" s="7"/>
      <c r="G765" s="8"/>
      <c r="H765" s="8"/>
      <c r="I765" s="8"/>
      <c r="J765" s="9"/>
      <c r="K765" s="8"/>
    </row>
    <row r="766" spans="1:11" s="6" customFormat="1" x14ac:dyDescent="0.2">
      <c r="A766" s="5"/>
      <c r="C766" s="7"/>
      <c r="D766" s="7"/>
      <c r="E766" s="7"/>
      <c r="F766" s="7"/>
      <c r="G766" s="8"/>
      <c r="H766" s="8"/>
      <c r="I766" s="8"/>
      <c r="J766" s="9"/>
      <c r="K766" s="8"/>
    </row>
    <row r="767" spans="1:11" s="6" customFormat="1" x14ac:dyDescent="0.2">
      <c r="A767" s="5"/>
      <c r="C767" s="7"/>
      <c r="D767" s="7"/>
      <c r="E767" s="7"/>
      <c r="F767" s="7"/>
      <c r="G767" s="8"/>
      <c r="H767" s="8"/>
      <c r="I767" s="8"/>
      <c r="J767" s="9"/>
      <c r="K767" s="8"/>
    </row>
    <row r="768" spans="1:11" s="6" customFormat="1" x14ac:dyDescent="0.2">
      <c r="A768" s="5"/>
      <c r="C768" s="7"/>
      <c r="D768" s="7"/>
      <c r="E768" s="7"/>
      <c r="F768" s="7"/>
      <c r="G768" s="8"/>
      <c r="H768" s="8"/>
      <c r="I768" s="8"/>
      <c r="J768" s="9"/>
      <c r="K768" s="8"/>
    </row>
    <row r="769" spans="1:11" s="6" customFormat="1" x14ac:dyDescent="0.2">
      <c r="A769" s="5"/>
      <c r="C769" s="7"/>
      <c r="D769" s="7"/>
      <c r="E769" s="7"/>
      <c r="F769" s="7"/>
      <c r="G769" s="8"/>
      <c r="H769" s="8"/>
      <c r="I769" s="8"/>
      <c r="J769" s="9"/>
      <c r="K769" s="8"/>
    </row>
    <row r="770" spans="1:11" s="6" customFormat="1" x14ac:dyDescent="0.2">
      <c r="A770" s="5"/>
      <c r="C770" s="7"/>
      <c r="D770" s="7"/>
      <c r="E770" s="7"/>
      <c r="F770" s="7"/>
      <c r="G770" s="8"/>
      <c r="H770" s="8"/>
      <c r="I770" s="8"/>
      <c r="J770" s="9"/>
      <c r="K770" s="8"/>
    </row>
    <row r="771" spans="1:11" s="6" customFormat="1" x14ac:dyDescent="0.2">
      <c r="A771" s="5"/>
      <c r="C771" s="7"/>
      <c r="D771" s="7"/>
      <c r="E771" s="7"/>
      <c r="F771" s="7"/>
      <c r="G771" s="8"/>
      <c r="H771" s="8"/>
      <c r="I771" s="8"/>
      <c r="J771" s="9"/>
      <c r="K771" s="8"/>
    </row>
    <row r="772" spans="1:11" s="6" customFormat="1" x14ac:dyDescent="0.2">
      <c r="A772" s="5"/>
      <c r="C772" s="7"/>
      <c r="D772" s="7"/>
      <c r="E772" s="7"/>
      <c r="F772" s="7"/>
      <c r="G772" s="8"/>
      <c r="H772" s="8"/>
      <c r="I772" s="8"/>
      <c r="J772" s="9"/>
      <c r="K772" s="8"/>
    </row>
    <row r="773" spans="1:11" s="6" customFormat="1" x14ac:dyDescent="0.2">
      <c r="A773" s="5"/>
      <c r="C773" s="7"/>
      <c r="D773" s="7"/>
      <c r="E773" s="7"/>
      <c r="F773" s="7"/>
      <c r="G773" s="8"/>
      <c r="H773" s="8"/>
      <c r="I773" s="8"/>
      <c r="J773" s="9"/>
      <c r="K773" s="8"/>
    </row>
    <row r="774" spans="1:11" s="6" customFormat="1" x14ac:dyDescent="0.2">
      <c r="A774" s="5"/>
      <c r="C774" s="7"/>
      <c r="D774" s="7"/>
      <c r="E774" s="7"/>
      <c r="F774" s="7"/>
      <c r="G774" s="8"/>
      <c r="H774" s="8"/>
      <c r="I774" s="8"/>
      <c r="J774" s="9"/>
      <c r="K774" s="8"/>
    </row>
    <row r="775" spans="1:11" s="6" customFormat="1" x14ac:dyDescent="0.2">
      <c r="A775" s="5"/>
      <c r="C775" s="7"/>
      <c r="D775" s="7"/>
      <c r="E775" s="7"/>
      <c r="F775" s="7"/>
      <c r="G775" s="8"/>
      <c r="H775" s="8"/>
      <c r="I775" s="8"/>
      <c r="J775" s="9"/>
      <c r="K775" s="8"/>
    </row>
    <row r="776" spans="1:11" s="6" customFormat="1" x14ac:dyDescent="0.2">
      <c r="A776" s="5"/>
      <c r="C776" s="7"/>
      <c r="D776" s="7"/>
      <c r="E776" s="7"/>
      <c r="F776" s="7"/>
      <c r="G776" s="8"/>
      <c r="H776" s="8"/>
      <c r="I776" s="8"/>
      <c r="J776" s="9"/>
      <c r="K776" s="8"/>
    </row>
    <row r="777" spans="1:11" s="6" customFormat="1" x14ac:dyDescent="0.2">
      <c r="A777" s="5"/>
      <c r="C777" s="7"/>
      <c r="D777" s="7"/>
      <c r="E777" s="7"/>
      <c r="F777" s="7"/>
      <c r="G777" s="8"/>
      <c r="H777" s="8"/>
      <c r="I777" s="8"/>
      <c r="J777" s="9"/>
      <c r="K777" s="8"/>
    </row>
    <row r="778" spans="1:11" s="6" customFormat="1" x14ac:dyDescent="0.2">
      <c r="A778" s="5"/>
      <c r="C778" s="7"/>
      <c r="D778" s="7"/>
      <c r="E778" s="7"/>
      <c r="F778" s="7"/>
      <c r="G778" s="8"/>
      <c r="H778" s="8"/>
      <c r="I778" s="8"/>
      <c r="J778" s="9"/>
      <c r="K778" s="8"/>
    </row>
    <row r="779" spans="1:11" s="6" customFormat="1" x14ac:dyDescent="0.2">
      <c r="A779" s="5"/>
      <c r="C779" s="7"/>
      <c r="D779" s="7"/>
      <c r="E779" s="7"/>
      <c r="F779" s="7"/>
      <c r="G779" s="8"/>
      <c r="H779" s="8"/>
      <c r="I779" s="8"/>
      <c r="J779" s="9"/>
      <c r="K779" s="8"/>
    </row>
    <row r="780" spans="1:11" s="6" customFormat="1" x14ac:dyDescent="0.2">
      <c r="A780" s="5"/>
      <c r="C780" s="7"/>
      <c r="D780" s="7"/>
      <c r="E780" s="7"/>
      <c r="F780" s="7"/>
      <c r="G780" s="8"/>
      <c r="H780" s="8"/>
      <c r="I780" s="8"/>
      <c r="J780" s="9"/>
      <c r="K780" s="8"/>
    </row>
    <row r="781" spans="1:11" s="6" customFormat="1" x14ac:dyDescent="0.2">
      <c r="A781" s="5"/>
      <c r="C781" s="7"/>
      <c r="D781" s="7"/>
      <c r="E781" s="7"/>
      <c r="F781" s="7"/>
      <c r="G781" s="8"/>
      <c r="H781" s="8"/>
      <c r="I781" s="8"/>
      <c r="J781" s="9"/>
      <c r="K781" s="8"/>
    </row>
    <row r="782" spans="1:11" s="6" customFormat="1" x14ac:dyDescent="0.2">
      <c r="A782" s="5"/>
      <c r="C782" s="7"/>
      <c r="D782" s="7"/>
      <c r="E782" s="7"/>
      <c r="F782" s="7"/>
      <c r="G782" s="8"/>
      <c r="H782" s="8"/>
      <c r="I782" s="8"/>
      <c r="J782" s="9"/>
      <c r="K782" s="8"/>
    </row>
    <row r="783" spans="1:11" s="6" customFormat="1" x14ac:dyDescent="0.2">
      <c r="A783" s="5"/>
      <c r="C783" s="7"/>
      <c r="D783" s="7"/>
      <c r="E783" s="7"/>
      <c r="F783" s="7"/>
      <c r="G783" s="8"/>
      <c r="H783" s="8"/>
      <c r="I783" s="8"/>
      <c r="J783" s="9"/>
      <c r="K783" s="8"/>
    </row>
    <row r="784" spans="1:11" s="6" customFormat="1" x14ac:dyDescent="0.2">
      <c r="A784" s="5"/>
      <c r="C784" s="7"/>
      <c r="D784" s="7"/>
      <c r="E784" s="7"/>
      <c r="F784" s="7"/>
      <c r="G784" s="8"/>
      <c r="H784" s="8"/>
      <c r="I784" s="8"/>
      <c r="J784" s="9"/>
      <c r="K784" s="8"/>
    </row>
    <row r="785" spans="1:11" s="6" customFormat="1" x14ac:dyDescent="0.2">
      <c r="A785" s="5"/>
      <c r="C785" s="7"/>
      <c r="D785" s="7"/>
      <c r="E785" s="7"/>
      <c r="F785" s="7"/>
      <c r="G785" s="8"/>
      <c r="H785" s="8"/>
      <c r="I785" s="8"/>
      <c r="J785" s="9"/>
      <c r="K785" s="8"/>
    </row>
    <row r="786" spans="1:11" s="6" customFormat="1" x14ac:dyDescent="0.2">
      <c r="A786" s="5"/>
      <c r="C786" s="7"/>
      <c r="D786" s="7"/>
      <c r="E786" s="7"/>
      <c r="F786" s="7"/>
      <c r="G786" s="8"/>
      <c r="H786" s="8"/>
      <c r="I786" s="8"/>
      <c r="J786" s="9"/>
      <c r="K786" s="8"/>
    </row>
    <row r="787" spans="1:11" s="6" customFormat="1" x14ac:dyDescent="0.2">
      <c r="A787" s="5"/>
      <c r="C787" s="7"/>
      <c r="D787" s="7"/>
      <c r="E787" s="7"/>
      <c r="F787" s="7"/>
      <c r="G787" s="8"/>
      <c r="H787" s="8"/>
      <c r="I787" s="8"/>
      <c r="J787" s="9"/>
      <c r="K787" s="8"/>
    </row>
    <row r="788" spans="1:11" s="6" customFormat="1" x14ac:dyDescent="0.2">
      <c r="A788" s="5"/>
      <c r="C788" s="7"/>
      <c r="D788" s="7"/>
      <c r="E788" s="7"/>
      <c r="F788" s="7"/>
      <c r="G788" s="8"/>
      <c r="H788" s="8"/>
      <c r="I788" s="8"/>
      <c r="J788" s="9"/>
      <c r="K788" s="8"/>
    </row>
    <row r="789" spans="1:11" s="6" customFormat="1" x14ac:dyDescent="0.2">
      <c r="A789" s="5"/>
      <c r="C789" s="7"/>
      <c r="D789" s="7"/>
      <c r="E789" s="7"/>
      <c r="F789" s="7"/>
      <c r="G789" s="8"/>
      <c r="H789" s="8"/>
      <c r="I789" s="8"/>
      <c r="J789" s="9"/>
      <c r="K789" s="8"/>
    </row>
    <row r="790" spans="1:11" s="6" customFormat="1" x14ac:dyDescent="0.2">
      <c r="A790" s="5"/>
      <c r="C790" s="7"/>
      <c r="D790" s="7"/>
      <c r="E790" s="7"/>
      <c r="F790" s="7"/>
      <c r="G790" s="8"/>
      <c r="H790" s="8"/>
      <c r="I790" s="8"/>
      <c r="J790" s="9"/>
      <c r="K790" s="8"/>
    </row>
    <row r="791" spans="1:11" s="6" customFormat="1" x14ac:dyDescent="0.2">
      <c r="A791" s="5"/>
      <c r="C791" s="7"/>
      <c r="D791" s="7"/>
      <c r="E791" s="7"/>
      <c r="F791" s="7"/>
      <c r="G791" s="8"/>
      <c r="H791" s="8"/>
      <c r="I791" s="8"/>
      <c r="J791" s="9"/>
      <c r="K791" s="8"/>
    </row>
    <row r="792" spans="1:11" s="6" customFormat="1" x14ac:dyDescent="0.2">
      <c r="A792" s="5"/>
      <c r="C792" s="7"/>
      <c r="D792" s="7"/>
      <c r="E792" s="7"/>
      <c r="F792" s="7"/>
      <c r="G792" s="8"/>
      <c r="H792" s="8"/>
      <c r="I792" s="8"/>
      <c r="J792" s="9"/>
      <c r="K792" s="8"/>
    </row>
    <row r="793" spans="1:11" s="6" customFormat="1" x14ac:dyDescent="0.2">
      <c r="A793" s="5"/>
      <c r="C793" s="7"/>
      <c r="D793" s="7"/>
      <c r="E793" s="7"/>
      <c r="F793" s="7"/>
      <c r="G793" s="8"/>
      <c r="H793" s="8"/>
      <c r="I793" s="8"/>
      <c r="J793" s="9"/>
      <c r="K793" s="8"/>
    </row>
    <row r="794" spans="1:11" s="6" customFormat="1" x14ac:dyDescent="0.2">
      <c r="A794" s="5"/>
      <c r="C794" s="7"/>
      <c r="D794" s="7"/>
      <c r="E794" s="7"/>
      <c r="F794" s="7"/>
      <c r="G794" s="8"/>
      <c r="H794" s="8"/>
      <c r="I794" s="8"/>
      <c r="J794" s="9"/>
      <c r="K794" s="8"/>
    </row>
    <row r="795" spans="1:11" s="6" customFormat="1" x14ac:dyDescent="0.2">
      <c r="A795" s="5"/>
      <c r="C795" s="7"/>
      <c r="D795" s="7"/>
      <c r="E795" s="7"/>
      <c r="F795" s="7"/>
      <c r="G795" s="8"/>
      <c r="H795" s="8"/>
      <c r="I795" s="8"/>
      <c r="J795" s="9"/>
      <c r="K795" s="8"/>
    </row>
    <row r="796" spans="1:11" s="6" customFormat="1" x14ac:dyDescent="0.2">
      <c r="A796" s="5"/>
      <c r="C796" s="7"/>
      <c r="D796" s="7"/>
      <c r="E796" s="7"/>
      <c r="F796" s="7"/>
      <c r="G796" s="8"/>
      <c r="H796" s="8"/>
      <c r="I796" s="8"/>
      <c r="J796" s="9"/>
      <c r="K796" s="8"/>
    </row>
    <row r="797" spans="1:11" s="6" customFormat="1" x14ac:dyDescent="0.2">
      <c r="A797" s="5"/>
      <c r="C797" s="7"/>
      <c r="D797" s="7"/>
      <c r="E797" s="7"/>
      <c r="F797" s="7"/>
      <c r="G797" s="8"/>
      <c r="H797" s="8"/>
      <c r="I797" s="8"/>
      <c r="J797" s="9"/>
      <c r="K797" s="8"/>
    </row>
    <row r="798" spans="1:11" s="6" customFormat="1" x14ac:dyDescent="0.2">
      <c r="A798" s="5"/>
      <c r="C798" s="7"/>
      <c r="D798" s="7"/>
      <c r="E798" s="7"/>
      <c r="F798" s="7"/>
      <c r="G798" s="8"/>
      <c r="H798" s="8"/>
      <c r="I798" s="8"/>
      <c r="J798" s="9"/>
      <c r="K798" s="8"/>
    </row>
    <row r="799" spans="1:11" s="6" customFormat="1" x14ac:dyDescent="0.2">
      <c r="A799" s="5"/>
      <c r="C799" s="7"/>
      <c r="D799" s="7"/>
      <c r="E799" s="7"/>
      <c r="F799" s="7"/>
      <c r="G799" s="8"/>
      <c r="H799" s="8"/>
      <c r="I799" s="8"/>
      <c r="J799" s="9"/>
      <c r="K799" s="8"/>
    </row>
    <row r="800" spans="1:11" s="6" customFormat="1" x14ac:dyDescent="0.2">
      <c r="A800" s="5"/>
      <c r="C800" s="7"/>
      <c r="D800" s="7"/>
      <c r="E800" s="7"/>
      <c r="F800" s="7"/>
      <c r="G800" s="8"/>
      <c r="H800" s="8"/>
      <c r="I800" s="8"/>
      <c r="J800" s="9"/>
      <c r="K800" s="8"/>
    </row>
    <row r="801" spans="1:11" s="6" customFormat="1" x14ac:dyDescent="0.2">
      <c r="A801" s="5"/>
      <c r="C801" s="7"/>
      <c r="D801" s="7"/>
      <c r="E801" s="7"/>
      <c r="F801" s="7"/>
      <c r="G801" s="8"/>
      <c r="H801" s="8"/>
      <c r="I801" s="8"/>
      <c r="J801" s="9"/>
      <c r="K801" s="8"/>
    </row>
    <row r="802" spans="1:11" s="6" customFormat="1" x14ac:dyDescent="0.2">
      <c r="A802" s="5"/>
      <c r="C802" s="7"/>
      <c r="D802" s="7"/>
      <c r="E802" s="7"/>
      <c r="F802" s="7"/>
      <c r="G802" s="8"/>
      <c r="H802" s="8"/>
      <c r="I802" s="8"/>
      <c r="J802" s="9"/>
      <c r="K802" s="8"/>
    </row>
    <row r="803" spans="1:11" s="6" customFormat="1" x14ac:dyDescent="0.2">
      <c r="A803" s="5"/>
      <c r="C803" s="7"/>
      <c r="D803" s="7"/>
      <c r="E803" s="7"/>
      <c r="F803" s="7"/>
      <c r="G803" s="8"/>
      <c r="H803" s="8"/>
      <c r="I803" s="8"/>
      <c r="J803" s="9"/>
      <c r="K803" s="8"/>
    </row>
    <row r="804" spans="1:11" s="6" customFormat="1" x14ac:dyDescent="0.2">
      <c r="A804" s="5"/>
      <c r="C804" s="7"/>
      <c r="D804" s="7"/>
      <c r="E804" s="7"/>
      <c r="F804" s="7"/>
      <c r="G804" s="8"/>
      <c r="H804" s="8"/>
      <c r="I804" s="8"/>
      <c r="J804" s="9"/>
      <c r="K804" s="8"/>
    </row>
    <row r="805" spans="1:11" s="6" customFormat="1" x14ac:dyDescent="0.2">
      <c r="A805" s="5"/>
      <c r="C805" s="7"/>
      <c r="D805" s="7"/>
      <c r="E805" s="7"/>
      <c r="F805" s="7"/>
      <c r="G805" s="8"/>
      <c r="H805" s="8"/>
      <c r="I805" s="8"/>
      <c r="J805" s="9"/>
      <c r="K805" s="8"/>
    </row>
    <row r="806" spans="1:11" s="6" customFormat="1" x14ac:dyDescent="0.2">
      <c r="A806" s="5"/>
      <c r="C806" s="7"/>
      <c r="D806" s="7"/>
      <c r="E806" s="7"/>
      <c r="F806" s="7"/>
      <c r="G806" s="8"/>
      <c r="H806" s="8"/>
      <c r="I806" s="8"/>
      <c r="J806" s="9"/>
      <c r="K806" s="8"/>
    </row>
    <row r="807" spans="1:11" s="6" customFormat="1" x14ac:dyDescent="0.2">
      <c r="A807" s="5"/>
      <c r="C807" s="7"/>
      <c r="D807" s="7"/>
      <c r="E807" s="7"/>
      <c r="F807" s="7"/>
      <c r="G807" s="8"/>
      <c r="H807" s="8"/>
      <c r="I807" s="8"/>
      <c r="J807" s="9"/>
      <c r="K807" s="8"/>
    </row>
    <row r="808" spans="1:11" s="6" customFormat="1" x14ac:dyDescent="0.2">
      <c r="A808" s="5"/>
      <c r="C808" s="7"/>
      <c r="D808" s="7"/>
      <c r="E808" s="7"/>
      <c r="F808" s="7"/>
      <c r="G808" s="8"/>
      <c r="H808" s="8"/>
      <c r="I808" s="8"/>
      <c r="J808" s="9"/>
      <c r="K808" s="8"/>
    </row>
    <row r="809" spans="1:11" s="6" customFormat="1" x14ac:dyDescent="0.2">
      <c r="A809" s="5"/>
      <c r="C809" s="7"/>
      <c r="D809" s="7"/>
      <c r="E809" s="7"/>
      <c r="F809" s="7"/>
      <c r="G809" s="8"/>
      <c r="H809" s="8"/>
      <c r="I809" s="8"/>
      <c r="J809" s="9"/>
      <c r="K809" s="8"/>
    </row>
    <row r="810" spans="1:11" s="6" customFormat="1" x14ac:dyDescent="0.2">
      <c r="A810" s="5"/>
      <c r="C810" s="7"/>
      <c r="D810" s="7"/>
      <c r="E810" s="7"/>
      <c r="F810" s="7"/>
      <c r="G810" s="8"/>
      <c r="H810" s="8"/>
      <c r="I810" s="8"/>
      <c r="J810" s="9"/>
      <c r="K810" s="8"/>
    </row>
    <row r="811" spans="1:11" s="6" customFormat="1" x14ac:dyDescent="0.2">
      <c r="A811" s="5"/>
      <c r="C811" s="7"/>
      <c r="D811" s="7"/>
      <c r="E811" s="7"/>
      <c r="F811" s="7"/>
      <c r="G811" s="8"/>
      <c r="H811" s="8"/>
      <c r="I811" s="8"/>
      <c r="J811" s="9"/>
      <c r="K811" s="8"/>
    </row>
    <row r="812" spans="1:11" s="6" customFormat="1" x14ac:dyDescent="0.2">
      <c r="A812" s="5"/>
      <c r="C812" s="7"/>
      <c r="D812" s="7"/>
      <c r="E812" s="7"/>
      <c r="F812" s="7"/>
      <c r="G812" s="8"/>
      <c r="H812" s="8"/>
      <c r="I812" s="8"/>
      <c r="J812" s="9"/>
      <c r="K812" s="8"/>
    </row>
    <row r="813" spans="1:11" s="6" customFormat="1" x14ac:dyDescent="0.2">
      <c r="A813" s="5"/>
      <c r="C813" s="7"/>
      <c r="D813" s="7"/>
      <c r="E813" s="7"/>
      <c r="F813" s="7"/>
      <c r="G813" s="8"/>
      <c r="H813" s="8"/>
      <c r="I813" s="8"/>
      <c r="J813" s="9"/>
      <c r="K813" s="8"/>
    </row>
    <row r="814" spans="1:11" s="6" customFormat="1" x14ac:dyDescent="0.2">
      <c r="A814" s="5"/>
      <c r="C814" s="7"/>
      <c r="D814" s="7"/>
      <c r="E814" s="7"/>
      <c r="F814" s="7"/>
      <c r="G814" s="8"/>
      <c r="H814" s="8"/>
      <c r="I814" s="8"/>
      <c r="J814" s="9"/>
      <c r="K814" s="8"/>
    </row>
    <row r="815" spans="1:11" s="6" customFormat="1" x14ac:dyDescent="0.2">
      <c r="A815" s="5"/>
      <c r="C815" s="7"/>
      <c r="D815" s="7"/>
      <c r="E815" s="7"/>
      <c r="F815" s="7"/>
      <c r="G815" s="8"/>
      <c r="H815" s="8"/>
      <c r="I815" s="8"/>
      <c r="J815" s="9"/>
      <c r="K815" s="8"/>
    </row>
    <row r="816" spans="1:11" s="6" customFormat="1" x14ac:dyDescent="0.2">
      <c r="A816" s="5"/>
      <c r="C816" s="7"/>
      <c r="D816" s="7"/>
      <c r="E816" s="7"/>
      <c r="F816" s="7"/>
      <c r="G816" s="8"/>
      <c r="H816" s="8"/>
      <c r="I816" s="8"/>
      <c r="J816" s="9"/>
      <c r="K816" s="8"/>
    </row>
    <row r="817" spans="1:11" s="6" customFormat="1" x14ac:dyDescent="0.2">
      <c r="A817" s="5"/>
      <c r="C817" s="7"/>
      <c r="D817" s="7"/>
      <c r="E817" s="7"/>
      <c r="F817" s="7"/>
      <c r="G817" s="8"/>
      <c r="H817" s="8"/>
      <c r="I817" s="8"/>
      <c r="J817" s="9"/>
      <c r="K817" s="8"/>
    </row>
    <row r="818" spans="1:11" s="6" customFormat="1" x14ac:dyDescent="0.2">
      <c r="A818" s="5"/>
      <c r="C818" s="7"/>
      <c r="D818" s="7"/>
      <c r="E818" s="7"/>
      <c r="F818" s="7"/>
      <c r="G818" s="8"/>
      <c r="H818" s="8"/>
      <c r="I818" s="8"/>
      <c r="J818" s="9"/>
      <c r="K818" s="8"/>
    </row>
    <row r="819" spans="1:11" s="6" customFormat="1" x14ac:dyDescent="0.2">
      <c r="A819" s="5"/>
      <c r="C819" s="7"/>
      <c r="D819" s="7"/>
      <c r="E819" s="7"/>
      <c r="F819" s="7"/>
      <c r="G819" s="8"/>
      <c r="H819" s="8"/>
      <c r="I819" s="8"/>
      <c r="J819" s="9"/>
      <c r="K819" s="8"/>
    </row>
    <row r="820" spans="1:11" s="6" customFormat="1" x14ac:dyDescent="0.2">
      <c r="A820" s="5"/>
      <c r="C820" s="7"/>
      <c r="D820" s="7"/>
      <c r="E820" s="7"/>
      <c r="F820" s="7"/>
      <c r="G820" s="8"/>
      <c r="H820" s="8"/>
      <c r="I820" s="8"/>
      <c r="J820" s="9"/>
      <c r="K820" s="8"/>
    </row>
    <row r="821" spans="1:11" s="6" customFormat="1" x14ac:dyDescent="0.2">
      <c r="A821" s="5"/>
      <c r="C821" s="7"/>
      <c r="D821" s="7"/>
      <c r="E821" s="7"/>
      <c r="F821" s="7"/>
      <c r="G821" s="8"/>
      <c r="H821" s="8"/>
      <c r="I821" s="8"/>
      <c r="J821" s="9"/>
      <c r="K821" s="8"/>
    </row>
    <row r="822" spans="1:11" s="6" customFormat="1" x14ac:dyDescent="0.2">
      <c r="A822" s="5"/>
      <c r="C822" s="7"/>
      <c r="D822" s="7"/>
      <c r="E822" s="7"/>
      <c r="F822" s="7"/>
      <c r="G822" s="8"/>
      <c r="H822" s="8"/>
      <c r="I822" s="8"/>
      <c r="J822" s="9"/>
      <c r="K822" s="8"/>
    </row>
    <row r="823" spans="1:11" s="6" customFormat="1" x14ac:dyDescent="0.2">
      <c r="A823" s="5"/>
      <c r="C823" s="7"/>
      <c r="D823" s="7"/>
      <c r="E823" s="7"/>
      <c r="F823" s="7"/>
      <c r="G823" s="8"/>
      <c r="H823" s="8"/>
      <c r="I823" s="8"/>
      <c r="J823" s="9"/>
      <c r="K823" s="8"/>
    </row>
    <row r="824" spans="1:11" s="6" customFormat="1" x14ac:dyDescent="0.2">
      <c r="A824" s="5"/>
      <c r="C824" s="7"/>
      <c r="D824" s="7"/>
      <c r="E824" s="7"/>
      <c r="F824" s="7"/>
      <c r="G824" s="8"/>
      <c r="H824" s="8"/>
      <c r="I824" s="8"/>
      <c r="J824" s="9"/>
      <c r="K824" s="8"/>
    </row>
    <row r="825" spans="1:11" s="6" customFormat="1" x14ac:dyDescent="0.2">
      <c r="A825" s="5"/>
      <c r="C825" s="7"/>
      <c r="D825" s="7"/>
      <c r="E825" s="7"/>
      <c r="F825" s="7"/>
      <c r="G825" s="8"/>
      <c r="H825" s="8"/>
      <c r="I825" s="8"/>
      <c r="J825" s="9"/>
      <c r="K825" s="8"/>
    </row>
    <row r="826" spans="1:11" s="6" customFormat="1" x14ac:dyDescent="0.2">
      <c r="A826" s="5"/>
      <c r="C826" s="7"/>
      <c r="D826" s="7"/>
      <c r="E826" s="7"/>
      <c r="F826" s="7"/>
      <c r="G826" s="8"/>
      <c r="H826" s="8"/>
      <c r="I826" s="8"/>
      <c r="J826" s="9"/>
      <c r="K826" s="8"/>
    </row>
    <row r="827" spans="1:11" s="6" customFormat="1" x14ac:dyDescent="0.2">
      <c r="A827" s="5"/>
      <c r="C827" s="7"/>
      <c r="D827" s="7"/>
      <c r="E827" s="7"/>
      <c r="F827" s="7"/>
      <c r="G827" s="8"/>
      <c r="H827" s="8"/>
      <c r="I827" s="8"/>
      <c r="J827" s="9"/>
      <c r="K827" s="8"/>
    </row>
    <row r="828" spans="1:11" s="6" customFormat="1" x14ac:dyDescent="0.2">
      <c r="A828" s="5"/>
      <c r="C828" s="7"/>
      <c r="D828" s="7"/>
      <c r="E828" s="7"/>
      <c r="F828" s="7"/>
      <c r="G828" s="8"/>
      <c r="H828" s="8"/>
      <c r="I828" s="8"/>
      <c r="J828" s="9"/>
      <c r="K828" s="8"/>
    </row>
    <row r="829" spans="1:11" s="6" customFormat="1" x14ac:dyDescent="0.2">
      <c r="A829" s="5"/>
      <c r="C829" s="7"/>
      <c r="D829" s="7"/>
      <c r="E829" s="7"/>
      <c r="F829" s="7"/>
      <c r="G829" s="8"/>
      <c r="H829" s="8"/>
      <c r="I829" s="8"/>
      <c r="J829" s="9"/>
      <c r="K829" s="8"/>
    </row>
    <row r="830" spans="1:11" s="6" customFormat="1" x14ac:dyDescent="0.2">
      <c r="A830" s="5"/>
      <c r="C830" s="7"/>
      <c r="D830" s="7"/>
      <c r="E830" s="7"/>
      <c r="F830" s="7"/>
      <c r="G830" s="8"/>
      <c r="H830" s="8"/>
      <c r="I830" s="8"/>
      <c r="J830" s="9"/>
      <c r="K830" s="8"/>
    </row>
    <row r="831" spans="1:11" s="6" customFormat="1" x14ac:dyDescent="0.2">
      <c r="A831" s="5"/>
      <c r="C831" s="7"/>
      <c r="D831" s="7"/>
      <c r="E831" s="7"/>
      <c r="F831" s="7"/>
      <c r="G831" s="8"/>
      <c r="H831" s="8"/>
      <c r="I831" s="8"/>
      <c r="J831" s="9"/>
      <c r="K831" s="8"/>
    </row>
    <row r="832" spans="1:11" s="6" customFormat="1" x14ac:dyDescent="0.2">
      <c r="A832" s="5"/>
      <c r="C832" s="7"/>
      <c r="D832" s="7"/>
      <c r="E832" s="7"/>
      <c r="F832" s="7"/>
      <c r="G832" s="8"/>
      <c r="H832" s="8"/>
      <c r="I832" s="8"/>
      <c r="J832" s="9"/>
      <c r="K832" s="8"/>
    </row>
    <row r="833" spans="1:11" s="6" customFormat="1" x14ac:dyDescent="0.2">
      <c r="A833" s="5"/>
      <c r="C833" s="7"/>
      <c r="D833" s="7"/>
      <c r="E833" s="7"/>
      <c r="F833" s="7"/>
      <c r="G833" s="8"/>
      <c r="H833" s="8"/>
      <c r="I833" s="8"/>
      <c r="J833" s="9"/>
      <c r="K833" s="8"/>
    </row>
    <row r="834" spans="1:11" s="6" customFormat="1" x14ac:dyDescent="0.2">
      <c r="A834" s="5"/>
      <c r="C834" s="7"/>
      <c r="D834" s="7"/>
      <c r="E834" s="7"/>
      <c r="F834" s="7"/>
      <c r="G834" s="8"/>
      <c r="H834" s="8"/>
      <c r="I834" s="8"/>
      <c r="J834" s="9"/>
      <c r="K834" s="8"/>
    </row>
    <row r="835" spans="1:11" s="6" customFormat="1" x14ac:dyDescent="0.2">
      <c r="A835" s="5"/>
      <c r="C835" s="7"/>
      <c r="D835" s="7"/>
      <c r="E835" s="7"/>
      <c r="F835" s="7"/>
      <c r="G835" s="8"/>
      <c r="H835" s="8"/>
      <c r="I835" s="8"/>
      <c r="J835" s="9"/>
      <c r="K835" s="8"/>
    </row>
    <row r="836" spans="1:11" s="6" customFormat="1" x14ac:dyDescent="0.2">
      <c r="A836" s="5"/>
      <c r="C836" s="7"/>
      <c r="D836" s="7"/>
      <c r="E836" s="7"/>
      <c r="F836" s="7"/>
      <c r="G836" s="8"/>
      <c r="H836" s="8"/>
      <c r="I836" s="8"/>
      <c r="J836" s="9"/>
      <c r="K836" s="8"/>
    </row>
    <row r="837" spans="1:11" s="6" customFormat="1" x14ac:dyDescent="0.2">
      <c r="A837" s="5"/>
      <c r="C837" s="7"/>
      <c r="D837" s="7"/>
      <c r="E837" s="7"/>
      <c r="F837" s="7"/>
      <c r="G837" s="8"/>
      <c r="H837" s="8"/>
      <c r="I837" s="8"/>
      <c r="J837" s="9"/>
      <c r="K837" s="8"/>
    </row>
    <row r="838" spans="1:11" s="6" customFormat="1" x14ac:dyDescent="0.2">
      <c r="A838" s="5"/>
      <c r="C838" s="7"/>
      <c r="D838" s="7"/>
      <c r="E838" s="7"/>
      <c r="F838" s="7"/>
      <c r="G838" s="8"/>
      <c r="H838" s="8"/>
      <c r="I838" s="8"/>
      <c r="J838" s="9"/>
      <c r="K838" s="8"/>
    </row>
    <row r="839" spans="1:11" s="6" customFormat="1" x14ac:dyDescent="0.2">
      <c r="A839" s="5"/>
      <c r="C839" s="7"/>
      <c r="D839" s="7"/>
      <c r="E839" s="7"/>
      <c r="F839" s="7"/>
      <c r="G839" s="8"/>
      <c r="H839" s="8"/>
      <c r="I839" s="8"/>
      <c r="J839" s="9"/>
      <c r="K839" s="8"/>
    </row>
    <row r="840" spans="1:11" s="6" customFormat="1" x14ac:dyDescent="0.2">
      <c r="A840" s="5"/>
      <c r="C840" s="7"/>
      <c r="D840" s="7"/>
      <c r="E840" s="7"/>
      <c r="F840" s="7"/>
      <c r="G840" s="8"/>
      <c r="H840" s="8"/>
      <c r="I840" s="8"/>
      <c r="J840" s="9"/>
      <c r="K840" s="8"/>
    </row>
    <row r="841" spans="1:11" s="6" customFormat="1" x14ac:dyDescent="0.2">
      <c r="A841" s="5"/>
      <c r="C841" s="7"/>
      <c r="D841" s="7"/>
      <c r="E841" s="7"/>
      <c r="F841" s="7"/>
      <c r="G841" s="8"/>
      <c r="H841" s="8"/>
      <c r="I841" s="8"/>
      <c r="J841" s="9"/>
      <c r="K841" s="8"/>
    </row>
    <row r="842" spans="1:11" s="6" customFormat="1" x14ac:dyDescent="0.2">
      <c r="A842" s="5"/>
      <c r="C842" s="7"/>
      <c r="D842" s="7"/>
      <c r="E842" s="7"/>
      <c r="F842" s="7"/>
      <c r="G842" s="8"/>
      <c r="H842" s="8"/>
      <c r="I842" s="8"/>
      <c r="J842" s="9"/>
      <c r="K842" s="8"/>
    </row>
    <row r="843" spans="1:11" s="6" customFormat="1" x14ac:dyDescent="0.2">
      <c r="A843" s="5"/>
      <c r="C843" s="7"/>
      <c r="D843" s="7"/>
      <c r="E843" s="7"/>
      <c r="F843" s="7"/>
      <c r="G843" s="8"/>
      <c r="H843" s="8"/>
      <c r="I843" s="8"/>
      <c r="J843" s="9"/>
      <c r="K843" s="8"/>
    </row>
    <row r="844" spans="1:11" s="6" customFormat="1" x14ac:dyDescent="0.2">
      <c r="A844" s="5"/>
      <c r="C844" s="7"/>
      <c r="D844" s="7"/>
      <c r="E844" s="7"/>
      <c r="F844" s="7"/>
      <c r="G844" s="8"/>
      <c r="H844" s="8"/>
      <c r="I844" s="8"/>
      <c r="J844" s="9"/>
      <c r="K844" s="8"/>
    </row>
    <row r="845" spans="1:11" s="6" customFormat="1" x14ac:dyDescent="0.2">
      <c r="A845" s="5"/>
      <c r="C845" s="7"/>
      <c r="D845" s="7"/>
      <c r="E845" s="7"/>
      <c r="F845" s="7"/>
      <c r="G845" s="8"/>
      <c r="H845" s="8"/>
      <c r="I845" s="8"/>
      <c r="J845" s="9"/>
      <c r="K845" s="8"/>
    </row>
    <row r="846" spans="1:11" s="6" customFormat="1" x14ac:dyDescent="0.2">
      <c r="A846" s="5"/>
      <c r="C846" s="7"/>
      <c r="D846" s="7"/>
      <c r="E846" s="7"/>
      <c r="F846" s="7"/>
      <c r="G846" s="8"/>
      <c r="H846" s="8"/>
      <c r="I846" s="8"/>
      <c r="J846" s="9"/>
      <c r="K846" s="8"/>
    </row>
    <row r="847" spans="1:11" s="6" customFormat="1" x14ac:dyDescent="0.2">
      <c r="A847" s="5"/>
      <c r="C847" s="7"/>
      <c r="D847" s="7"/>
      <c r="E847" s="7"/>
      <c r="F847" s="7"/>
      <c r="G847" s="8"/>
      <c r="H847" s="8"/>
      <c r="I847" s="8"/>
      <c r="J847" s="9"/>
      <c r="K847" s="8"/>
    </row>
    <row r="848" spans="1:11" s="6" customFormat="1" x14ac:dyDescent="0.2">
      <c r="A848" s="5"/>
      <c r="C848" s="7"/>
      <c r="D848" s="7"/>
      <c r="E848" s="7"/>
      <c r="F848" s="7"/>
      <c r="G848" s="8"/>
      <c r="H848" s="8"/>
      <c r="I848" s="8"/>
      <c r="J848" s="9"/>
      <c r="K848" s="8"/>
    </row>
    <row r="849" spans="1:11" s="6" customFormat="1" x14ac:dyDescent="0.2">
      <c r="A849" s="5"/>
      <c r="C849" s="7"/>
      <c r="D849" s="7"/>
      <c r="E849" s="7"/>
      <c r="F849" s="7"/>
      <c r="G849" s="8"/>
      <c r="H849" s="8"/>
      <c r="I849" s="8"/>
      <c r="J849" s="9"/>
      <c r="K849" s="8"/>
    </row>
    <row r="850" spans="1:11" s="6" customFormat="1" x14ac:dyDescent="0.2">
      <c r="A850" s="5"/>
      <c r="C850" s="7"/>
      <c r="D850" s="7"/>
      <c r="E850" s="7"/>
      <c r="F850" s="7"/>
      <c r="G850" s="8"/>
      <c r="H850" s="8"/>
      <c r="I850" s="8"/>
      <c r="J850" s="9"/>
      <c r="K850" s="8"/>
    </row>
    <row r="851" spans="1:11" s="6" customFormat="1" x14ac:dyDescent="0.2">
      <c r="A851" s="5"/>
      <c r="C851" s="7"/>
      <c r="D851" s="7"/>
      <c r="E851" s="7"/>
      <c r="F851" s="7"/>
      <c r="G851" s="8"/>
      <c r="H851" s="8"/>
      <c r="I851" s="8"/>
      <c r="J851" s="9"/>
      <c r="K851" s="8"/>
    </row>
    <row r="852" spans="1:11" s="6" customFormat="1" x14ac:dyDescent="0.2">
      <c r="A852" s="5"/>
      <c r="C852" s="7"/>
      <c r="D852" s="7"/>
      <c r="E852" s="7"/>
      <c r="F852" s="7"/>
      <c r="G852" s="8"/>
      <c r="H852" s="8"/>
      <c r="I852" s="8"/>
      <c r="J852" s="9"/>
      <c r="K852" s="8"/>
    </row>
    <row r="853" spans="1:11" s="6" customFormat="1" x14ac:dyDescent="0.2">
      <c r="A853" s="5"/>
      <c r="C853" s="7"/>
      <c r="D853" s="7"/>
      <c r="E853" s="7"/>
      <c r="F853" s="7"/>
      <c r="G853" s="8"/>
      <c r="H853" s="8"/>
      <c r="I853" s="8"/>
      <c r="J853" s="9"/>
      <c r="K853" s="8"/>
    </row>
    <row r="854" spans="1:11" s="6" customFormat="1" x14ac:dyDescent="0.2">
      <c r="A854" s="5"/>
      <c r="C854" s="7"/>
      <c r="D854" s="7"/>
      <c r="E854" s="7"/>
      <c r="F854" s="7"/>
      <c r="G854" s="8"/>
      <c r="H854" s="8"/>
      <c r="I854" s="8"/>
      <c r="J854" s="9"/>
      <c r="K854" s="8"/>
    </row>
    <row r="855" spans="1:11" s="6" customFormat="1" x14ac:dyDescent="0.2">
      <c r="A855" s="5"/>
      <c r="C855" s="7"/>
      <c r="D855" s="7"/>
      <c r="E855" s="7"/>
      <c r="F855" s="7"/>
      <c r="G855" s="8"/>
      <c r="H855" s="8"/>
      <c r="I855" s="8"/>
      <c r="J855" s="9"/>
      <c r="K855" s="8"/>
    </row>
    <row r="856" spans="1:11" s="6" customFormat="1" x14ac:dyDescent="0.2">
      <c r="A856" s="5"/>
      <c r="C856" s="7"/>
      <c r="D856" s="7"/>
      <c r="E856" s="7"/>
      <c r="F856" s="7"/>
      <c r="G856" s="8"/>
      <c r="H856" s="8"/>
      <c r="I856" s="8"/>
      <c r="J856" s="9"/>
      <c r="K856" s="8"/>
    </row>
    <row r="857" spans="1:11" s="6" customFormat="1" x14ac:dyDescent="0.2">
      <c r="A857" s="5"/>
      <c r="C857" s="7"/>
      <c r="D857" s="7"/>
      <c r="E857" s="7"/>
      <c r="F857" s="7"/>
      <c r="G857" s="8"/>
      <c r="H857" s="8"/>
      <c r="I857" s="8"/>
      <c r="J857" s="9"/>
      <c r="K857" s="8"/>
    </row>
    <row r="858" spans="1:11" s="6" customFormat="1" x14ac:dyDescent="0.2">
      <c r="A858" s="5"/>
      <c r="C858" s="7"/>
      <c r="D858" s="7"/>
      <c r="E858" s="7"/>
      <c r="F858" s="7"/>
      <c r="G858" s="8"/>
      <c r="H858" s="8"/>
      <c r="I858" s="8"/>
      <c r="J858" s="9"/>
      <c r="K858" s="8"/>
    </row>
    <row r="859" spans="1:11" s="6" customFormat="1" x14ac:dyDescent="0.2">
      <c r="A859" s="5"/>
      <c r="C859" s="7"/>
      <c r="D859" s="7"/>
      <c r="E859" s="7"/>
      <c r="F859" s="7"/>
      <c r="G859" s="8"/>
      <c r="H859" s="8"/>
      <c r="I859" s="8"/>
      <c r="J859" s="9"/>
      <c r="K859" s="8"/>
    </row>
    <row r="860" spans="1:11" s="6" customFormat="1" x14ac:dyDescent="0.2">
      <c r="A860" s="5"/>
      <c r="C860" s="7"/>
      <c r="D860" s="7"/>
      <c r="E860" s="7"/>
      <c r="F860" s="7"/>
      <c r="G860" s="8"/>
      <c r="H860" s="8"/>
      <c r="I860" s="8"/>
      <c r="J860" s="9"/>
      <c r="K860" s="8"/>
    </row>
    <row r="861" spans="1:11" s="6" customFormat="1" x14ac:dyDescent="0.2">
      <c r="A861" s="5"/>
      <c r="C861" s="7"/>
      <c r="D861" s="7"/>
      <c r="E861" s="7"/>
      <c r="F861" s="7"/>
      <c r="G861" s="8"/>
      <c r="H861" s="8"/>
      <c r="I861" s="8"/>
      <c r="J861" s="9"/>
      <c r="K861" s="8"/>
    </row>
    <row r="862" spans="1:11" s="6" customFormat="1" x14ac:dyDescent="0.2">
      <c r="A862" s="5"/>
      <c r="C862" s="7"/>
      <c r="D862" s="7"/>
      <c r="E862" s="7"/>
      <c r="F862" s="7"/>
      <c r="G862" s="8"/>
      <c r="H862" s="8"/>
      <c r="I862" s="8"/>
      <c r="J862" s="9"/>
      <c r="K862" s="8"/>
    </row>
    <row r="863" spans="1:11" s="6" customFormat="1" x14ac:dyDescent="0.2">
      <c r="A863" s="5"/>
      <c r="C863" s="7"/>
      <c r="D863" s="7"/>
      <c r="E863" s="7"/>
      <c r="F863" s="7"/>
      <c r="G863" s="8"/>
      <c r="H863" s="8"/>
      <c r="I863" s="8"/>
      <c r="J863" s="9"/>
      <c r="K863" s="8"/>
    </row>
    <row r="864" spans="1:11" s="6" customFormat="1" x14ac:dyDescent="0.2">
      <c r="A864" s="5"/>
      <c r="C864" s="7"/>
      <c r="D864" s="7"/>
      <c r="E864" s="7"/>
      <c r="F864" s="7"/>
      <c r="G864" s="8"/>
      <c r="H864" s="8"/>
      <c r="I864" s="8"/>
      <c r="J864" s="9"/>
      <c r="K864" s="8"/>
    </row>
    <row r="865" spans="1:11" s="6" customFormat="1" x14ac:dyDescent="0.2">
      <c r="A865" s="5"/>
      <c r="C865" s="7"/>
      <c r="D865" s="7"/>
      <c r="E865" s="7"/>
      <c r="F865" s="7"/>
      <c r="G865" s="8"/>
      <c r="H865" s="8"/>
      <c r="I865" s="8"/>
      <c r="J865" s="9"/>
      <c r="K865" s="8"/>
    </row>
    <row r="866" spans="1:11" s="6" customFormat="1" x14ac:dyDescent="0.2">
      <c r="A866" s="5"/>
      <c r="C866" s="7"/>
      <c r="D866" s="7"/>
      <c r="E866" s="7"/>
      <c r="F866" s="7"/>
      <c r="G866" s="8"/>
      <c r="H866" s="8"/>
      <c r="I866" s="8"/>
      <c r="J866" s="9"/>
      <c r="K866" s="8"/>
    </row>
    <row r="867" spans="1:11" s="6" customFormat="1" x14ac:dyDescent="0.2">
      <c r="A867" s="5"/>
      <c r="C867" s="7"/>
      <c r="D867" s="7"/>
      <c r="E867" s="7"/>
      <c r="F867" s="7"/>
      <c r="G867" s="8"/>
      <c r="H867" s="8"/>
      <c r="I867" s="8"/>
      <c r="J867" s="9"/>
      <c r="K867" s="8"/>
    </row>
    <row r="868" spans="1:11" s="6" customFormat="1" x14ac:dyDescent="0.2">
      <c r="A868" s="5"/>
      <c r="C868" s="7"/>
      <c r="D868" s="7"/>
      <c r="E868" s="7"/>
      <c r="F868" s="7"/>
      <c r="G868" s="8"/>
      <c r="H868" s="8"/>
      <c r="I868" s="8"/>
      <c r="J868" s="9"/>
      <c r="K868" s="8"/>
    </row>
    <row r="869" spans="1:11" s="6" customFormat="1" x14ac:dyDescent="0.2">
      <c r="A869" s="5"/>
      <c r="C869" s="7"/>
      <c r="D869" s="7"/>
      <c r="E869" s="7"/>
      <c r="F869" s="7"/>
      <c r="G869" s="8"/>
      <c r="H869" s="8"/>
      <c r="I869" s="8"/>
      <c r="J869" s="9"/>
      <c r="K869" s="8"/>
    </row>
    <row r="870" spans="1:11" s="6" customFormat="1" x14ac:dyDescent="0.2">
      <c r="A870" s="5"/>
      <c r="C870" s="7"/>
      <c r="D870" s="7"/>
      <c r="E870" s="7"/>
      <c r="F870" s="7"/>
      <c r="G870" s="8"/>
      <c r="H870" s="8"/>
      <c r="I870" s="8"/>
      <c r="J870" s="9"/>
      <c r="K870" s="8"/>
    </row>
    <row r="871" spans="1:11" s="6" customFormat="1" x14ac:dyDescent="0.2">
      <c r="A871" s="5"/>
      <c r="C871" s="7"/>
      <c r="D871" s="7"/>
      <c r="E871" s="7"/>
      <c r="F871" s="7"/>
      <c r="G871" s="8"/>
      <c r="H871" s="8"/>
      <c r="I871" s="8"/>
      <c r="J871" s="9"/>
      <c r="K871" s="8"/>
    </row>
    <row r="872" spans="1:11" s="6" customFormat="1" x14ac:dyDescent="0.2">
      <c r="A872" s="5"/>
      <c r="C872" s="7"/>
      <c r="D872" s="7"/>
      <c r="E872" s="7"/>
      <c r="F872" s="7"/>
      <c r="G872" s="8"/>
      <c r="H872" s="8"/>
      <c r="I872" s="8"/>
      <c r="J872" s="9"/>
      <c r="K872" s="8"/>
    </row>
    <row r="873" spans="1:11" s="6" customFormat="1" x14ac:dyDescent="0.2">
      <c r="A873" s="5"/>
      <c r="C873" s="7"/>
      <c r="D873" s="7"/>
      <c r="E873" s="7"/>
      <c r="F873" s="7"/>
      <c r="G873" s="8"/>
      <c r="H873" s="8"/>
      <c r="I873" s="8"/>
      <c r="J873" s="9"/>
      <c r="K873" s="8"/>
    </row>
    <row r="874" spans="1:11" s="6" customFormat="1" x14ac:dyDescent="0.2">
      <c r="A874" s="5"/>
      <c r="C874" s="7"/>
      <c r="D874" s="7"/>
      <c r="E874" s="7"/>
      <c r="F874" s="7"/>
      <c r="G874" s="8"/>
      <c r="H874" s="8"/>
      <c r="I874" s="8"/>
      <c r="J874" s="9"/>
      <c r="K874" s="8"/>
    </row>
    <row r="875" spans="1:11" s="6" customFormat="1" x14ac:dyDescent="0.2">
      <c r="A875" s="5"/>
      <c r="C875" s="7"/>
      <c r="D875" s="7"/>
      <c r="E875" s="7"/>
      <c r="F875" s="7"/>
      <c r="G875" s="8"/>
      <c r="H875" s="8"/>
      <c r="I875" s="8"/>
      <c r="J875" s="9"/>
      <c r="K875" s="8"/>
    </row>
    <row r="876" spans="1:11" s="6" customFormat="1" x14ac:dyDescent="0.2">
      <c r="A876" s="5"/>
      <c r="C876" s="7"/>
      <c r="D876" s="7"/>
      <c r="E876" s="7"/>
      <c r="F876" s="7"/>
      <c r="G876" s="8"/>
      <c r="H876" s="8"/>
      <c r="I876" s="8"/>
      <c r="J876" s="9"/>
      <c r="K876" s="8"/>
    </row>
    <row r="877" spans="1:11" s="6" customFormat="1" x14ac:dyDescent="0.2">
      <c r="A877" s="5"/>
      <c r="C877" s="7"/>
      <c r="D877" s="7"/>
      <c r="E877" s="7"/>
      <c r="F877" s="7"/>
      <c r="G877" s="8"/>
      <c r="H877" s="8"/>
      <c r="I877" s="8"/>
      <c r="J877" s="9"/>
      <c r="K877" s="8"/>
    </row>
    <row r="878" spans="1:11" s="6" customFormat="1" x14ac:dyDescent="0.2">
      <c r="A878" s="5"/>
      <c r="C878" s="7"/>
      <c r="D878" s="7"/>
      <c r="E878" s="7"/>
      <c r="F878" s="7"/>
      <c r="G878" s="8"/>
      <c r="H878" s="8"/>
      <c r="I878" s="8"/>
      <c r="J878" s="9"/>
      <c r="K878" s="8"/>
    </row>
    <row r="879" spans="1:11" s="6" customFormat="1" x14ac:dyDescent="0.2">
      <c r="A879" s="5"/>
      <c r="C879" s="7"/>
      <c r="D879" s="7"/>
      <c r="E879" s="7"/>
      <c r="F879" s="7"/>
      <c r="G879" s="8"/>
      <c r="H879" s="8"/>
      <c r="I879" s="8"/>
      <c r="J879" s="9"/>
      <c r="K879" s="8"/>
    </row>
    <row r="880" spans="1:11" s="6" customFormat="1" x14ac:dyDescent="0.2">
      <c r="A880" s="5"/>
      <c r="C880" s="7"/>
      <c r="D880" s="7"/>
      <c r="E880" s="7"/>
      <c r="F880" s="7"/>
      <c r="G880" s="8"/>
      <c r="H880" s="8"/>
      <c r="I880" s="8"/>
      <c r="J880" s="9"/>
      <c r="K880" s="8"/>
    </row>
    <row r="881" spans="1:11" s="6" customFormat="1" x14ac:dyDescent="0.2">
      <c r="A881" s="5"/>
      <c r="C881" s="7"/>
      <c r="D881" s="7"/>
      <c r="E881" s="7"/>
      <c r="F881" s="7"/>
      <c r="G881" s="8"/>
      <c r="H881" s="8"/>
      <c r="I881" s="8"/>
      <c r="J881" s="9"/>
      <c r="K881" s="8"/>
    </row>
    <row r="882" spans="1:11" s="6" customFormat="1" x14ac:dyDescent="0.2">
      <c r="A882" s="5"/>
      <c r="C882" s="7"/>
      <c r="D882" s="7"/>
      <c r="E882" s="7"/>
      <c r="F882" s="7"/>
      <c r="G882" s="8"/>
      <c r="H882" s="8"/>
      <c r="I882" s="8"/>
      <c r="J882" s="9"/>
      <c r="K882" s="8"/>
    </row>
    <row r="883" spans="1:11" s="6" customFormat="1" x14ac:dyDescent="0.2">
      <c r="A883" s="5"/>
      <c r="C883" s="7"/>
      <c r="D883" s="7"/>
      <c r="E883" s="7"/>
      <c r="F883" s="7"/>
      <c r="G883" s="8"/>
      <c r="H883" s="8"/>
      <c r="I883" s="8"/>
      <c r="J883" s="9"/>
      <c r="K883" s="8"/>
    </row>
    <row r="884" spans="1:11" s="6" customFormat="1" x14ac:dyDescent="0.2">
      <c r="A884" s="5"/>
      <c r="C884" s="7"/>
      <c r="D884" s="7"/>
      <c r="E884" s="7"/>
      <c r="F884" s="7"/>
      <c r="G884" s="8"/>
      <c r="H884" s="8"/>
      <c r="I884" s="8"/>
      <c r="J884" s="9"/>
      <c r="K884" s="8"/>
    </row>
    <row r="885" spans="1:11" s="6" customFormat="1" x14ac:dyDescent="0.2">
      <c r="A885" s="5"/>
      <c r="C885" s="7"/>
      <c r="D885" s="7"/>
      <c r="E885" s="7"/>
      <c r="F885" s="7"/>
      <c r="G885" s="8"/>
      <c r="H885" s="8"/>
      <c r="I885" s="8"/>
      <c r="J885" s="9"/>
      <c r="K885" s="8"/>
    </row>
    <row r="886" spans="1:11" s="6" customFormat="1" x14ac:dyDescent="0.2">
      <c r="A886" s="5"/>
      <c r="C886" s="7"/>
      <c r="D886" s="7"/>
      <c r="E886" s="7"/>
      <c r="F886" s="7"/>
      <c r="G886" s="8"/>
      <c r="H886" s="8"/>
      <c r="I886" s="8"/>
      <c r="J886" s="9"/>
      <c r="K886" s="8"/>
    </row>
    <row r="887" spans="1:11" s="6" customFormat="1" x14ac:dyDescent="0.2">
      <c r="A887" s="5"/>
      <c r="C887" s="7"/>
      <c r="D887" s="7"/>
      <c r="E887" s="7"/>
      <c r="F887" s="7"/>
      <c r="G887" s="8"/>
      <c r="H887" s="8"/>
      <c r="I887" s="8"/>
      <c r="J887" s="9"/>
      <c r="K887" s="8"/>
    </row>
    <row r="888" spans="1:11" s="6" customFormat="1" x14ac:dyDescent="0.2">
      <c r="A888" s="5"/>
      <c r="C888" s="7"/>
      <c r="D888" s="7"/>
      <c r="E888" s="7"/>
      <c r="F888" s="7"/>
      <c r="G888" s="8"/>
      <c r="H888" s="8"/>
      <c r="I888" s="8"/>
      <c r="J888" s="9"/>
      <c r="K888" s="8"/>
    </row>
    <row r="889" spans="1:11" s="6" customFormat="1" x14ac:dyDescent="0.2">
      <c r="A889" s="5"/>
      <c r="C889" s="7"/>
      <c r="D889" s="7"/>
      <c r="E889" s="7"/>
      <c r="F889" s="7"/>
      <c r="G889" s="8"/>
      <c r="H889" s="8"/>
      <c r="I889" s="8"/>
      <c r="J889" s="9"/>
      <c r="K889" s="8"/>
    </row>
    <row r="890" spans="1:11" s="6" customFormat="1" x14ac:dyDescent="0.2">
      <c r="A890" s="5"/>
      <c r="C890" s="7"/>
      <c r="D890" s="7"/>
      <c r="E890" s="7"/>
      <c r="F890" s="7"/>
      <c r="G890" s="8"/>
      <c r="H890" s="8"/>
      <c r="I890" s="8"/>
      <c r="J890" s="9"/>
      <c r="K890" s="8"/>
    </row>
    <row r="891" spans="1:11" s="6" customFormat="1" x14ac:dyDescent="0.2">
      <c r="A891" s="5"/>
      <c r="C891" s="7"/>
      <c r="D891" s="7"/>
      <c r="E891" s="7"/>
      <c r="F891" s="7"/>
      <c r="G891" s="8"/>
      <c r="H891" s="8"/>
      <c r="I891" s="8"/>
      <c r="J891" s="9"/>
      <c r="K891" s="8"/>
    </row>
    <row r="892" spans="1:11" s="6" customFormat="1" x14ac:dyDescent="0.2">
      <c r="A892" s="5"/>
      <c r="C892" s="7"/>
      <c r="D892" s="7"/>
      <c r="E892" s="7"/>
      <c r="F892" s="7"/>
      <c r="G892" s="8"/>
      <c r="H892" s="8"/>
      <c r="I892" s="8"/>
      <c r="J892" s="9"/>
      <c r="K892" s="8"/>
    </row>
    <row r="893" spans="1:11" s="6" customFormat="1" x14ac:dyDescent="0.2">
      <c r="A893" s="5"/>
      <c r="C893" s="7"/>
      <c r="D893" s="7"/>
      <c r="E893" s="7"/>
      <c r="F893" s="7"/>
      <c r="G893" s="8"/>
      <c r="H893" s="8"/>
      <c r="I893" s="8"/>
      <c r="J893" s="9"/>
      <c r="K893" s="8"/>
    </row>
    <row r="894" spans="1:11" s="6" customFormat="1" x14ac:dyDescent="0.2">
      <c r="A894" s="5"/>
      <c r="C894" s="7"/>
      <c r="D894" s="7"/>
      <c r="E894" s="7"/>
      <c r="F894" s="7"/>
      <c r="G894" s="8"/>
      <c r="H894" s="8"/>
      <c r="I894" s="8"/>
      <c r="J894" s="9"/>
      <c r="K894" s="8"/>
    </row>
    <row r="895" spans="1:11" s="6" customFormat="1" x14ac:dyDescent="0.2">
      <c r="A895" s="5"/>
      <c r="C895" s="7"/>
      <c r="D895" s="7"/>
      <c r="E895" s="7"/>
      <c r="F895" s="7"/>
      <c r="G895" s="8"/>
      <c r="H895" s="8"/>
      <c r="I895" s="8"/>
      <c r="J895" s="9"/>
      <c r="K895" s="8"/>
    </row>
    <row r="896" spans="1:11" s="6" customFormat="1" x14ac:dyDescent="0.2">
      <c r="A896" s="5"/>
      <c r="C896" s="7"/>
      <c r="D896" s="7"/>
      <c r="E896" s="7"/>
      <c r="F896" s="7"/>
      <c r="G896" s="8"/>
      <c r="H896" s="8"/>
      <c r="I896" s="8"/>
      <c r="J896" s="9"/>
      <c r="K896" s="8"/>
    </row>
    <row r="897" spans="1:11" s="6" customFormat="1" x14ac:dyDescent="0.2">
      <c r="A897" s="5"/>
      <c r="C897" s="7"/>
      <c r="D897" s="7"/>
      <c r="E897" s="7"/>
      <c r="F897" s="7"/>
      <c r="G897" s="8"/>
      <c r="H897" s="8"/>
      <c r="I897" s="8"/>
      <c r="J897" s="9"/>
      <c r="K897" s="8"/>
    </row>
    <row r="898" spans="1:11" s="6" customFormat="1" x14ac:dyDescent="0.2">
      <c r="A898" s="5"/>
      <c r="C898" s="7"/>
      <c r="D898" s="7"/>
      <c r="E898" s="7"/>
      <c r="F898" s="7"/>
      <c r="G898" s="8"/>
      <c r="H898" s="8"/>
      <c r="I898" s="8"/>
      <c r="J898" s="9"/>
      <c r="K898" s="8"/>
    </row>
    <row r="899" spans="1:11" s="6" customFormat="1" x14ac:dyDescent="0.2">
      <c r="A899" s="5"/>
      <c r="C899" s="7"/>
      <c r="D899" s="7"/>
      <c r="E899" s="7"/>
      <c r="F899" s="7"/>
      <c r="G899" s="8"/>
      <c r="H899" s="8"/>
      <c r="I899" s="8"/>
      <c r="J899" s="9"/>
      <c r="K899" s="8"/>
    </row>
    <row r="900" spans="1:11" s="6" customFormat="1" x14ac:dyDescent="0.2">
      <c r="A900" s="5"/>
      <c r="C900" s="7"/>
      <c r="D900" s="7"/>
      <c r="E900" s="7"/>
      <c r="F900" s="7"/>
      <c r="G900" s="8"/>
      <c r="H900" s="8"/>
      <c r="I900" s="8"/>
      <c r="J900" s="9"/>
      <c r="K900" s="8"/>
    </row>
    <row r="901" spans="1:11" s="6" customFormat="1" x14ac:dyDescent="0.2">
      <c r="A901" s="5"/>
      <c r="C901" s="7"/>
      <c r="D901" s="7"/>
      <c r="E901" s="7"/>
      <c r="F901" s="7"/>
      <c r="G901" s="8"/>
      <c r="H901" s="8"/>
      <c r="I901" s="8"/>
      <c r="J901" s="9"/>
      <c r="K901" s="8"/>
    </row>
    <row r="902" spans="1:11" s="6" customFormat="1" x14ac:dyDescent="0.2">
      <c r="A902" s="5"/>
      <c r="C902" s="7"/>
      <c r="D902" s="7"/>
      <c r="E902" s="7"/>
      <c r="F902" s="7"/>
      <c r="G902" s="8"/>
      <c r="H902" s="8"/>
      <c r="I902" s="8"/>
      <c r="J902" s="9"/>
      <c r="K902" s="8"/>
    </row>
    <row r="903" spans="1:11" s="6" customFormat="1" x14ac:dyDescent="0.2">
      <c r="A903" s="5"/>
      <c r="C903" s="7"/>
      <c r="D903" s="7"/>
      <c r="E903" s="7"/>
      <c r="F903" s="7"/>
      <c r="G903" s="8"/>
      <c r="H903" s="8"/>
      <c r="I903" s="8"/>
      <c r="J903" s="9"/>
      <c r="K903" s="8"/>
    </row>
    <row r="904" spans="1:11" s="6" customFormat="1" x14ac:dyDescent="0.2">
      <c r="A904" s="5"/>
      <c r="C904" s="7"/>
      <c r="D904" s="7"/>
      <c r="E904" s="7"/>
      <c r="F904" s="7"/>
      <c r="G904" s="8"/>
      <c r="H904" s="8"/>
      <c r="I904" s="8"/>
      <c r="J904" s="9"/>
      <c r="K904" s="8"/>
    </row>
    <row r="905" spans="1:11" s="6" customFormat="1" x14ac:dyDescent="0.2">
      <c r="A905" s="5"/>
      <c r="C905" s="7"/>
      <c r="D905" s="7"/>
      <c r="E905" s="7"/>
      <c r="F905" s="7"/>
      <c r="G905" s="8"/>
      <c r="H905" s="8"/>
      <c r="I905" s="8"/>
      <c r="J905" s="9"/>
      <c r="K905" s="8"/>
    </row>
    <row r="906" spans="1:11" s="6" customFormat="1" x14ac:dyDescent="0.2">
      <c r="A906" s="5"/>
      <c r="C906" s="7"/>
      <c r="D906" s="7"/>
      <c r="E906" s="7"/>
      <c r="F906" s="7"/>
      <c r="G906" s="8"/>
      <c r="H906" s="8"/>
      <c r="I906" s="8"/>
      <c r="J906" s="9"/>
      <c r="K906" s="8"/>
    </row>
    <row r="907" spans="1:11" s="6" customFormat="1" x14ac:dyDescent="0.2">
      <c r="A907" s="5"/>
      <c r="C907" s="7"/>
      <c r="D907" s="7"/>
      <c r="E907" s="7"/>
      <c r="F907" s="7"/>
      <c r="G907" s="8"/>
      <c r="H907" s="8"/>
      <c r="I907" s="8"/>
      <c r="J907" s="9"/>
      <c r="K907" s="8"/>
    </row>
    <row r="908" spans="1:11" s="6" customFormat="1" x14ac:dyDescent="0.2">
      <c r="A908" s="5"/>
      <c r="C908" s="7"/>
      <c r="D908" s="7"/>
      <c r="E908" s="7"/>
      <c r="F908" s="7"/>
      <c r="G908" s="8"/>
      <c r="H908" s="8"/>
      <c r="I908" s="8"/>
      <c r="J908" s="9"/>
      <c r="K908" s="8"/>
    </row>
    <row r="909" spans="1:11" s="6" customFormat="1" x14ac:dyDescent="0.2">
      <c r="A909" s="5"/>
      <c r="C909" s="7"/>
      <c r="D909" s="7"/>
      <c r="E909" s="7"/>
      <c r="F909" s="7"/>
      <c r="G909" s="8"/>
      <c r="H909" s="8"/>
      <c r="I909" s="8"/>
      <c r="J909" s="9"/>
      <c r="K909" s="8"/>
    </row>
    <row r="910" spans="1:11" s="6" customFormat="1" x14ac:dyDescent="0.2">
      <c r="A910" s="5"/>
      <c r="C910" s="7"/>
      <c r="D910" s="7"/>
      <c r="E910" s="7"/>
      <c r="F910" s="7"/>
      <c r="G910" s="8"/>
      <c r="H910" s="8"/>
      <c r="I910" s="8"/>
      <c r="J910" s="9"/>
      <c r="K910" s="8"/>
    </row>
    <row r="911" spans="1:11" s="6" customFormat="1" x14ac:dyDescent="0.2">
      <c r="A911" s="5"/>
      <c r="C911" s="7"/>
      <c r="D911" s="7"/>
      <c r="E911" s="7"/>
      <c r="F911" s="7"/>
      <c r="G911" s="8"/>
      <c r="H911" s="8"/>
      <c r="I911" s="8"/>
      <c r="J911" s="9"/>
      <c r="K911" s="8"/>
    </row>
    <row r="912" spans="1:11" s="6" customFormat="1" x14ac:dyDescent="0.2">
      <c r="A912" s="5"/>
      <c r="C912" s="7"/>
      <c r="D912" s="7"/>
      <c r="E912" s="7"/>
      <c r="F912" s="7"/>
      <c r="G912" s="8"/>
      <c r="H912" s="8"/>
      <c r="I912" s="8"/>
      <c r="J912" s="9"/>
      <c r="K912" s="8"/>
    </row>
    <row r="913" spans="1:11" s="6" customFormat="1" x14ac:dyDescent="0.2">
      <c r="A913" s="5"/>
      <c r="C913" s="7"/>
      <c r="D913" s="7"/>
      <c r="E913" s="7"/>
      <c r="F913" s="7"/>
      <c r="G913" s="8"/>
      <c r="H913" s="8"/>
      <c r="I913" s="8"/>
      <c r="J913" s="9"/>
      <c r="K913" s="8"/>
    </row>
    <row r="914" spans="1:11" s="6" customFormat="1" x14ac:dyDescent="0.2">
      <c r="A914" s="5"/>
      <c r="C914" s="7"/>
      <c r="D914" s="7"/>
      <c r="E914" s="7"/>
      <c r="F914" s="7"/>
      <c r="G914" s="8"/>
      <c r="H914" s="8"/>
      <c r="I914" s="8"/>
      <c r="J914" s="9"/>
      <c r="K914" s="8"/>
    </row>
    <row r="915" spans="1:11" s="6" customFormat="1" x14ac:dyDescent="0.2">
      <c r="A915" s="5"/>
      <c r="C915" s="7"/>
      <c r="D915" s="7"/>
      <c r="E915" s="7"/>
      <c r="F915" s="7"/>
      <c r="G915" s="8"/>
      <c r="H915" s="8"/>
      <c r="I915" s="8"/>
      <c r="J915" s="9"/>
      <c r="K915" s="8"/>
    </row>
    <row r="916" spans="1:11" s="6" customFormat="1" x14ac:dyDescent="0.2">
      <c r="A916" s="5"/>
      <c r="C916" s="7"/>
      <c r="D916" s="7"/>
      <c r="E916" s="7"/>
      <c r="F916" s="7"/>
      <c r="G916" s="8"/>
      <c r="H916" s="8"/>
      <c r="I916" s="8"/>
      <c r="J916" s="9"/>
      <c r="K916" s="8"/>
    </row>
    <row r="917" spans="1:11" s="6" customFormat="1" x14ac:dyDescent="0.2">
      <c r="A917" s="5"/>
      <c r="C917" s="7"/>
      <c r="D917" s="7"/>
      <c r="E917" s="7"/>
      <c r="F917" s="7"/>
      <c r="G917" s="8"/>
      <c r="H917" s="8"/>
      <c r="I917" s="8"/>
      <c r="J917" s="9"/>
      <c r="K917" s="8"/>
    </row>
    <row r="918" spans="1:11" s="6" customFormat="1" x14ac:dyDescent="0.2">
      <c r="A918" s="5"/>
      <c r="C918" s="7"/>
      <c r="D918" s="7"/>
      <c r="E918" s="7"/>
      <c r="F918" s="7"/>
      <c r="G918" s="8"/>
      <c r="H918" s="8"/>
      <c r="I918" s="8"/>
      <c r="J918" s="9"/>
      <c r="K918" s="8"/>
    </row>
    <row r="919" spans="1:11" s="6" customFormat="1" x14ac:dyDescent="0.2">
      <c r="A919" s="5"/>
      <c r="C919" s="7"/>
      <c r="D919" s="7"/>
      <c r="E919" s="7"/>
      <c r="F919" s="7"/>
      <c r="G919" s="8"/>
      <c r="H919" s="8"/>
      <c r="I919" s="8"/>
      <c r="J919" s="9"/>
      <c r="K919" s="8"/>
    </row>
    <row r="920" spans="1:11" s="6" customFormat="1" x14ac:dyDescent="0.2">
      <c r="A920" s="5"/>
      <c r="C920" s="7"/>
      <c r="D920" s="7"/>
      <c r="E920" s="7"/>
      <c r="F920" s="7"/>
      <c r="G920" s="8"/>
      <c r="H920" s="8"/>
      <c r="I920" s="8"/>
      <c r="J920" s="9"/>
      <c r="K920" s="8"/>
    </row>
    <row r="921" spans="1:11" s="6" customFormat="1" x14ac:dyDescent="0.2">
      <c r="A921" s="5"/>
      <c r="C921" s="7"/>
      <c r="D921" s="7"/>
      <c r="E921" s="7"/>
      <c r="F921" s="7"/>
      <c r="G921" s="8"/>
      <c r="H921" s="8"/>
      <c r="I921" s="8"/>
      <c r="J921" s="9"/>
      <c r="K921" s="8"/>
    </row>
    <row r="922" spans="1:11" s="6" customFormat="1" x14ac:dyDescent="0.2">
      <c r="A922" s="5"/>
      <c r="C922" s="7"/>
      <c r="D922" s="7"/>
      <c r="E922" s="7"/>
      <c r="F922" s="7"/>
      <c r="G922" s="8"/>
      <c r="H922" s="8"/>
      <c r="I922" s="8"/>
      <c r="J922" s="9"/>
      <c r="K922" s="8"/>
    </row>
    <row r="923" spans="1:11" s="6" customFormat="1" x14ac:dyDescent="0.2">
      <c r="A923" s="5"/>
      <c r="C923" s="7"/>
      <c r="D923" s="7"/>
      <c r="E923" s="7"/>
      <c r="F923" s="7"/>
      <c r="G923" s="8"/>
      <c r="H923" s="8"/>
      <c r="I923" s="8"/>
      <c r="J923" s="9"/>
      <c r="K923" s="8"/>
    </row>
    <row r="924" spans="1:11" s="6" customFormat="1" x14ac:dyDescent="0.2">
      <c r="A924" s="5"/>
      <c r="C924" s="7"/>
      <c r="D924" s="7"/>
      <c r="E924" s="7"/>
      <c r="F924" s="7"/>
      <c r="G924" s="8"/>
      <c r="H924" s="8"/>
      <c r="I924" s="8"/>
      <c r="J924" s="9"/>
      <c r="K924" s="8"/>
    </row>
    <row r="925" spans="1:11" s="6" customFormat="1" x14ac:dyDescent="0.2">
      <c r="A925" s="5"/>
      <c r="C925" s="7"/>
      <c r="D925" s="7"/>
      <c r="E925" s="7"/>
      <c r="F925" s="7"/>
      <c r="G925" s="8"/>
      <c r="H925" s="8"/>
      <c r="I925" s="8"/>
      <c r="J925" s="9"/>
      <c r="K925" s="8"/>
    </row>
    <row r="926" spans="1:11" s="6" customFormat="1" x14ac:dyDescent="0.2">
      <c r="A926" s="5"/>
      <c r="C926" s="7"/>
      <c r="D926" s="7"/>
      <c r="E926" s="7"/>
      <c r="F926" s="7"/>
      <c r="G926" s="8"/>
      <c r="H926" s="8"/>
      <c r="I926" s="8"/>
      <c r="J926" s="9"/>
      <c r="K926" s="8"/>
    </row>
    <row r="927" spans="1:11" s="6" customFormat="1" x14ac:dyDescent="0.2">
      <c r="A927" s="5"/>
      <c r="C927" s="7"/>
      <c r="D927" s="7"/>
      <c r="E927" s="7"/>
      <c r="F927" s="7"/>
      <c r="G927" s="8"/>
      <c r="H927" s="8"/>
      <c r="I927" s="8"/>
      <c r="J927" s="9"/>
      <c r="K927" s="8"/>
    </row>
    <row r="928" spans="1:11" s="6" customFormat="1" x14ac:dyDescent="0.2">
      <c r="A928" s="5"/>
      <c r="C928" s="7"/>
      <c r="D928" s="7"/>
      <c r="E928" s="7"/>
      <c r="F928" s="7"/>
      <c r="G928" s="8"/>
      <c r="H928" s="8"/>
      <c r="I928" s="8"/>
      <c r="J928" s="9"/>
      <c r="K928" s="8"/>
    </row>
    <row r="929" spans="1:11" s="6" customFormat="1" x14ac:dyDescent="0.2">
      <c r="A929" s="5"/>
      <c r="C929" s="7"/>
      <c r="D929" s="7"/>
      <c r="E929" s="7"/>
      <c r="F929" s="7"/>
      <c r="G929" s="8"/>
      <c r="H929" s="8"/>
      <c r="I929" s="8"/>
      <c r="J929" s="9"/>
      <c r="K929" s="8"/>
    </row>
    <row r="930" spans="1:11" s="6" customFormat="1" x14ac:dyDescent="0.2">
      <c r="A930" s="5"/>
      <c r="C930" s="7"/>
      <c r="D930" s="7"/>
      <c r="E930" s="7"/>
      <c r="F930" s="7"/>
      <c r="G930" s="8"/>
      <c r="H930" s="8"/>
      <c r="I930" s="8"/>
      <c r="J930" s="9"/>
      <c r="K930" s="8"/>
    </row>
    <row r="931" spans="1:11" s="6" customFormat="1" x14ac:dyDescent="0.2">
      <c r="A931" s="5"/>
      <c r="C931" s="7"/>
      <c r="D931" s="7"/>
      <c r="E931" s="7"/>
      <c r="F931" s="7"/>
      <c r="G931" s="8"/>
      <c r="H931" s="8"/>
      <c r="I931" s="8"/>
      <c r="J931" s="9"/>
      <c r="K931" s="8"/>
    </row>
    <row r="932" spans="1:11" s="6" customFormat="1" x14ac:dyDescent="0.2">
      <c r="A932" s="5"/>
      <c r="C932" s="7"/>
      <c r="D932" s="7"/>
      <c r="E932" s="7"/>
      <c r="F932" s="7"/>
      <c r="G932" s="8"/>
      <c r="H932" s="8"/>
      <c r="I932" s="8"/>
      <c r="J932" s="9"/>
      <c r="K932" s="8"/>
    </row>
    <row r="933" spans="1:11" s="6" customFormat="1" x14ac:dyDescent="0.2">
      <c r="A933" s="5"/>
      <c r="C933" s="7"/>
      <c r="D933" s="7"/>
      <c r="E933" s="7"/>
      <c r="F933" s="7"/>
      <c r="G933" s="8"/>
      <c r="H933" s="8"/>
      <c r="I933" s="8"/>
      <c r="J933" s="9"/>
      <c r="K933" s="8"/>
    </row>
    <row r="934" spans="1:11" s="6" customFormat="1" x14ac:dyDescent="0.2">
      <c r="A934" s="5"/>
      <c r="C934" s="7"/>
      <c r="D934" s="7"/>
      <c r="E934" s="7"/>
      <c r="F934" s="7"/>
      <c r="G934" s="8"/>
      <c r="H934" s="8"/>
      <c r="I934" s="8"/>
      <c r="J934" s="9"/>
      <c r="K934" s="8"/>
    </row>
    <row r="935" spans="1:11" s="6" customFormat="1" x14ac:dyDescent="0.2">
      <c r="A935" s="5"/>
      <c r="C935" s="7"/>
      <c r="D935" s="7"/>
      <c r="E935" s="7"/>
      <c r="F935" s="7"/>
      <c r="G935" s="8"/>
      <c r="H935" s="8"/>
      <c r="I935" s="8"/>
      <c r="J935" s="9"/>
      <c r="K935" s="8"/>
    </row>
    <row r="936" spans="1:11" s="6" customFormat="1" x14ac:dyDescent="0.2">
      <c r="A936" s="5"/>
      <c r="C936" s="7"/>
      <c r="D936" s="7"/>
      <c r="E936" s="7"/>
      <c r="F936" s="7"/>
      <c r="G936" s="8"/>
      <c r="H936" s="8"/>
      <c r="I936" s="8"/>
      <c r="J936" s="9"/>
      <c r="K936" s="8"/>
    </row>
    <row r="937" spans="1:11" s="6" customFormat="1" x14ac:dyDescent="0.2">
      <c r="A937" s="5"/>
      <c r="C937" s="7"/>
      <c r="D937" s="7"/>
      <c r="E937" s="7"/>
      <c r="F937" s="7"/>
      <c r="G937" s="8"/>
      <c r="H937" s="8"/>
      <c r="I937" s="8"/>
      <c r="J937" s="9"/>
      <c r="K937" s="8"/>
    </row>
    <row r="938" spans="1:11" s="6" customFormat="1" x14ac:dyDescent="0.2">
      <c r="A938" s="5"/>
      <c r="C938" s="7"/>
      <c r="D938" s="7"/>
      <c r="E938" s="7"/>
      <c r="F938" s="7"/>
      <c r="G938" s="8"/>
      <c r="H938" s="8"/>
      <c r="I938" s="8"/>
      <c r="J938" s="9"/>
      <c r="K938" s="8"/>
    </row>
    <row r="939" spans="1:11" s="6" customFormat="1" x14ac:dyDescent="0.2">
      <c r="A939" s="5"/>
      <c r="C939" s="7"/>
      <c r="D939" s="7"/>
      <c r="E939" s="7"/>
      <c r="F939" s="7"/>
      <c r="G939" s="8"/>
      <c r="H939" s="8"/>
      <c r="I939" s="8"/>
      <c r="J939" s="9"/>
      <c r="K939" s="8"/>
    </row>
    <row r="940" spans="1:11" s="6" customFormat="1" x14ac:dyDescent="0.2">
      <c r="A940" s="5"/>
      <c r="C940" s="7"/>
      <c r="D940" s="7"/>
      <c r="E940" s="7"/>
      <c r="F940" s="7"/>
      <c r="G940" s="8"/>
      <c r="H940" s="8"/>
      <c r="I940" s="8"/>
      <c r="J940" s="9"/>
      <c r="K940" s="8"/>
    </row>
    <row r="941" spans="1:11" s="6" customFormat="1" x14ac:dyDescent="0.2">
      <c r="A941" s="5"/>
      <c r="C941" s="7"/>
      <c r="D941" s="7"/>
      <c r="E941" s="7"/>
      <c r="F941" s="7"/>
      <c r="G941" s="8"/>
      <c r="H941" s="8"/>
      <c r="I941" s="8"/>
      <c r="J941" s="9"/>
      <c r="K941" s="8"/>
    </row>
    <row r="942" spans="1:11" s="6" customFormat="1" x14ac:dyDescent="0.2">
      <c r="A942" s="5"/>
      <c r="C942" s="7"/>
      <c r="D942" s="7"/>
      <c r="E942" s="7"/>
      <c r="F942" s="7"/>
      <c r="G942" s="8"/>
      <c r="H942" s="8"/>
      <c r="I942" s="8"/>
      <c r="J942" s="9"/>
      <c r="K942" s="8"/>
    </row>
    <row r="943" spans="1:11" s="6" customFormat="1" x14ac:dyDescent="0.2">
      <c r="A943" s="5"/>
      <c r="C943" s="7"/>
      <c r="D943" s="7"/>
      <c r="E943" s="7"/>
      <c r="F943" s="7"/>
      <c r="G943" s="8"/>
      <c r="H943" s="8"/>
      <c r="I943" s="8"/>
      <c r="J943" s="9"/>
      <c r="K943" s="8"/>
    </row>
    <row r="944" spans="1:11" s="6" customFormat="1" x14ac:dyDescent="0.2">
      <c r="A944" s="5"/>
      <c r="C944" s="7"/>
      <c r="D944" s="7"/>
      <c r="E944" s="7"/>
      <c r="F944" s="7"/>
      <c r="G944" s="8"/>
      <c r="H944" s="8"/>
      <c r="I944" s="8"/>
      <c r="J944" s="9"/>
      <c r="K944" s="8"/>
    </row>
    <row r="945" spans="1:11" s="6" customFormat="1" x14ac:dyDescent="0.2">
      <c r="A945" s="5"/>
      <c r="C945" s="7"/>
      <c r="D945" s="7"/>
      <c r="E945" s="7"/>
      <c r="F945" s="7"/>
      <c r="G945" s="8"/>
      <c r="H945" s="8"/>
      <c r="I945" s="8"/>
      <c r="J945" s="9"/>
      <c r="K945" s="8"/>
    </row>
    <row r="946" spans="1:11" s="6" customFormat="1" x14ac:dyDescent="0.2">
      <c r="A946" s="5"/>
      <c r="C946" s="7"/>
      <c r="D946" s="7"/>
      <c r="E946" s="7"/>
      <c r="F946" s="7"/>
      <c r="G946" s="8"/>
      <c r="H946" s="8"/>
      <c r="I946" s="8"/>
      <c r="J946" s="9"/>
      <c r="K946" s="8"/>
    </row>
    <row r="947" spans="1:11" s="6" customFormat="1" x14ac:dyDescent="0.2">
      <c r="A947" s="5"/>
      <c r="C947" s="7"/>
      <c r="D947" s="7"/>
      <c r="E947" s="7"/>
      <c r="F947" s="7"/>
      <c r="G947" s="8"/>
      <c r="H947" s="8"/>
      <c r="I947" s="8"/>
      <c r="J947" s="9"/>
      <c r="K947" s="8"/>
    </row>
    <row r="948" spans="1:11" s="6" customFormat="1" x14ac:dyDescent="0.2">
      <c r="A948" s="5"/>
      <c r="C948" s="7"/>
      <c r="D948" s="7"/>
      <c r="E948" s="7"/>
      <c r="F948" s="7"/>
      <c r="G948" s="8"/>
      <c r="H948" s="8"/>
      <c r="I948" s="8"/>
      <c r="J948" s="9"/>
      <c r="K948" s="8"/>
    </row>
    <row r="949" spans="1:11" s="6" customFormat="1" x14ac:dyDescent="0.2">
      <c r="A949" s="5"/>
      <c r="C949" s="7"/>
      <c r="D949" s="7"/>
      <c r="E949" s="7"/>
      <c r="F949" s="7"/>
      <c r="G949" s="8"/>
      <c r="H949" s="8"/>
      <c r="I949" s="8"/>
      <c r="J949" s="9"/>
      <c r="K949" s="8"/>
    </row>
    <row r="950" spans="1:11" s="6" customFormat="1" x14ac:dyDescent="0.2">
      <c r="A950" s="5"/>
      <c r="C950" s="7"/>
      <c r="D950" s="7"/>
      <c r="E950" s="7"/>
      <c r="F950" s="7"/>
      <c r="G950" s="8"/>
      <c r="H950" s="8"/>
      <c r="I950" s="8"/>
      <c r="J950" s="9"/>
      <c r="K950" s="8"/>
    </row>
    <row r="951" spans="1:11" s="6" customFormat="1" x14ac:dyDescent="0.2">
      <c r="A951" s="5"/>
      <c r="C951" s="7"/>
      <c r="D951" s="7"/>
      <c r="E951" s="7"/>
      <c r="F951" s="7"/>
      <c r="G951" s="8"/>
      <c r="H951" s="8"/>
      <c r="I951" s="8"/>
      <c r="J951" s="9"/>
      <c r="K951" s="8"/>
    </row>
    <row r="952" spans="1:11" s="6" customFormat="1" x14ac:dyDescent="0.2">
      <c r="A952" s="5"/>
      <c r="C952" s="7"/>
      <c r="D952" s="7"/>
      <c r="E952" s="7"/>
      <c r="F952" s="7"/>
      <c r="G952" s="8"/>
      <c r="H952" s="8"/>
      <c r="I952" s="8"/>
      <c r="J952" s="9"/>
      <c r="K952" s="8"/>
    </row>
    <row r="953" spans="1:11" s="6" customFormat="1" x14ac:dyDescent="0.2">
      <c r="A953" s="5"/>
      <c r="C953" s="7"/>
      <c r="D953" s="7"/>
      <c r="E953" s="7"/>
      <c r="F953" s="7"/>
      <c r="G953" s="8"/>
      <c r="H953" s="8"/>
      <c r="I953" s="8"/>
      <c r="J953" s="9"/>
      <c r="K953" s="8"/>
    </row>
    <row r="954" spans="1:11" s="6" customFormat="1" x14ac:dyDescent="0.2">
      <c r="A954" s="5"/>
      <c r="C954" s="7"/>
      <c r="D954" s="7"/>
      <c r="E954" s="7"/>
      <c r="F954" s="7"/>
      <c r="G954" s="8"/>
      <c r="H954" s="8"/>
      <c r="I954" s="8"/>
      <c r="J954" s="9"/>
      <c r="K954" s="8"/>
    </row>
    <row r="955" spans="1:11" s="6" customFormat="1" x14ac:dyDescent="0.2">
      <c r="A955" s="5"/>
      <c r="C955" s="7"/>
      <c r="D955" s="7"/>
      <c r="E955" s="7"/>
      <c r="F955" s="7"/>
      <c r="G955" s="8"/>
      <c r="H955" s="8"/>
      <c r="I955" s="8"/>
      <c r="J955" s="9"/>
      <c r="K955" s="8"/>
    </row>
    <row r="956" spans="1:11" s="6" customFormat="1" x14ac:dyDescent="0.2">
      <c r="A956" s="5"/>
      <c r="C956" s="7"/>
      <c r="D956" s="7"/>
      <c r="E956" s="7"/>
      <c r="F956" s="7"/>
      <c r="G956" s="8"/>
      <c r="H956" s="8"/>
      <c r="I956" s="8"/>
      <c r="J956" s="9"/>
      <c r="K956" s="8"/>
    </row>
    <row r="957" spans="1:11" s="6" customFormat="1" x14ac:dyDescent="0.2">
      <c r="A957" s="5"/>
      <c r="C957" s="7"/>
      <c r="D957" s="7"/>
      <c r="E957" s="7"/>
      <c r="F957" s="7"/>
      <c r="G957" s="8"/>
      <c r="H957" s="8"/>
      <c r="I957" s="8"/>
      <c r="J957" s="9"/>
      <c r="K957" s="8"/>
    </row>
    <row r="958" spans="1:11" s="6" customFormat="1" x14ac:dyDescent="0.2">
      <c r="A958" s="5"/>
      <c r="C958" s="7"/>
      <c r="D958" s="7"/>
      <c r="E958" s="7"/>
      <c r="F958" s="7"/>
      <c r="G958" s="8"/>
      <c r="H958" s="8"/>
      <c r="I958" s="8"/>
      <c r="J958" s="9"/>
      <c r="K958" s="8"/>
    </row>
    <row r="959" spans="1:11" s="6" customFormat="1" x14ac:dyDescent="0.2">
      <c r="A959" s="5"/>
      <c r="C959" s="7"/>
      <c r="D959" s="7"/>
      <c r="E959" s="7"/>
      <c r="F959" s="7"/>
      <c r="G959" s="8"/>
      <c r="H959" s="8"/>
      <c r="I959" s="8"/>
      <c r="J959" s="9"/>
      <c r="K959" s="8"/>
    </row>
    <row r="960" spans="1:11" s="6" customFormat="1" x14ac:dyDescent="0.2">
      <c r="A960" s="5"/>
      <c r="C960" s="7"/>
      <c r="D960" s="7"/>
      <c r="E960" s="7"/>
      <c r="F960" s="7"/>
      <c r="G960" s="8"/>
      <c r="H960" s="8"/>
      <c r="I960" s="8"/>
      <c r="J960" s="9"/>
      <c r="K960" s="8"/>
    </row>
    <row r="961" spans="1:11" s="6" customFormat="1" x14ac:dyDescent="0.2">
      <c r="A961" s="5"/>
      <c r="C961" s="7"/>
      <c r="D961" s="7"/>
      <c r="E961" s="7"/>
      <c r="F961" s="7"/>
      <c r="G961" s="8"/>
      <c r="H961" s="8"/>
      <c r="I961" s="8"/>
      <c r="J961" s="9"/>
      <c r="K961" s="8"/>
    </row>
    <row r="962" spans="1:11" s="6" customFormat="1" x14ac:dyDescent="0.2">
      <c r="A962" s="5"/>
      <c r="C962" s="7"/>
      <c r="D962" s="7"/>
      <c r="E962" s="7"/>
      <c r="F962" s="7"/>
      <c r="G962" s="8"/>
      <c r="H962" s="8"/>
      <c r="I962" s="8"/>
      <c r="J962" s="9"/>
      <c r="K962" s="8"/>
    </row>
    <row r="963" spans="1:11" s="6" customFormat="1" x14ac:dyDescent="0.2">
      <c r="A963" s="5"/>
      <c r="C963" s="7"/>
      <c r="D963" s="7"/>
      <c r="E963" s="7"/>
      <c r="F963" s="7"/>
      <c r="G963" s="8"/>
      <c r="H963" s="8"/>
      <c r="I963" s="8"/>
      <c r="J963" s="9"/>
      <c r="K963" s="8"/>
    </row>
    <row r="964" spans="1:11" s="6" customFormat="1" x14ac:dyDescent="0.2">
      <c r="A964" s="5"/>
      <c r="C964" s="7"/>
      <c r="D964" s="7"/>
      <c r="E964" s="7"/>
      <c r="F964" s="7"/>
      <c r="G964" s="8"/>
      <c r="H964" s="8"/>
      <c r="I964" s="8"/>
      <c r="J964" s="9"/>
      <c r="K964" s="8"/>
    </row>
    <row r="965" spans="1:11" s="6" customFormat="1" x14ac:dyDescent="0.2">
      <c r="A965" s="5"/>
      <c r="C965" s="7"/>
      <c r="D965" s="7"/>
      <c r="E965" s="7"/>
      <c r="F965" s="7"/>
      <c r="G965" s="8"/>
      <c r="H965" s="8"/>
      <c r="I965" s="8"/>
      <c r="J965" s="9"/>
      <c r="K965" s="8"/>
    </row>
    <row r="966" spans="1:11" s="6" customFormat="1" x14ac:dyDescent="0.2">
      <c r="A966" s="5"/>
      <c r="C966" s="7"/>
      <c r="D966" s="7"/>
      <c r="E966" s="7"/>
      <c r="F966" s="7"/>
      <c r="G966" s="8"/>
      <c r="H966" s="8"/>
      <c r="I966" s="8"/>
      <c r="J966" s="9"/>
      <c r="K966" s="8"/>
    </row>
    <row r="967" spans="1:11" s="6" customFormat="1" x14ac:dyDescent="0.2">
      <c r="A967" s="5"/>
      <c r="C967" s="7"/>
      <c r="D967" s="7"/>
      <c r="E967" s="7"/>
      <c r="F967" s="7"/>
      <c r="G967" s="8"/>
      <c r="H967" s="8"/>
      <c r="I967" s="8"/>
      <c r="J967" s="9"/>
      <c r="K967" s="8"/>
    </row>
    <row r="968" spans="1:11" s="6" customFormat="1" x14ac:dyDescent="0.2">
      <c r="A968" s="5"/>
      <c r="C968" s="7"/>
      <c r="D968" s="7"/>
      <c r="E968" s="7"/>
      <c r="F968" s="7"/>
      <c r="G968" s="8"/>
      <c r="H968" s="8"/>
      <c r="I968" s="8"/>
      <c r="J968" s="9"/>
      <c r="K968" s="8"/>
    </row>
    <row r="969" spans="1:11" s="6" customFormat="1" x14ac:dyDescent="0.2">
      <c r="A969" s="5"/>
      <c r="C969" s="7"/>
      <c r="D969" s="7"/>
      <c r="E969" s="7"/>
      <c r="F969" s="7"/>
      <c r="G969" s="8"/>
      <c r="H969" s="8"/>
      <c r="I969" s="8"/>
      <c r="J969" s="9"/>
      <c r="K969" s="8"/>
    </row>
    <row r="970" spans="1:11" s="6" customFormat="1" x14ac:dyDescent="0.2">
      <c r="A970" s="5"/>
      <c r="C970" s="7"/>
      <c r="D970" s="7"/>
      <c r="E970" s="7"/>
      <c r="F970" s="7"/>
      <c r="G970" s="8"/>
      <c r="H970" s="8"/>
      <c r="I970" s="8"/>
      <c r="J970" s="9"/>
      <c r="K970" s="8"/>
    </row>
    <row r="971" spans="1:11" s="6" customFormat="1" x14ac:dyDescent="0.2">
      <c r="A971" s="5"/>
      <c r="C971" s="7"/>
      <c r="D971" s="7"/>
      <c r="E971" s="7"/>
      <c r="F971" s="7"/>
      <c r="G971" s="8"/>
      <c r="H971" s="8"/>
      <c r="I971" s="8"/>
      <c r="J971" s="9"/>
      <c r="K971" s="8"/>
    </row>
    <row r="972" spans="1:11" s="6" customFormat="1" x14ac:dyDescent="0.2">
      <c r="A972" s="5"/>
      <c r="C972" s="7"/>
      <c r="D972" s="7"/>
      <c r="E972" s="7"/>
      <c r="F972" s="7"/>
      <c r="G972" s="8"/>
      <c r="H972" s="8"/>
      <c r="I972" s="8"/>
      <c r="J972" s="9"/>
      <c r="K972" s="8"/>
    </row>
    <row r="973" spans="1:11" s="6" customFormat="1" x14ac:dyDescent="0.2">
      <c r="A973" s="5"/>
      <c r="C973" s="7"/>
      <c r="D973" s="7"/>
      <c r="E973" s="7"/>
      <c r="F973" s="7"/>
      <c r="G973" s="8"/>
      <c r="H973" s="8"/>
      <c r="I973" s="8"/>
      <c r="J973" s="9"/>
      <c r="K973" s="8"/>
    </row>
    <row r="974" spans="1:11" s="6" customFormat="1" x14ac:dyDescent="0.2">
      <c r="A974" s="5"/>
      <c r="C974" s="7"/>
      <c r="D974" s="7"/>
      <c r="E974" s="7"/>
      <c r="F974" s="7"/>
      <c r="G974" s="8"/>
      <c r="H974" s="8"/>
      <c r="I974" s="8"/>
      <c r="J974" s="9"/>
      <c r="K974" s="8"/>
    </row>
    <row r="975" spans="1:11" s="6" customFormat="1" x14ac:dyDescent="0.2">
      <c r="A975" s="5"/>
      <c r="C975" s="7"/>
      <c r="D975" s="7"/>
      <c r="E975" s="7"/>
      <c r="F975" s="7"/>
      <c r="G975" s="8"/>
      <c r="H975" s="8"/>
      <c r="I975" s="8"/>
      <c r="J975" s="9"/>
      <c r="K975" s="8"/>
    </row>
    <row r="976" spans="1:11" s="6" customFormat="1" x14ac:dyDescent="0.2">
      <c r="A976" s="5"/>
      <c r="C976" s="7"/>
      <c r="D976" s="7"/>
      <c r="E976" s="7"/>
      <c r="F976" s="7"/>
      <c r="G976" s="8"/>
      <c r="H976" s="8"/>
      <c r="I976" s="8"/>
      <c r="J976" s="9"/>
      <c r="K976" s="8"/>
    </row>
    <row r="977" spans="1:11" s="6" customFormat="1" x14ac:dyDescent="0.2">
      <c r="A977" s="5"/>
      <c r="C977" s="7"/>
      <c r="D977" s="7"/>
      <c r="E977" s="7"/>
      <c r="F977" s="7"/>
      <c r="G977" s="8"/>
      <c r="H977" s="8"/>
      <c r="I977" s="8"/>
      <c r="J977" s="9"/>
      <c r="K977" s="8"/>
    </row>
    <row r="978" spans="1:11" s="6" customFormat="1" x14ac:dyDescent="0.2">
      <c r="A978" s="5"/>
      <c r="C978" s="7"/>
      <c r="D978" s="7"/>
      <c r="E978" s="7"/>
      <c r="F978" s="7"/>
      <c r="G978" s="8"/>
      <c r="H978" s="8"/>
      <c r="I978" s="8"/>
      <c r="J978" s="9"/>
      <c r="K978" s="8"/>
    </row>
    <row r="979" spans="1:11" s="6" customFormat="1" x14ac:dyDescent="0.2">
      <c r="A979" s="5"/>
      <c r="C979" s="7"/>
      <c r="D979" s="7"/>
      <c r="E979" s="7"/>
      <c r="F979" s="7"/>
      <c r="G979" s="8"/>
      <c r="H979" s="8"/>
      <c r="I979" s="8"/>
      <c r="J979" s="9"/>
      <c r="K979" s="8"/>
    </row>
    <row r="980" spans="1:11" s="6" customFormat="1" x14ac:dyDescent="0.2">
      <c r="A980" s="5"/>
      <c r="C980" s="7"/>
      <c r="D980" s="7"/>
      <c r="E980" s="7"/>
      <c r="F980" s="7"/>
      <c r="G980" s="8"/>
      <c r="H980" s="8"/>
      <c r="I980" s="8"/>
      <c r="J980" s="9"/>
      <c r="K980" s="8"/>
    </row>
    <row r="981" spans="1:11" s="6" customFormat="1" x14ac:dyDescent="0.2">
      <c r="A981" s="5"/>
      <c r="C981" s="7"/>
      <c r="D981" s="7"/>
      <c r="E981" s="7"/>
      <c r="F981" s="7"/>
      <c r="G981" s="8"/>
      <c r="H981" s="8"/>
      <c r="I981" s="8"/>
      <c r="J981" s="9"/>
      <c r="K981" s="8"/>
    </row>
    <row r="982" spans="1:11" s="6" customFormat="1" x14ac:dyDescent="0.2">
      <c r="A982" s="5"/>
      <c r="C982" s="7"/>
      <c r="D982" s="7"/>
      <c r="E982" s="7"/>
      <c r="F982" s="7"/>
      <c r="G982" s="8"/>
      <c r="H982" s="8"/>
      <c r="I982" s="8"/>
      <c r="J982" s="9"/>
      <c r="K982" s="8"/>
    </row>
    <row r="983" spans="1:11" s="6" customFormat="1" x14ac:dyDescent="0.2">
      <c r="A983" s="5"/>
      <c r="C983" s="7"/>
      <c r="D983" s="7"/>
      <c r="E983" s="7"/>
      <c r="F983" s="7"/>
      <c r="G983" s="8"/>
      <c r="H983" s="8"/>
      <c r="I983" s="8"/>
      <c r="J983" s="9"/>
      <c r="K983" s="8"/>
    </row>
    <row r="984" spans="1:11" s="6" customFormat="1" x14ac:dyDescent="0.2">
      <c r="A984" s="5"/>
      <c r="C984" s="7"/>
      <c r="D984" s="7"/>
      <c r="E984" s="7"/>
      <c r="F984" s="7"/>
      <c r="G984" s="8"/>
      <c r="H984" s="8"/>
      <c r="I984" s="8"/>
      <c r="J984" s="9"/>
      <c r="K984" s="8"/>
    </row>
    <row r="985" spans="1:11" s="6" customFormat="1" x14ac:dyDescent="0.2">
      <c r="A985" s="5"/>
      <c r="C985" s="7"/>
      <c r="D985" s="7"/>
      <c r="E985" s="7"/>
      <c r="F985" s="7"/>
      <c r="G985" s="8"/>
      <c r="H985" s="8"/>
      <c r="I985" s="8"/>
      <c r="J985" s="9"/>
      <c r="K985" s="8"/>
    </row>
    <row r="986" spans="1:11" s="6" customFormat="1" x14ac:dyDescent="0.2">
      <c r="A986" s="5"/>
      <c r="C986" s="7"/>
      <c r="D986" s="7"/>
      <c r="E986" s="7"/>
      <c r="F986" s="7"/>
      <c r="G986" s="8"/>
      <c r="H986" s="8"/>
      <c r="I986" s="8"/>
      <c r="J986" s="9"/>
      <c r="K986" s="8"/>
    </row>
    <row r="987" spans="1:11" s="6" customFormat="1" x14ac:dyDescent="0.2">
      <c r="A987" s="5"/>
      <c r="C987" s="7"/>
      <c r="D987" s="7"/>
      <c r="E987" s="7"/>
      <c r="F987" s="7"/>
      <c r="G987" s="8"/>
      <c r="H987" s="8"/>
      <c r="I987" s="8"/>
      <c r="J987" s="9"/>
      <c r="K987" s="8"/>
    </row>
    <row r="988" spans="1:11" s="6" customFormat="1" x14ac:dyDescent="0.2">
      <c r="A988" s="5"/>
      <c r="C988" s="7"/>
      <c r="D988" s="7"/>
      <c r="E988" s="7"/>
      <c r="F988" s="7"/>
      <c r="G988" s="8"/>
      <c r="H988" s="8"/>
      <c r="I988" s="8"/>
      <c r="J988" s="9"/>
      <c r="K988" s="8"/>
    </row>
    <row r="989" spans="1:11" s="6" customFormat="1" x14ac:dyDescent="0.2">
      <c r="A989" s="5"/>
      <c r="C989" s="7"/>
      <c r="D989" s="7"/>
      <c r="E989" s="7"/>
      <c r="F989" s="7"/>
      <c r="G989" s="8"/>
      <c r="H989" s="8"/>
      <c r="I989" s="8"/>
      <c r="J989" s="9"/>
      <c r="K989" s="8"/>
    </row>
    <row r="990" spans="1:11" s="6" customFormat="1" x14ac:dyDescent="0.2">
      <c r="A990" s="5"/>
      <c r="C990" s="7"/>
      <c r="D990" s="7"/>
      <c r="E990" s="7"/>
      <c r="F990" s="7"/>
      <c r="G990" s="8"/>
      <c r="H990" s="8"/>
      <c r="I990" s="8"/>
      <c r="J990" s="9"/>
      <c r="K990" s="8"/>
    </row>
    <row r="991" spans="1:11" s="6" customFormat="1" x14ac:dyDescent="0.2">
      <c r="A991" s="5"/>
      <c r="C991" s="7"/>
      <c r="D991" s="7"/>
      <c r="E991" s="7"/>
      <c r="F991" s="7"/>
      <c r="G991" s="8"/>
      <c r="H991" s="8"/>
      <c r="I991" s="8"/>
      <c r="J991" s="9"/>
      <c r="K991" s="8"/>
    </row>
    <row r="992" spans="1:11" s="6" customFormat="1" x14ac:dyDescent="0.2">
      <c r="A992" s="5"/>
      <c r="C992" s="7"/>
      <c r="D992" s="7"/>
      <c r="E992" s="7"/>
      <c r="F992" s="7"/>
      <c r="G992" s="8"/>
      <c r="H992" s="8"/>
      <c r="I992" s="8"/>
      <c r="J992" s="9"/>
      <c r="K992" s="8"/>
    </row>
    <row r="993" spans="1:11" s="6" customFormat="1" x14ac:dyDescent="0.2">
      <c r="A993" s="5"/>
      <c r="C993" s="7"/>
      <c r="D993" s="7"/>
      <c r="E993" s="7"/>
      <c r="F993" s="7"/>
      <c r="G993" s="8"/>
      <c r="H993" s="8"/>
      <c r="I993" s="8"/>
      <c r="J993" s="9"/>
      <c r="K993" s="8"/>
    </row>
    <row r="994" spans="1:11" s="6" customFormat="1" x14ac:dyDescent="0.2">
      <c r="A994" s="5"/>
      <c r="C994" s="7"/>
      <c r="D994" s="7"/>
      <c r="E994" s="7"/>
      <c r="F994" s="7"/>
      <c r="G994" s="8"/>
      <c r="H994" s="8"/>
      <c r="I994" s="8"/>
      <c r="J994" s="9"/>
      <c r="K994" s="8"/>
    </row>
    <row r="995" spans="1:11" s="6" customFormat="1" x14ac:dyDescent="0.2">
      <c r="A995" s="5"/>
      <c r="C995" s="7"/>
      <c r="D995" s="7"/>
      <c r="E995" s="7"/>
      <c r="F995" s="7"/>
      <c r="G995" s="8"/>
      <c r="H995" s="8"/>
      <c r="I995" s="8"/>
      <c r="J995" s="9"/>
      <c r="K995" s="8"/>
    </row>
    <row r="996" spans="1:11" s="6" customFormat="1" x14ac:dyDescent="0.2">
      <c r="A996" s="5"/>
      <c r="C996" s="7"/>
      <c r="D996" s="7"/>
      <c r="E996" s="7"/>
      <c r="F996" s="7"/>
      <c r="G996" s="8"/>
      <c r="H996" s="8"/>
      <c r="I996" s="8"/>
      <c r="J996" s="9"/>
      <c r="K996" s="8"/>
    </row>
    <row r="997" spans="1:11" s="6" customFormat="1" x14ac:dyDescent="0.2">
      <c r="A997" s="5"/>
      <c r="C997" s="7"/>
      <c r="D997" s="7"/>
      <c r="E997" s="7"/>
      <c r="F997" s="7"/>
      <c r="G997" s="8"/>
      <c r="H997" s="8"/>
      <c r="I997" s="8"/>
      <c r="J997" s="9"/>
      <c r="K997" s="8"/>
    </row>
    <row r="998" spans="1:11" s="6" customFormat="1" x14ac:dyDescent="0.2">
      <c r="A998" s="5"/>
      <c r="C998" s="7"/>
      <c r="D998" s="7"/>
      <c r="E998" s="7"/>
      <c r="F998" s="7"/>
      <c r="G998" s="8"/>
      <c r="H998" s="8"/>
      <c r="I998" s="8"/>
      <c r="J998" s="9"/>
      <c r="K998" s="8"/>
    </row>
    <row r="999" spans="1:11" s="6" customFormat="1" x14ac:dyDescent="0.2">
      <c r="A999" s="5"/>
      <c r="C999" s="7"/>
      <c r="D999" s="7"/>
      <c r="E999" s="7"/>
      <c r="F999" s="7"/>
      <c r="G999" s="8"/>
      <c r="H999" s="8"/>
      <c r="I999" s="8"/>
      <c r="J999" s="9"/>
      <c r="K999" s="8"/>
    </row>
    <row r="1000" spans="1:11" s="6" customFormat="1" x14ac:dyDescent="0.2">
      <c r="A1000" s="5"/>
      <c r="C1000" s="7"/>
      <c r="D1000" s="7"/>
      <c r="E1000" s="7"/>
      <c r="F1000" s="7"/>
      <c r="G1000" s="8"/>
      <c r="H1000" s="8"/>
      <c r="I1000" s="8"/>
      <c r="J1000" s="9"/>
      <c r="K1000" s="8"/>
    </row>
    <row r="1001" spans="1:11" s="6" customFormat="1" x14ac:dyDescent="0.2">
      <c r="A1001" s="5"/>
      <c r="C1001" s="7"/>
      <c r="D1001" s="7"/>
      <c r="E1001" s="7"/>
      <c r="F1001" s="7"/>
      <c r="G1001" s="8"/>
      <c r="H1001" s="8"/>
      <c r="I1001" s="8"/>
      <c r="J1001" s="9"/>
      <c r="K1001" s="8"/>
    </row>
    <row r="1002" spans="1:11" s="6" customFormat="1" x14ac:dyDescent="0.2">
      <c r="A1002" s="5"/>
      <c r="C1002" s="7"/>
      <c r="D1002" s="7"/>
      <c r="E1002" s="7"/>
      <c r="F1002" s="7"/>
      <c r="G1002" s="8"/>
      <c r="H1002" s="8"/>
      <c r="I1002" s="8"/>
      <c r="J1002" s="9"/>
      <c r="K1002" s="8"/>
    </row>
    <row r="1003" spans="1:11" s="6" customFormat="1" x14ac:dyDescent="0.2">
      <c r="A1003" s="5"/>
      <c r="C1003" s="7"/>
      <c r="D1003" s="7"/>
      <c r="E1003" s="7"/>
      <c r="F1003" s="7"/>
      <c r="G1003" s="8"/>
      <c r="H1003" s="8"/>
      <c r="I1003" s="8"/>
      <c r="J1003" s="9"/>
      <c r="K1003" s="8"/>
    </row>
    <row r="1004" spans="1:11" s="6" customFormat="1" x14ac:dyDescent="0.2">
      <c r="A1004" s="5"/>
      <c r="C1004" s="7"/>
      <c r="D1004" s="7"/>
      <c r="E1004" s="7"/>
      <c r="F1004" s="7"/>
      <c r="G1004" s="8"/>
      <c r="H1004" s="8"/>
      <c r="I1004" s="8"/>
      <c r="J1004" s="9"/>
      <c r="K1004" s="8"/>
    </row>
    <row r="1005" spans="1:11" s="6" customFormat="1" x14ac:dyDescent="0.2">
      <c r="A1005" s="5"/>
      <c r="C1005" s="7"/>
      <c r="D1005" s="7"/>
      <c r="E1005" s="7"/>
      <c r="F1005" s="7"/>
      <c r="G1005" s="8"/>
      <c r="H1005" s="8"/>
      <c r="I1005" s="8"/>
      <c r="J1005" s="9"/>
      <c r="K1005" s="8"/>
    </row>
    <row r="1006" spans="1:11" s="6" customFormat="1" x14ac:dyDescent="0.2">
      <c r="A1006" s="5"/>
      <c r="C1006" s="7"/>
      <c r="D1006" s="7"/>
      <c r="E1006" s="7"/>
      <c r="F1006" s="7"/>
      <c r="G1006" s="8"/>
      <c r="H1006" s="8"/>
      <c r="I1006" s="8"/>
      <c r="J1006" s="9"/>
      <c r="K1006" s="8"/>
    </row>
    <row r="1007" spans="1:11" s="6" customFormat="1" x14ac:dyDescent="0.2">
      <c r="A1007" s="5"/>
      <c r="C1007" s="7"/>
      <c r="D1007" s="7"/>
      <c r="E1007" s="7"/>
      <c r="F1007" s="7"/>
      <c r="G1007" s="8"/>
      <c r="H1007" s="8"/>
      <c r="I1007" s="8"/>
      <c r="J1007" s="9"/>
      <c r="K1007" s="8"/>
    </row>
    <row r="1008" spans="1:11" s="6" customFormat="1" x14ac:dyDescent="0.2">
      <c r="A1008" s="5"/>
      <c r="C1008" s="7"/>
      <c r="D1008" s="7"/>
      <c r="E1008" s="7"/>
      <c r="F1008" s="7"/>
      <c r="G1008" s="8"/>
      <c r="H1008" s="8"/>
      <c r="I1008" s="8"/>
      <c r="J1008" s="9"/>
      <c r="K1008" s="8"/>
    </row>
    <row r="1009" spans="1:11" s="6" customFormat="1" x14ac:dyDescent="0.2">
      <c r="A1009" s="5"/>
      <c r="C1009" s="7"/>
      <c r="D1009" s="7"/>
      <c r="E1009" s="7"/>
      <c r="F1009" s="7"/>
      <c r="G1009" s="8"/>
      <c r="H1009" s="8"/>
      <c r="I1009" s="8"/>
      <c r="J1009" s="9"/>
      <c r="K1009" s="8"/>
    </row>
    <row r="1010" spans="1:11" s="6" customFormat="1" x14ac:dyDescent="0.2">
      <c r="A1010" s="5"/>
      <c r="C1010" s="7"/>
      <c r="D1010" s="7"/>
      <c r="E1010" s="7"/>
      <c r="F1010" s="7"/>
      <c r="G1010" s="8"/>
      <c r="H1010" s="8"/>
      <c r="I1010" s="8"/>
      <c r="J1010" s="9"/>
      <c r="K1010" s="8"/>
    </row>
    <row r="1011" spans="1:11" s="6" customFormat="1" x14ac:dyDescent="0.2">
      <c r="A1011" s="5"/>
      <c r="C1011" s="7"/>
      <c r="D1011" s="7"/>
      <c r="E1011" s="7"/>
      <c r="F1011" s="7"/>
      <c r="G1011" s="8"/>
      <c r="H1011" s="8"/>
      <c r="I1011" s="8"/>
      <c r="J1011" s="9"/>
      <c r="K1011" s="8"/>
    </row>
    <row r="1012" spans="1:11" s="6" customFormat="1" x14ac:dyDescent="0.2">
      <c r="A1012" s="5"/>
      <c r="C1012" s="7"/>
      <c r="D1012" s="7"/>
      <c r="E1012" s="7"/>
      <c r="F1012" s="7"/>
      <c r="G1012" s="8"/>
      <c r="H1012" s="8"/>
      <c r="I1012" s="8"/>
      <c r="J1012" s="9"/>
      <c r="K1012" s="8"/>
    </row>
    <row r="1013" spans="1:11" s="6" customFormat="1" x14ac:dyDescent="0.2">
      <c r="A1013" s="5"/>
      <c r="C1013" s="7"/>
      <c r="D1013" s="7"/>
      <c r="E1013" s="7"/>
      <c r="F1013" s="7"/>
      <c r="G1013" s="8"/>
      <c r="H1013" s="8"/>
      <c r="I1013" s="8"/>
      <c r="J1013" s="9"/>
      <c r="K1013" s="8"/>
    </row>
    <row r="1014" spans="1:11" s="6" customFormat="1" x14ac:dyDescent="0.2">
      <c r="A1014" s="5"/>
      <c r="C1014" s="7"/>
      <c r="D1014" s="7"/>
      <c r="E1014" s="7"/>
      <c r="F1014" s="7"/>
      <c r="G1014" s="8"/>
      <c r="H1014" s="8"/>
      <c r="I1014" s="8"/>
      <c r="J1014" s="9"/>
      <c r="K1014" s="8"/>
    </row>
    <row r="1015" spans="1:11" s="6" customFormat="1" x14ac:dyDescent="0.2">
      <c r="A1015" s="5"/>
      <c r="C1015" s="7"/>
      <c r="D1015" s="7"/>
      <c r="E1015" s="7"/>
      <c r="F1015" s="7"/>
      <c r="G1015" s="8"/>
      <c r="H1015" s="8"/>
      <c r="I1015" s="8"/>
      <c r="J1015" s="9"/>
      <c r="K1015" s="8"/>
    </row>
    <row r="1016" spans="1:11" s="6" customFormat="1" x14ac:dyDescent="0.2">
      <c r="A1016" s="5"/>
      <c r="C1016" s="7"/>
      <c r="D1016" s="7"/>
      <c r="E1016" s="7"/>
      <c r="F1016" s="7"/>
      <c r="G1016" s="8"/>
      <c r="H1016" s="8"/>
      <c r="I1016" s="8"/>
      <c r="J1016" s="9"/>
      <c r="K1016" s="8"/>
    </row>
    <row r="1017" spans="1:11" s="6" customFormat="1" x14ac:dyDescent="0.2">
      <c r="A1017" s="5"/>
      <c r="C1017" s="7"/>
      <c r="D1017" s="7"/>
      <c r="E1017" s="7"/>
      <c r="F1017" s="7"/>
      <c r="G1017" s="8"/>
      <c r="H1017" s="8"/>
      <c r="I1017" s="8"/>
      <c r="J1017" s="9"/>
      <c r="K1017" s="8"/>
    </row>
    <row r="1018" spans="1:11" s="6" customFormat="1" x14ac:dyDescent="0.2">
      <c r="A1018" s="5"/>
      <c r="C1018" s="7"/>
      <c r="D1018" s="7"/>
      <c r="E1018" s="7"/>
      <c r="F1018" s="7"/>
      <c r="G1018" s="8"/>
      <c r="H1018" s="8"/>
      <c r="I1018" s="8"/>
      <c r="J1018" s="9"/>
      <c r="K1018" s="8"/>
    </row>
    <row r="1019" spans="1:11" s="6" customFormat="1" x14ac:dyDescent="0.2">
      <c r="A1019" s="5"/>
      <c r="C1019" s="7"/>
      <c r="D1019" s="7"/>
      <c r="E1019" s="7"/>
      <c r="F1019" s="7"/>
      <c r="G1019" s="8"/>
      <c r="H1019" s="8"/>
      <c r="I1019" s="8"/>
      <c r="J1019" s="9"/>
      <c r="K1019" s="8"/>
    </row>
    <row r="1020" spans="1:11" s="6" customFormat="1" x14ac:dyDescent="0.2">
      <c r="A1020" s="5"/>
      <c r="C1020" s="7"/>
      <c r="D1020" s="7"/>
      <c r="E1020" s="7"/>
      <c r="F1020" s="7"/>
      <c r="G1020" s="8"/>
      <c r="H1020" s="8"/>
      <c r="I1020" s="8"/>
      <c r="J1020" s="9"/>
      <c r="K1020" s="8"/>
    </row>
    <row r="1021" spans="1:11" s="6" customFormat="1" x14ac:dyDescent="0.2">
      <c r="A1021" s="5"/>
      <c r="C1021" s="7"/>
      <c r="D1021" s="7"/>
      <c r="E1021" s="7"/>
      <c r="F1021" s="7"/>
      <c r="G1021" s="8"/>
      <c r="H1021" s="8"/>
      <c r="I1021" s="8"/>
      <c r="J1021" s="9"/>
      <c r="K1021" s="8"/>
    </row>
    <row r="1022" spans="1:11" s="6" customFormat="1" x14ac:dyDescent="0.2">
      <c r="A1022" s="5"/>
      <c r="C1022" s="7"/>
      <c r="D1022" s="7"/>
      <c r="E1022" s="7"/>
      <c r="F1022" s="7"/>
      <c r="G1022" s="8"/>
      <c r="H1022" s="8"/>
      <c r="I1022" s="8"/>
      <c r="J1022" s="9"/>
      <c r="K1022" s="8"/>
    </row>
    <row r="1023" spans="1:11" s="6" customFormat="1" x14ac:dyDescent="0.2">
      <c r="A1023" s="5"/>
      <c r="C1023" s="7"/>
      <c r="D1023" s="7"/>
      <c r="E1023" s="7"/>
      <c r="F1023" s="7"/>
      <c r="G1023" s="8"/>
      <c r="H1023" s="8"/>
      <c r="I1023" s="8"/>
      <c r="J1023" s="9"/>
      <c r="K1023" s="8"/>
    </row>
    <row r="1024" spans="1:11" s="6" customFormat="1" x14ac:dyDescent="0.2">
      <c r="A1024" s="5"/>
      <c r="C1024" s="7"/>
      <c r="D1024" s="7"/>
      <c r="E1024" s="7"/>
      <c r="F1024" s="7"/>
      <c r="G1024" s="8"/>
      <c r="H1024" s="8"/>
      <c r="I1024" s="8"/>
      <c r="J1024" s="9"/>
      <c r="K1024" s="8"/>
    </row>
    <row r="1025" spans="1:11" s="6" customFormat="1" x14ac:dyDescent="0.2">
      <c r="A1025" s="5"/>
      <c r="C1025" s="7"/>
      <c r="D1025" s="7"/>
      <c r="E1025" s="7"/>
      <c r="F1025" s="7"/>
      <c r="G1025" s="8"/>
      <c r="H1025" s="8"/>
      <c r="I1025" s="8"/>
      <c r="J1025" s="9"/>
      <c r="K1025" s="8"/>
    </row>
    <row r="1026" spans="1:11" s="6" customFormat="1" x14ac:dyDescent="0.2">
      <c r="A1026" s="5"/>
      <c r="C1026" s="7"/>
      <c r="D1026" s="7"/>
      <c r="E1026" s="7"/>
      <c r="F1026" s="7"/>
      <c r="G1026" s="8"/>
      <c r="H1026" s="8"/>
      <c r="I1026" s="8"/>
      <c r="J1026" s="9"/>
      <c r="K1026" s="8"/>
    </row>
    <row r="1027" spans="1:11" s="6" customFormat="1" x14ac:dyDescent="0.2">
      <c r="A1027" s="5"/>
      <c r="C1027" s="7"/>
      <c r="D1027" s="7"/>
      <c r="E1027" s="7"/>
      <c r="F1027" s="7"/>
      <c r="G1027" s="8"/>
      <c r="H1027" s="8"/>
      <c r="I1027" s="8"/>
      <c r="J1027" s="9"/>
      <c r="K1027" s="8"/>
    </row>
    <row r="1028" spans="1:11" s="6" customFormat="1" x14ac:dyDescent="0.2">
      <c r="A1028" s="5"/>
      <c r="C1028" s="7"/>
      <c r="D1028" s="7"/>
      <c r="E1028" s="7"/>
      <c r="F1028" s="7"/>
      <c r="G1028" s="8"/>
      <c r="H1028" s="8"/>
      <c r="I1028" s="8"/>
      <c r="J1028" s="9"/>
      <c r="K1028" s="8"/>
    </row>
    <row r="1029" spans="1:11" s="6" customFormat="1" x14ac:dyDescent="0.2">
      <c r="A1029" s="5"/>
      <c r="C1029" s="7"/>
      <c r="D1029" s="7"/>
      <c r="E1029" s="7"/>
      <c r="F1029" s="7"/>
      <c r="G1029" s="8"/>
      <c r="H1029" s="8"/>
      <c r="I1029" s="8"/>
      <c r="J1029" s="9"/>
      <c r="K1029" s="8"/>
    </row>
    <row r="1030" spans="1:11" s="6" customFormat="1" x14ac:dyDescent="0.2">
      <c r="A1030" s="5"/>
      <c r="C1030" s="7"/>
      <c r="D1030" s="7"/>
      <c r="E1030" s="7"/>
      <c r="F1030" s="7"/>
      <c r="G1030" s="8"/>
      <c r="H1030" s="8"/>
      <c r="I1030" s="8"/>
      <c r="J1030" s="9"/>
      <c r="K1030" s="8"/>
    </row>
    <row r="1031" spans="1:11" s="6" customFormat="1" x14ac:dyDescent="0.2">
      <c r="A1031" s="5"/>
      <c r="C1031" s="7"/>
      <c r="D1031" s="7"/>
      <c r="E1031" s="7"/>
      <c r="F1031" s="7"/>
      <c r="G1031" s="8"/>
      <c r="H1031" s="8"/>
      <c r="I1031" s="8"/>
      <c r="J1031" s="9"/>
      <c r="K1031" s="8"/>
    </row>
    <row r="1032" spans="1:11" s="6" customFormat="1" x14ac:dyDescent="0.2">
      <c r="A1032" s="5"/>
      <c r="C1032" s="7"/>
      <c r="D1032" s="7"/>
      <c r="E1032" s="7"/>
      <c r="F1032" s="7"/>
      <c r="G1032" s="8"/>
      <c r="H1032" s="8"/>
      <c r="I1032" s="8"/>
      <c r="J1032" s="9"/>
      <c r="K1032" s="8"/>
    </row>
    <row r="1033" spans="1:11" s="6" customFormat="1" x14ac:dyDescent="0.2">
      <c r="A1033" s="5"/>
      <c r="C1033" s="7"/>
      <c r="D1033" s="7"/>
      <c r="E1033" s="7"/>
      <c r="F1033" s="7"/>
      <c r="G1033" s="8"/>
      <c r="H1033" s="8"/>
      <c r="I1033" s="8"/>
      <c r="J1033" s="9"/>
      <c r="K1033" s="8"/>
    </row>
    <row r="1034" spans="1:11" s="6" customFormat="1" x14ac:dyDescent="0.2">
      <c r="A1034" s="5"/>
      <c r="C1034" s="7"/>
      <c r="D1034" s="7"/>
      <c r="E1034" s="7"/>
      <c r="F1034" s="7"/>
      <c r="G1034" s="8"/>
      <c r="H1034" s="8"/>
      <c r="I1034" s="8"/>
      <c r="J1034" s="9"/>
      <c r="K1034" s="8"/>
    </row>
    <row r="1035" spans="1:11" s="6" customFormat="1" x14ac:dyDescent="0.2">
      <c r="A1035" s="5"/>
      <c r="C1035" s="7"/>
      <c r="D1035" s="7"/>
      <c r="E1035" s="7"/>
      <c r="F1035" s="7"/>
      <c r="G1035" s="8"/>
      <c r="H1035" s="8"/>
      <c r="I1035" s="8"/>
      <c r="J1035" s="9"/>
      <c r="K1035" s="8"/>
    </row>
    <row r="1036" spans="1:11" s="6" customFormat="1" x14ac:dyDescent="0.2">
      <c r="A1036" s="5"/>
      <c r="C1036" s="7"/>
      <c r="D1036" s="7"/>
      <c r="E1036" s="7"/>
      <c r="F1036" s="7"/>
      <c r="G1036" s="8"/>
      <c r="H1036" s="8"/>
      <c r="I1036" s="8"/>
      <c r="J1036" s="9"/>
      <c r="K1036" s="8"/>
    </row>
    <row r="1037" spans="1:11" s="6" customFormat="1" x14ac:dyDescent="0.2">
      <c r="A1037" s="5"/>
      <c r="C1037" s="7"/>
      <c r="D1037" s="7"/>
      <c r="E1037" s="7"/>
      <c r="F1037" s="7"/>
      <c r="G1037" s="8"/>
      <c r="H1037" s="8"/>
      <c r="I1037" s="8"/>
      <c r="J1037" s="9"/>
      <c r="K1037" s="8"/>
    </row>
    <row r="1038" spans="1:11" s="6" customFormat="1" x14ac:dyDescent="0.2">
      <c r="A1038" s="5"/>
      <c r="C1038" s="7"/>
      <c r="D1038" s="7"/>
      <c r="E1038" s="7"/>
      <c r="F1038" s="7"/>
      <c r="G1038" s="8"/>
      <c r="H1038" s="8"/>
      <c r="I1038" s="8"/>
      <c r="J1038" s="9"/>
      <c r="K1038" s="8"/>
    </row>
    <row r="1039" spans="1:11" s="6" customFormat="1" x14ac:dyDescent="0.2">
      <c r="A1039" s="5"/>
      <c r="C1039" s="7"/>
      <c r="D1039" s="7"/>
      <c r="E1039" s="7"/>
      <c r="F1039" s="7"/>
      <c r="G1039" s="8"/>
      <c r="H1039" s="8"/>
      <c r="I1039" s="8"/>
      <c r="J1039" s="9"/>
      <c r="K1039" s="8"/>
    </row>
    <row r="1040" spans="1:11" s="6" customFormat="1" x14ac:dyDescent="0.2">
      <c r="A1040" s="5"/>
      <c r="C1040" s="7"/>
      <c r="D1040" s="7"/>
      <c r="E1040" s="7"/>
      <c r="F1040" s="7"/>
      <c r="G1040" s="8"/>
      <c r="H1040" s="8"/>
      <c r="I1040" s="8"/>
      <c r="J1040" s="9"/>
      <c r="K1040" s="8"/>
    </row>
    <row r="1041" spans="1:11" s="6" customFormat="1" x14ac:dyDescent="0.2">
      <c r="A1041" s="5"/>
      <c r="C1041" s="7"/>
      <c r="D1041" s="7"/>
      <c r="E1041" s="7"/>
      <c r="F1041" s="7"/>
      <c r="G1041" s="8"/>
      <c r="H1041" s="8"/>
      <c r="I1041" s="8"/>
      <c r="J1041" s="9"/>
      <c r="K1041" s="8"/>
    </row>
    <row r="1042" spans="1:11" s="6" customFormat="1" x14ac:dyDescent="0.2">
      <c r="A1042" s="5"/>
      <c r="C1042" s="7"/>
      <c r="D1042" s="7"/>
      <c r="E1042" s="7"/>
      <c r="F1042" s="7"/>
      <c r="G1042" s="8"/>
      <c r="H1042" s="8"/>
      <c r="I1042" s="8"/>
      <c r="J1042" s="9"/>
      <c r="K1042" s="8"/>
    </row>
    <row r="1043" spans="1:11" s="6" customFormat="1" x14ac:dyDescent="0.2">
      <c r="A1043" s="5"/>
      <c r="C1043" s="7"/>
      <c r="D1043" s="7"/>
      <c r="E1043" s="7"/>
      <c r="F1043" s="7"/>
      <c r="G1043" s="8"/>
      <c r="H1043" s="8"/>
      <c r="I1043" s="8"/>
      <c r="J1043" s="9"/>
      <c r="K1043" s="8"/>
    </row>
    <row r="1044" spans="1:11" s="6" customFormat="1" x14ac:dyDescent="0.2">
      <c r="A1044" s="5"/>
      <c r="C1044" s="7"/>
      <c r="D1044" s="7"/>
      <c r="E1044" s="7"/>
      <c r="F1044" s="7"/>
      <c r="G1044" s="8"/>
      <c r="H1044" s="8"/>
      <c r="I1044" s="8"/>
      <c r="J1044" s="9"/>
      <c r="K1044" s="8"/>
    </row>
    <row r="1045" spans="1:11" s="6" customFormat="1" x14ac:dyDescent="0.2">
      <c r="A1045" s="5"/>
      <c r="C1045" s="7"/>
      <c r="D1045" s="7"/>
      <c r="E1045" s="7"/>
      <c r="F1045" s="7"/>
      <c r="G1045" s="8"/>
      <c r="H1045" s="8"/>
      <c r="I1045" s="8"/>
      <c r="J1045" s="9"/>
      <c r="K1045" s="8"/>
    </row>
    <row r="1046" spans="1:11" s="6" customFormat="1" x14ac:dyDescent="0.2">
      <c r="A1046" s="5"/>
      <c r="C1046" s="7"/>
      <c r="D1046" s="7"/>
      <c r="E1046" s="7"/>
      <c r="F1046" s="7"/>
      <c r="G1046" s="8"/>
      <c r="H1046" s="8"/>
      <c r="I1046" s="8"/>
      <c r="J1046" s="9"/>
      <c r="K1046" s="8"/>
    </row>
    <row r="1047" spans="1:11" s="6" customFormat="1" x14ac:dyDescent="0.2">
      <c r="A1047" s="5"/>
      <c r="C1047" s="7"/>
      <c r="D1047" s="7"/>
      <c r="E1047" s="7"/>
      <c r="F1047" s="7"/>
      <c r="G1047" s="8"/>
      <c r="H1047" s="8"/>
      <c r="I1047" s="8"/>
      <c r="J1047" s="9"/>
      <c r="K1047" s="8"/>
    </row>
    <row r="1048" spans="1:11" s="6" customFormat="1" x14ac:dyDescent="0.2">
      <c r="A1048" s="5"/>
      <c r="C1048" s="7"/>
      <c r="D1048" s="7"/>
      <c r="E1048" s="7"/>
      <c r="F1048" s="7"/>
      <c r="G1048" s="8"/>
      <c r="H1048" s="8"/>
      <c r="I1048" s="8"/>
      <c r="J1048" s="9"/>
      <c r="K1048" s="8"/>
    </row>
    <row r="1049" spans="1:11" s="6" customFormat="1" x14ac:dyDescent="0.2">
      <c r="A1049" s="5"/>
      <c r="C1049" s="7"/>
      <c r="D1049" s="7"/>
      <c r="E1049" s="7"/>
      <c r="F1049" s="7"/>
      <c r="G1049" s="8"/>
      <c r="H1049" s="8"/>
      <c r="I1049" s="8"/>
      <c r="J1049" s="9"/>
      <c r="K1049" s="8"/>
    </row>
    <row r="1050" spans="1:11" s="6" customFormat="1" x14ac:dyDescent="0.2">
      <c r="A1050" s="5"/>
      <c r="C1050" s="7"/>
      <c r="D1050" s="7"/>
      <c r="E1050" s="7"/>
      <c r="F1050" s="7"/>
      <c r="G1050" s="8"/>
      <c r="H1050" s="8"/>
      <c r="I1050" s="8"/>
      <c r="J1050" s="9"/>
      <c r="K1050" s="8"/>
    </row>
    <row r="1051" spans="1:11" s="6" customFormat="1" x14ac:dyDescent="0.2">
      <c r="A1051" s="5"/>
      <c r="C1051" s="7"/>
      <c r="D1051" s="7"/>
      <c r="E1051" s="7"/>
      <c r="F1051" s="7"/>
      <c r="G1051" s="8"/>
      <c r="H1051" s="8"/>
      <c r="I1051" s="8"/>
      <c r="J1051" s="9"/>
      <c r="K1051" s="8"/>
    </row>
    <row r="1052" spans="1:11" s="6" customFormat="1" x14ac:dyDescent="0.2">
      <c r="A1052" s="5"/>
      <c r="C1052" s="7"/>
      <c r="D1052" s="7"/>
      <c r="E1052" s="7"/>
      <c r="F1052" s="7"/>
      <c r="G1052" s="8"/>
      <c r="H1052" s="8"/>
      <c r="I1052" s="8"/>
      <c r="J1052" s="9"/>
      <c r="K1052" s="8"/>
    </row>
    <row r="1053" spans="1:11" s="6" customFormat="1" x14ac:dyDescent="0.2">
      <c r="A1053" s="5"/>
      <c r="C1053" s="7"/>
      <c r="D1053" s="7"/>
      <c r="E1053" s="7"/>
      <c r="F1053" s="7"/>
      <c r="G1053" s="8"/>
      <c r="H1053" s="8"/>
      <c r="I1053" s="8"/>
      <c r="J1053" s="9"/>
      <c r="K1053" s="8"/>
    </row>
    <row r="1054" spans="1:11" s="6" customFormat="1" x14ac:dyDescent="0.2">
      <c r="A1054" s="5"/>
      <c r="C1054" s="7"/>
      <c r="D1054" s="7"/>
      <c r="E1054" s="7"/>
      <c r="F1054" s="7"/>
      <c r="G1054" s="8"/>
      <c r="H1054" s="8"/>
      <c r="I1054" s="8"/>
      <c r="J1054" s="9"/>
      <c r="K1054" s="8"/>
    </row>
    <row r="1055" spans="1:11" s="6" customFormat="1" x14ac:dyDescent="0.2">
      <c r="A1055" s="5"/>
      <c r="C1055" s="7"/>
      <c r="D1055" s="7"/>
      <c r="E1055" s="7"/>
      <c r="F1055" s="7"/>
      <c r="G1055" s="8"/>
      <c r="H1055" s="8"/>
      <c r="I1055" s="8"/>
      <c r="J1055" s="9"/>
      <c r="K1055" s="8"/>
    </row>
    <row r="1056" spans="1:11" s="6" customFormat="1" x14ac:dyDescent="0.2">
      <c r="A1056" s="5"/>
      <c r="C1056" s="7"/>
      <c r="D1056" s="7"/>
      <c r="E1056" s="7"/>
      <c r="F1056" s="7"/>
      <c r="G1056" s="8"/>
      <c r="H1056" s="8"/>
      <c r="I1056" s="8"/>
      <c r="J1056" s="9"/>
      <c r="K1056" s="8"/>
    </row>
    <row r="1057" spans="1:11" s="6" customFormat="1" x14ac:dyDescent="0.2">
      <c r="A1057" s="5"/>
      <c r="C1057" s="7"/>
      <c r="D1057" s="7"/>
      <c r="E1057" s="7"/>
      <c r="F1057" s="7"/>
      <c r="G1057" s="8"/>
      <c r="H1057" s="8"/>
      <c r="I1057" s="8"/>
      <c r="J1057" s="9"/>
      <c r="K1057" s="8"/>
    </row>
    <row r="1058" spans="1:11" s="6" customFormat="1" x14ac:dyDescent="0.2">
      <c r="A1058" s="5"/>
      <c r="C1058" s="7"/>
      <c r="D1058" s="7"/>
      <c r="E1058" s="7"/>
      <c r="F1058" s="7"/>
      <c r="G1058" s="8"/>
      <c r="H1058" s="8"/>
      <c r="I1058" s="8"/>
      <c r="J1058" s="9"/>
      <c r="K1058" s="8"/>
    </row>
    <row r="1059" spans="1:11" s="6" customFormat="1" x14ac:dyDescent="0.2">
      <c r="A1059" s="5"/>
      <c r="C1059" s="7"/>
      <c r="D1059" s="7"/>
      <c r="E1059" s="7"/>
      <c r="F1059" s="7"/>
      <c r="G1059" s="8"/>
      <c r="H1059" s="8"/>
      <c r="I1059" s="8"/>
      <c r="J1059" s="9"/>
      <c r="K1059" s="8"/>
    </row>
    <row r="1060" spans="1:11" s="6" customFormat="1" x14ac:dyDescent="0.2">
      <c r="A1060" s="5"/>
      <c r="C1060" s="7"/>
      <c r="D1060" s="7"/>
      <c r="E1060" s="7"/>
      <c r="F1060" s="7"/>
      <c r="G1060" s="8"/>
      <c r="H1060" s="8"/>
      <c r="I1060" s="8"/>
      <c r="J1060" s="9"/>
      <c r="K1060" s="8"/>
    </row>
    <row r="1061" spans="1:11" s="6" customFormat="1" x14ac:dyDescent="0.2">
      <c r="A1061" s="5"/>
      <c r="C1061" s="7"/>
      <c r="D1061" s="7"/>
      <c r="E1061" s="7"/>
      <c r="F1061" s="7"/>
      <c r="G1061" s="8"/>
      <c r="H1061" s="8"/>
      <c r="I1061" s="8"/>
      <c r="J1061" s="9"/>
      <c r="K1061" s="8"/>
    </row>
    <row r="1062" spans="1:11" s="6" customFormat="1" x14ac:dyDescent="0.2">
      <c r="A1062" s="5"/>
      <c r="C1062" s="7"/>
      <c r="D1062" s="7"/>
      <c r="E1062" s="7"/>
      <c r="F1062" s="7"/>
      <c r="G1062" s="8"/>
      <c r="H1062" s="8"/>
      <c r="I1062" s="8"/>
      <c r="J1062" s="9"/>
      <c r="K1062" s="8"/>
    </row>
    <row r="1063" spans="1:11" s="6" customFormat="1" x14ac:dyDescent="0.2">
      <c r="A1063" s="5"/>
      <c r="C1063" s="7"/>
      <c r="D1063" s="7"/>
      <c r="E1063" s="7"/>
      <c r="F1063" s="7"/>
      <c r="G1063" s="8"/>
      <c r="H1063" s="8"/>
      <c r="I1063" s="8"/>
      <c r="J1063" s="9"/>
      <c r="K1063" s="8"/>
    </row>
    <row r="1064" spans="1:11" s="6" customFormat="1" x14ac:dyDescent="0.2">
      <c r="A1064" s="5"/>
      <c r="C1064" s="7"/>
      <c r="D1064" s="7"/>
      <c r="E1064" s="7"/>
      <c r="F1064" s="7"/>
      <c r="G1064" s="8"/>
      <c r="H1064" s="8"/>
      <c r="I1064" s="8"/>
      <c r="J1064" s="9"/>
      <c r="K1064" s="8"/>
    </row>
    <row r="1065" spans="1:11" s="6" customFormat="1" x14ac:dyDescent="0.2">
      <c r="A1065" s="5"/>
      <c r="C1065" s="7"/>
      <c r="D1065" s="7"/>
      <c r="E1065" s="7"/>
      <c r="F1065" s="7"/>
      <c r="G1065" s="8"/>
      <c r="H1065" s="8"/>
      <c r="I1065" s="8"/>
      <c r="J1065" s="9"/>
      <c r="K1065" s="8"/>
    </row>
    <row r="1066" spans="1:11" s="6" customFormat="1" x14ac:dyDescent="0.2">
      <c r="A1066" s="5"/>
      <c r="C1066" s="7"/>
      <c r="D1066" s="7"/>
      <c r="E1066" s="7"/>
      <c r="F1066" s="7"/>
      <c r="G1066" s="8"/>
      <c r="H1066" s="8"/>
      <c r="I1066" s="8"/>
      <c r="J1066" s="9"/>
      <c r="K1066" s="8"/>
    </row>
    <row r="1067" spans="1:11" s="6" customFormat="1" x14ac:dyDescent="0.2">
      <c r="A1067" s="5"/>
      <c r="C1067" s="7"/>
      <c r="D1067" s="7"/>
      <c r="E1067" s="7"/>
      <c r="F1067" s="7"/>
      <c r="G1067" s="8"/>
      <c r="H1067" s="8"/>
      <c r="I1067" s="8"/>
      <c r="J1067" s="9"/>
      <c r="K1067" s="8"/>
    </row>
    <row r="1068" spans="1:11" s="6" customFormat="1" x14ac:dyDescent="0.2">
      <c r="A1068" s="5"/>
      <c r="C1068" s="7"/>
      <c r="D1068" s="7"/>
      <c r="E1068" s="7"/>
      <c r="F1068" s="7"/>
      <c r="G1068" s="8"/>
      <c r="H1068" s="8"/>
      <c r="I1068" s="8"/>
      <c r="J1068" s="9"/>
      <c r="K1068" s="8"/>
    </row>
    <row r="1069" spans="1:11" s="6" customFormat="1" x14ac:dyDescent="0.2">
      <c r="A1069" s="5"/>
      <c r="C1069" s="7"/>
      <c r="D1069" s="7"/>
      <c r="E1069" s="7"/>
      <c r="F1069" s="7"/>
      <c r="G1069" s="8"/>
      <c r="H1069" s="8"/>
      <c r="I1069" s="8"/>
      <c r="J1069" s="9"/>
      <c r="K1069" s="8"/>
    </row>
    <row r="1070" spans="1:11" s="6" customFormat="1" x14ac:dyDescent="0.2">
      <c r="A1070" s="5"/>
      <c r="C1070" s="7"/>
      <c r="D1070" s="7"/>
      <c r="E1070" s="7"/>
      <c r="F1070" s="7"/>
      <c r="G1070" s="8"/>
      <c r="H1070" s="8"/>
      <c r="I1070" s="8"/>
      <c r="J1070" s="9"/>
      <c r="K1070" s="8"/>
    </row>
    <row r="1071" spans="1:11" s="6" customFormat="1" x14ac:dyDescent="0.2">
      <c r="A1071" s="5"/>
      <c r="C1071" s="7"/>
      <c r="D1071" s="7"/>
      <c r="E1071" s="7"/>
      <c r="F1071" s="7"/>
      <c r="G1071" s="8"/>
      <c r="H1071" s="8"/>
      <c r="I1071" s="8"/>
      <c r="J1071" s="9"/>
      <c r="K1071" s="8"/>
    </row>
    <row r="1072" spans="1:11" s="6" customFormat="1" x14ac:dyDescent="0.2">
      <c r="A1072" s="5"/>
      <c r="C1072" s="7"/>
      <c r="D1072" s="7"/>
      <c r="E1072" s="7"/>
      <c r="F1072" s="7"/>
      <c r="G1072" s="8"/>
      <c r="H1072" s="8"/>
      <c r="I1072" s="8"/>
      <c r="J1072" s="9"/>
      <c r="K1072" s="8"/>
    </row>
    <row r="1073" spans="1:11" s="6" customFormat="1" x14ac:dyDescent="0.2">
      <c r="A1073" s="5"/>
      <c r="C1073" s="7"/>
      <c r="D1073" s="7"/>
      <c r="E1073" s="7"/>
      <c r="F1073" s="7"/>
      <c r="G1073" s="8"/>
      <c r="H1073" s="8"/>
      <c r="I1073" s="8"/>
      <c r="J1073" s="9"/>
      <c r="K1073" s="8"/>
    </row>
    <row r="1074" spans="1:11" s="6" customFormat="1" x14ac:dyDescent="0.2">
      <c r="A1074" s="5"/>
      <c r="C1074" s="7"/>
      <c r="D1074" s="7"/>
      <c r="E1074" s="7"/>
      <c r="F1074" s="7"/>
      <c r="G1074" s="8"/>
      <c r="H1074" s="8"/>
      <c r="I1074" s="8"/>
      <c r="J1074" s="9"/>
      <c r="K1074" s="8"/>
    </row>
    <row r="1075" spans="1:11" s="6" customFormat="1" x14ac:dyDescent="0.2">
      <c r="A1075" s="5"/>
      <c r="C1075" s="7"/>
      <c r="D1075" s="7"/>
      <c r="E1075" s="7"/>
      <c r="F1075" s="7"/>
      <c r="G1075" s="8"/>
      <c r="H1075" s="8"/>
      <c r="I1075" s="8"/>
      <c r="J1075" s="9"/>
      <c r="K1075" s="8"/>
    </row>
    <row r="1076" spans="1:11" s="6" customFormat="1" x14ac:dyDescent="0.2">
      <c r="A1076" s="5"/>
      <c r="C1076" s="7"/>
      <c r="D1076" s="7"/>
      <c r="E1076" s="7"/>
      <c r="F1076" s="7"/>
      <c r="G1076" s="8"/>
      <c r="H1076" s="8"/>
      <c r="I1076" s="8"/>
      <c r="J1076" s="9"/>
      <c r="K1076" s="8"/>
    </row>
    <row r="1077" spans="1:11" s="6" customFormat="1" x14ac:dyDescent="0.2">
      <c r="A1077" s="5"/>
      <c r="C1077" s="7"/>
      <c r="D1077" s="7"/>
      <c r="E1077" s="7"/>
      <c r="F1077" s="7"/>
      <c r="G1077" s="8"/>
      <c r="H1077" s="8"/>
      <c r="I1077" s="8"/>
      <c r="J1077" s="9"/>
      <c r="K1077" s="8"/>
    </row>
    <row r="1078" spans="1:11" s="6" customFormat="1" x14ac:dyDescent="0.2">
      <c r="A1078" s="5"/>
      <c r="C1078" s="7"/>
      <c r="D1078" s="7"/>
      <c r="E1078" s="7"/>
      <c r="F1078" s="7"/>
      <c r="G1078" s="8"/>
      <c r="H1078" s="8"/>
      <c r="I1078" s="8"/>
      <c r="J1078" s="9"/>
      <c r="K1078" s="8"/>
    </row>
    <row r="1079" spans="1:11" s="6" customFormat="1" x14ac:dyDescent="0.2">
      <c r="A1079" s="5"/>
      <c r="C1079" s="7"/>
      <c r="D1079" s="7"/>
      <c r="E1079" s="7"/>
      <c r="F1079" s="7"/>
      <c r="G1079" s="8"/>
      <c r="H1079" s="8"/>
      <c r="I1079" s="8"/>
      <c r="J1079" s="9"/>
      <c r="K1079" s="8"/>
    </row>
    <row r="1080" spans="1:11" s="6" customFormat="1" x14ac:dyDescent="0.2">
      <c r="A1080" s="5"/>
      <c r="C1080" s="7"/>
      <c r="D1080" s="7"/>
      <c r="E1080" s="7"/>
      <c r="F1080" s="7"/>
      <c r="G1080" s="8"/>
      <c r="H1080" s="8"/>
      <c r="I1080" s="8"/>
      <c r="J1080" s="9"/>
      <c r="K1080" s="8"/>
    </row>
    <row r="1081" spans="1:11" s="6" customFormat="1" x14ac:dyDescent="0.2">
      <c r="A1081" s="5"/>
      <c r="C1081" s="7"/>
      <c r="D1081" s="7"/>
      <c r="E1081" s="7"/>
      <c r="F1081" s="7"/>
      <c r="G1081" s="8"/>
      <c r="H1081" s="8"/>
      <c r="I1081" s="8"/>
      <c r="J1081" s="9"/>
      <c r="K1081" s="8"/>
    </row>
    <row r="1082" spans="1:11" s="6" customFormat="1" x14ac:dyDescent="0.2">
      <c r="A1082" s="5"/>
      <c r="C1082" s="7"/>
      <c r="D1082" s="7"/>
      <c r="E1082" s="7"/>
      <c r="F1082" s="7"/>
      <c r="G1082" s="8"/>
      <c r="H1082" s="8"/>
      <c r="I1082" s="8"/>
      <c r="J1082" s="9"/>
      <c r="K1082" s="8"/>
    </row>
    <row r="1083" spans="1:11" s="6" customFormat="1" x14ac:dyDescent="0.2">
      <c r="A1083" s="5"/>
      <c r="C1083" s="7"/>
      <c r="D1083" s="7"/>
      <c r="E1083" s="7"/>
      <c r="F1083" s="7"/>
      <c r="G1083" s="8"/>
      <c r="H1083" s="8"/>
      <c r="I1083" s="8"/>
      <c r="J1083" s="9"/>
      <c r="K1083" s="8"/>
    </row>
    <row r="1084" spans="1:11" s="6" customFormat="1" x14ac:dyDescent="0.2">
      <c r="A1084" s="5"/>
      <c r="C1084" s="7"/>
      <c r="D1084" s="7"/>
      <c r="E1084" s="7"/>
      <c r="F1084" s="7"/>
      <c r="G1084" s="8"/>
      <c r="H1084" s="8"/>
      <c r="I1084" s="8"/>
      <c r="J1084" s="9"/>
      <c r="K1084" s="8"/>
    </row>
    <row r="1085" spans="1:11" s="6" customFormat="1" x14ac:dyDescent="0.2">
      <c r="A1085" s="5"/>
      <c r="C1085" s="7"/>
      <c r="D1085" s="7"/>
      <c r="E1085" s="7"/>
      <c r="F1085" s="7"/>
      <c r="G1085" s="8"/>
      <c r="H1085" s="8"/>
      <c r="I1085" s="8"/>
      <c r="J1085" s="9"/>
      <c r="K1085" s="8"/>
    </row>
    <row r="1086" spans="1:11" s="6" customFormat="1" x14ac:dyDescent="0.2">
      <c r="A1086" s="5"/>
      <c r="C1086" s="7"/>
      <c r="D1086" s="7"/>
      <c r="E1086" s="7"/>
      <c r="F1086" s="7"/>
      <c r="G1086" s="8"/>
      <c r="H1086" s="8"/>
      <c r="I1086" s="8"/>
      <c r="J1086" s="9"/>
      <c r="K1086" s="8"/>
    </row>
    <row r="1087" spans="1:11" s="6" customFormat="1" x14ac:dyDescent="0.2">
      <c r="A1087" s="5"/>
      <c r="C1087" s="7"/>
      <c r="D1087" s="7"/>
      <c r="E1087" s="7"/>
      <c r="F1087" s="7"/>
      <c r="G1087" s="8"/>
      <c r="H1087" s="8"/>
      <c r="I1087" s="8"/>
      <c r="J1087" s="9"/>
      <c r="K1087" s="8"/>
    </row>
    <row r="1088" spans="1:11" s="6" customFormat="1" x14ac:dyDescent="0.2">
      <c r="A1088" s="5"/>
      <c r="C1088" s="7"/>
      <c r="D1088" s="7"/>
      <c r="E1088" s="7"/>
      <c r="F1088" s="7"/>
      <c r="G1088" s="8"/>
      <c r="H1088" s="8"/>
      <c r="I1088" s="8"/>
      <c r="J1088" s="9"/>
      <c r="K1088" s="8"/>
    </row>
    <row r="1089" spans="1:11" s="6" customFormat="1" x14ac:dyDescent="0.2">
      <c r="A1089" s="5"/>
      <c r="C1089" s="7"/>
      <c r="D1089" s="7"/>
      <c r="E1089" s="7"/>
      <c r="F1089" s="7"/>
      <c r="G1089" s="8"/>
      <c r="H1089" s="8"/>
      <c r="I1089" s="8"/>
      <c r="J1089" s="9"/>
      <c r="K1089" s="8"/>
    </row>
    <row r="1090" spans="1:11" s="6" customFormat="1" x14ac:dyDescent="0.2">
      <c r="A1090" s="5"/>
      <c r="C1090" s="7"/>
      <c r="D1090" s="7"/>
      <c r="E1090" s="7"/>
      <c r="F1090" s="7"/>
      <c r="G1090" s="8"/>
      <c r="H1090" s="8"/>
      <c r="I1090" s="8"/>
      <c r="J1090" s="9"/>
      <c r="K1090" s="8"/>
    </row>
    <row r="1091" spans="1:11" s="6" customFormat="1" x14ac:dyDescent="0.2">
      <c r="A1091" s="5"/>
      <c r="C1091" s="7"/>
      <c r="D1091" s="7"/>
      <c r="E1091" s="7"/>
      <c r="F1091" s="7"/>
      <c r="G1091" s="8"/>
      <c r="H1091" s="8"/>
      <c r="I1091" s="8"/>
      <c r="J1091" s="9"/>
      <c r="K1091" s="8"/>
    </row>
    <row r="1092" spans="1:11" s="6" customFormat="1" x14ac:dyDescent="0.2">
      <c r="A1092" s="5"/>
      <c r="C1092" s="7"/>
      <c r="D1092" s="7"/>
      <c r="E1092" s="7"/>
      <c r="F1092" s="7"/>
      <c r="G1092" s="8"/>
      <c r="H1092" s="8"/>
      <c r="I1092" s="8"/>
      <c r="J1092" s="9"/>
      <c r="K1092" s="8"/>
    </row>
    <row r="1093" spans="1:11" s="6" customFormat="1" x14ac:dyDescent="0.2">
      <c r="A1093" s="5"/>
      <c r="C1093" s="7"/>
      <c r="D1093" s="7"/>
      <c r="E1093" s="7"/>
      <c r="F1093" s="7"/>
      <c r="G1093" s="8"/>
      <c r="H1093" s="8"/>
      <c r="I1093" s="8"/>
      <c r="J1093" s="9"/>
      <c r="K1093" s="8"/>
    </row>
    <row r="1094" spans="1:11" s="6" customFormat="1" x14ac:dyDescent="0.2">
      <c r="A1094" s="5"/>
      <c r="C1094" s="7"/>
      <c r="D1094" s="7"/>
      <c r="E1094" s="7"/>
      <c r="F1094" s="7"/>
      <c r="G1094" s="8"/>
      <c r="H1094" s="8"/>
      <c r="I1094" s="8"/>
      <c r="J1094" s="9"/>
      <c r="K1094" s="8"/>
    </row>
    <row r="1095" spans="1:11" s="6" customFormat="1" x14ac:dyDescent="0.2">
      <c r="A1095" s="5"/>
      <c r="C1095" s="7"/>
      <c r="D1095" s="7"/>
      <c r="E1095" s="7"/>
      <c r="F1095" s="7"/>
      <c r="G1095" s="8"/>
      <c r="H1095" s="8"/>
      <c r="I1095" s="8"/>
      <c r="J1095" s="9"/>
      <c r="K1095" s="8"/>
    </row>
    <row r="1096" spans="1:11" s="6" customFormat="1" x14ac:dyDescent="0.2">
      <c r="A1096" s="5"/>
      <c r="C1096" s="7"/>
      <c r="D1096" s="7"/>
      <c r="E1096" s="7"/>
      <c r="F1096" s="7"/>
      <c r="G1096" s="8"/>
      <c r="H1096" s="8"/>
      <c r="I1096" s="8"/>
      <c r="J1096" s="9"/>
      <c r="K1096" s="8"/>
    </row>
    <row r="1097" spans="1:11" s="6" customFormat="1" x14ac:dyDescent="0.2">
      <c r="A1097" s="5"/>
      <c r="C1097" s="7"/>
      <c r="D1097" s="7"/>
      <c r="E1097" s="7"/>
      <c r="F1097" s="7"/>
      <c r="G1097" s="8"/>
      <c r="H1097" s="8"/>
      <c r="I1097" s="8"/>
      <c r="J1097" s="9"/>
      <c r="K1097" s="8"/>
    </row>
    <row r="1098" spans="1:11" s="6" customFormat="1" x14ac:dyDescent="0.2">
      <c r="A1098" s="5"/>
      <c r="C1098" s="7"/>
      <c r="D1098" s="7"/>
      <c r="E1098" s="7"/>
      <c r="F1098" s="7"/>
      <c r="G1098" s="8"/>
      <c r="H1098" s="8"/>
      <c r="I1098" s="8"/>
      <c r="J1098" s="9"/>
      <c r="K1098" s="8"/>
    </row>
    <row r="1099" spans="1:11" s="6" customFormat="1" x14ac:dyDescent="0.2">
      <c r="A1099" s="5"/>
      <c r="C1099" s="7"/>
      <c r="D1099" s="7"/>
      <c r="E1099" s="7"/>
      <c r="F1099" s="7"/>
      <c r="G1099" s="8"/>
      <c r="H1099" s="8"/>
      <c r="I1099" s="8"/>
      <c r="J1099" s="9"/>
      <c r="K1099" s="8"/>
    </row>
    <row r="1100" spans="1:11" s="6" customFormat="1" x14ac:dyDescent="0.2">
      <c r="A1100" s="5"/>
      <c r="C1100" s="7"/>
      <c r="D1100" s="7"/>
      <c r="E1100" s="7"/>
      <c r="F1100" s="7"/>
      <c r="G1100" s="8"/>
      <c r="H1100" s="8"/>
      <c r="I1100" s="8"/>
      <c r="J1100" s="9"/>
      <c r="K1100" s="8"/>
    </row>
    <row r="1101" spans="1:11" s="6" customFormat="1" x14ac:dyDescent="0.2">
      <c r="A1101" s="5"/>
      <c r="C1101" s="7"/>
      <c r="D1101" s="7"/>
      <c r="E1101" s="7"/>
      <c r="F1101" s="7"/>
      <c r="G1101" s="8"/>
      <c r="H1101" s="8"/>
      <c r="I1101" s="8"/>
      <c r="J1101" s="9"/>
      <c r="K1101" s="8"/>
    </row>
    <row r="1102" spans="1:11" s="6" customFormat="1" x14ac:dyDescent="0.2">
      <c r="A1102" s="5"/>
      <c r="C1102" s="7"/>
      <c r="D1102" s="7"/>
      <c r="E1102" s="7"/>
      <c r="F1102" s="7"/>
      <c r="G1102" s="8"/>
      <c r="H1102" s="8"/>
      <c r="I1102" s="8"/>
      <c r="J1102" s="9"/>
      <c r="K1102" s="8"/>
    </row>
    <row r="1103" spans="1:11" s="6" customFormat="1" x14ac:dyDescent="0.2">
      <c r="A1103" s="5"/>
      <c r="C1103" s="7"/>
      <c r="D1103" s="7"/>
      <c r="E1103" s="7"/>
      <c r="F1103" s="7"/>
      <c r="G1103" s="8"/>
      <c r="H1103" s="8"/>
      <c r="I1103" s="8"/>
      <c r="J1103" s="9"/>
      <c r="K1103" s="8"/>
    </row>
    <row r="1104" spans="1:11" s="6" customFormat="1" x14ac:dyDescent="0.2">
      <c r="A1104" s="5"/>
      <c r="C1104" s="7"/>
      <c r="D1104" s="7"/>
      <c r="E1104" s="7"/>
      <c r="F1104" s="7"/>
      <c r="G1104" s="8"/>
      <c r="H1104" s="8"/>
      <c r="I1104" s="8"/>
      <c r="J1104" s="9"/>
      <c r="K1104" s="8"/>
    </row>
    <row r="1105" spans="1:11" s="6" customFormat="1" x14ac:dyDescent="0.2">
      <c r="A1105" s="5"/>
      <c r="C1105" s="7"/>
      <c r="D1105" s="7"/>
      <c r="E1105" s="7"/>
      <c r="F1105" s="7"/>
      <c r="G1105" s="8"/>
      <c r="H1105" s="8"/>
      <c r="I1105" s="8"/>
      <c r="J1105" s="9"/>
      <c r="K1105" s="8"/>
    </row>
    <row r="1106" spans="1:11" s="6" customFormat="1" x14ac:dyDescent="0.2">
      <c r="A1106" s="5"/>
      <c r="C1106" s="7"/>
      <c r="D1106" s="7"/>
      <c r="E1106" s="7"/>
      <c r="F1106" s="7"/>
      <c r="G1106" s="8"/>
      <c r="H1106" s="8"/>
      <c r="I1106" s="8"/>
      <c r="J1106" s="9"/>
      <c r="K1106" s="8"/>
    </row>
    <row r="1107" spans="1:11" s="6" customFormat="1" x14ac:dyDescent="0.2">
      <c r="A1107" s="5"/>
      <c r="C1107" s="7"/>
      <c r="D1107" s="7"/>
      <c r="E1107" s="7"/>
      <c r="F1107" s="7"/>
      <c r="G1107" s="8"/>
      <c r="H1107" s="8"/>
      <c r="I1107" s="8"/>
      <c r="J1107" s="9"/>
      <c r="K1107" s="8"/>
    </row>
    <row r="1108" spans="1:11" s="6" customFormat="1" x14ac:dyDescent="0.2">
      <c r="A1108" s="5"/>
      <c r="C1108" s="7"/>
      <c r="D1108" s="7"/>
      <c r="E1108" s="7"/>
      <c r="F1108" s="7"/>
      <c r="G1108" s="8"/>
      <c r="H1108" s="8"/>
      <c r="I1108" s="8"/>
      <c r="J1108" s="9"/>
      <c r="K1108" s="8"/>
    </row>
    <row r="1109" spans="1:11" s="6" customFormat="1" x14ac:dyDescent="0.2">
      <c r="A1109" s="5"/>
      <c r="C1109" s="7"/>
      <c r="D1109" s="7"/>
      <c r="E1109" s="7"/>
      <c r="F1109" s="7"/>
      <c r="G1109" s="8"/>
      <c r="H1109" s="8"/>
      <c r="I1109" s="8"/>
      <c r="J1109" s="9"/>
      <c r="K1109" s="8"/>
    </row>
    <row r="1110" spans="1:11" s="6" customFormat="1" x14ac:dyDescent="0.2">
      <c r="A1110" s="5"/>
      <c r="C1110" s="7"/>
      <c r="D1110" s="7"/>
      <c r="E1110" s="7"/>
      <c r="F1110" s="7"/>
      <c r="G1110" s="8"/>
      <c r="H1110" s="8"/>
      <c r="I1110" s="8"/>
      <c r="J1110" s="9"/>
      <c r="K1110" s="8"/>
    </row>
    <row r="1111" spans="1:11" s="6" customFormat="1" x14ac:dyDescent="0.2">
      <c r="A1111" s="5"/>
      <c r="C1111" s="7"/>
      <c r="D1111" s="7"/>
      <c r="E1111" s="7"/>
      <c r="F1111" s="7"/>
      <c r="G1111" s="8"/>
      <c r="H1111" s="8"/>
      <c r="I1111" s="8"/>
      <c r="J1111" s="9"/>
      <c r="K1111" s="8"/>
    </row>
    <row r="1112" spans="1:11" s="6" customFormat="1" x14ac:dyDescent="0.2">
      <c r="A1112" s="5"/>
      <c r="C1112" s="7"/>
      <c r="D1112" s="7"/>
      <c r="E1112" s="7"/>
      <c r="F1112" s="7"/>
      <c r="G1112" s="8"/>
      <c r="H1112" s="8"/>
      <c r="I1112" s="8"/>
      <c r="J1112" s="9"/>
      <c r="K1112" s="8"/>
    </row>
    <row r="1113" spans="1:11" s="6" customFormat="1" x14ac:dyDescent="0.2">
      <c r="A1113" s="5"/>
      <c r="C1113" s="7"/>
      <c r="D1113" s="7"/>
      <c r="E1113" s="7"/>
      <c r="F1113" s="7"/>
      <c r="G1113" s="8"/>
      <c r="H1113" s="8"/>
      <c r="I1113" s="8"/>
      <c r="J1113" s="9"/>
      <c r="K1113" s="8"/>
    </row>
    <row r="1114" spans="1:11" s="6" customFormat="1" x14ac:dyDescent="0.2">
      <c r="A1114" s="5"/>
      <c r="C1114" s="7"/>
      <c r="D1114" s="7"/>
      <c r="E1114" s="7"/>
      <c r="F1114" s="7"/>
      <c r="G1114" s="8"/>
      <c r="H1114" s="8"/>
      <c r="I1114" s="8"/>
      <c r="J1114" s="9"/>
      <c r="K1114" s="8"/>
    </row>
    <row r="1115" spans="1:11" s="6" customFormat="1" x14ac:dyDescent="0.2">
      <c r="A1115" s="5"/>
      <c r="C1115" s="7"/>
      <c r="D1115" s="7"/>
      <c r="E1115" s="7"/>
      <c r="F1115" s="7"/>
      <c r="G1115" s="8"/>
      <c r="H1115" s="8"/>
      <c r="I1115" s="8"/>
      <c r="J1115" s="9"/>
      <c r="K1115" s="8"/>
    </row>
    <row r="1116" spans="1:11" s="6" customFormat="1" x14ac:dyDescent="0.2">
      <c r="A1116" s="5"/>
      <c r="C1116" s="7"/>
      <c r="D1116" s="7"/>
      <c r="E1116" s="7"/>
      <c r="F1116" s="7"/>
      <c r="G1116" s="8"/>
      <c r="H1116" s="8"/>
      <c r="I1116" s="8"/>
      <c r="J1116" s="9"/>
      <c r="K1116" s="8"/>
    </row>
    <row r="1117" spans="1:11" s="6" customFormat="1" x14ac:dyDescent="0.2">
      <c r="A1117" s="5"/>
      <c r="C1117" s="7"/>
      <c r="D1117" s="7"/>
      <c r="E1117" s="7"/>
      <c r="F1117" s="7"/>
      <c r="G1117" s="8"/>
      <c r="H1117" s="8"/>
      <c r="I1117" s="8"/>
      <c r="J1117" s="9"/>
      <c r="K1117" s="8"/>
    </row>
    <row r="1118" spans="1:11" s="6" customFormat="1" x14ac:dyDescent="0.2">
      <c r="A1118" s="5"/>
      <c r="C1118" s="7"/>
      <c r="D1118" s="7"/>
      <c r="E1118" s="7"/>
      <c r="F1118" s="7"/>
      <c r="G1118" s="8"/>
      <c r="H1118" s="8"/>
      <c r="I1118" s="8"/>
      <c r="J1118" s="9"/>
      <c r="K1118" s="8"/>
    </row>
    <row r="1119" spans="1:11" s="6" customFormat="1" x14ac:dyDescent="0.2">
      <c r="A1119" s="5"/>
      <c r="C1119" s="7"/>
      <c r="D1119" s="7"/>
      <c r="E1119" s="7"/>
      <c r="F1119" s="7"/>
      <c r="G1119" s="8"/>
      <c r="H1119" s="8"/>
      <c r="I1119" s="8"/>
      <c r="J1119" s="9"/>
      <c r="K1119" s="8"/>
    </row>
    <row r="1120" spans="1:11" s="6" customFormat="1" x14ac:dyDescent="0.2">
      <c r="A1120" s="5"/>
      <c r="C1120" s="7"/>
      <c r="D1120" s="7"/>
      <c r="E1120" s="7"/>
      <c r="F1120" s="7"/>
      <c r="G1120" s="8"/>
      <c r="H1120" s="8"/>
      <c r="I1120" s="8"/>
      <c r="J1120" s="9"/>
      <c r="K1120" s="8"/>
    </row>
    <row r="1121" spans="1:11" s="6" customFormat="1" x14ac:dyDescent="0.2">
      <c r="A1121" s="5"/>
      <c r="C1121" s="7"/>
      <c r="D1121" s="7"/>
      <c r="E1121" s="7"/>
      <c r="F1121" s="7"/>
      <c r="G1121" s="8"/>
      <c r="H1121" s="8"/>
      <c r="I1121" s="8"/>
      <c r="J1121" s="9"/>
      <c r="K1121" s="8"/>
    </row>
    <row r="1122" spans="1:11" s="6" customFormat="1" x14ac:dyDescent="0.2">
      <c r="A1122" s="5"/>
      <c r="C1122" s="7"/>
      <c r="D1122" s="7"/>
      <c r="E1122" s="7"/>
      <c r="F1122" s="7"/>
      <c r="G1122" s="8"/>
      <c r="H1122" s="8"/>
      <c r="I1122" s="8"/>
      <c r="J1122" s="9"/>
      <c r="K1122" s="8"/>
    </row>
    <row r="1123" spans="1:11" s="6" customFormat="1" x14ac:dyDescent="0.2">
      <c r="A1123" s="5"/>
      <c r="C1123" s="7"/>
      <c r="D1123" s="7"/>
      <c r="E1123" s="7"/>
      <c r="F1123" s="7"/>
      <c r="G1123" s="8"/>
      <c r="H1123" s="8"/>
      <c r="I1123" s="8"/>
      <c r="J1123" s="9"/>
      <c r="K1123" s="8"/>
    </row>
    <row r="1124" spans="1:11" s="6" customFormat="1" x14ac:dyDescent="0.2">
      <c r="A1124" s="5"/>
      <c r="C1124" s="7"/>
      <c r="D1124" s="7"/>
      <c r="E1124" s="7"/>
      <c r="F1124" s="7"/>
      <c r="G1124" s="8"/>
      <c r="H1124" s="8"/>
      <c r="I1124" s="8"/>
      <c r="J1124" s="9"/>
      <c r="K1124" s="8"/>
    </row>
    <row r="1125" spans="1:11" s="6" customFormat="1" x14ac:dyDescent="0.2">
      <c r="A1125" s="5"/>
      <c r="C1125" s="7"/>
      <c r="D1125" s="7"/>
      <c r="E1125" s="7"/>
      <c r="F1125" s="7"/>
      <c r="G1125" s="8"/>
      <c r="H1125" s="8"/>
      <c r="I1125" s="8"/>
      <c r="J1125" s="9"/>
      <c r="K1125" s="8"/>
    </row>
    <row r="1126" spans="1:11" s="6" customFormat="1" x14ac:dyDescent="0.2">
      <c r="A1126" s="5"/>
      <c r="C1126" s="7"/>
      <c r="D1126" s="7"/>
      <c r="E1126" s="7"/>
      <c r="F1126" s="7"/>
      <c r="G1126" s="8"/>
      <c r="H1126" s="8"/>
      <c r="I1126" s="8"/>
      <c r="J1126" s="9"/>
      <c r="K1126" s="8"/>
    </row>
    <row r="1127" spans="1:11" s="6" customFormat="1" x14ac:dyDescent="0.2">
      <c r="A1127" s="5"/>
      <c r="C1127" s="7"/>
      <c r="D1127" s="7"/>
      <c r="E1127" s="7"/>
      <c r="F1127" s="7"/>
      <c r="G1127" s="8"/>
      <c r="H1127" s="8"/>
      <c r="I1127" s="8"/>
      <c r="J1127" s="9"/>
      <c r="K1127" s="8"/>
    </row>
    <row r="1128" spans="1:11" s="6" customFormat="1" x14ac:dyDescent="0.2">
      <c r="A1128" s="5"/>
      <c r="C1128" s="7"/>
      <c r="D1128" s="7"/>
      <c r="E1128" s="7"/>
      <c r="F1128" s="7"/>
      <c r="G1128" s="8"/>
      <c r="H1128" s="8"/>
      <c r="I1128" s="8"/>
      <c r="J1128" s="9"/>
      <c r="K1128" s="8"/>
    </row>
    <row r="1129" spans="1:11" s="6" customFormat="1" x14ac:dyDescent="0.2">
      <c r="A1129" s="5"/>
      <c r="C1129" s="7"/>
      <c r="D1129" s="7"/>
      <c r="E1129" s="7"/>
      <c r="F1129" s="7"/>
      <c r="G1129" s="8"/>
      <c r="H1129" s="8"/>
      <c r="I1129" s="8"/>
      <c r="J1129" s="9"/>
      <c r="K1129" s="8"/>
    </row>
    <row r="1130" spans="1:11" s="6" customFormat="1" x14ac:dyDescent="0.2">
      <c r="A1130" s="5"/>
      <c r="C1130" s="7"/>
      <c r="D1130" s="7"/>
      <c r="E1130" s="7"/>
      <c r="F1130" s="7"/>
      <c r="G1130" s="8"/>
      <c r="H1130" s="8"/>
      <c r="I1130" s="8"/>
      <c r="J1130" s="9"/>
      <c r="K1130" s="8"/>
    </row>
    <row r="1131" spans="1:11" s="6" customFormat="1" x14ac:dyDescent="0.2">
      <c r="A1131" s="5"/>
      <c r="C1131" s="7"/>
      <c r="D1131" s="7"/>
      <c r="E1131" s="7"/>
      <c r="F1131" s="7"/>
      <c r="G1131" s="8"/>
      <c r="H1131" s="8"/>
      <c r="I1131" s="8"/>
      <c r="J1131" s="9"/>
      <c r="K1131" s="8"/>
    </row>
    <row r="1132" spans="1:11" s="6" customFormat="1" x14ac:dyDescent="0.2">
      <c r="A1132" s="5"/>
      <c r="C1132" s="7"/>
      <c r="D1132" s="7"/>
      <c r="E1132" s="7"/>
      <c r="F1132" s="7"/>
      <c r="G1132" s="8"/>
      <c r="H1132" s="8"/>
      <c r="I1132" s="8"/>
      <c r="J1132" s="9"/>
      <c r="K1132" s="8"/>
    </row>
    <row r="1133" spans="1:11" s="6" customFormat="1" x14ac:dyDescent="0.2">
      <c r="A1133" s="5"/>
      <c r="C1133" s="7"/>
      <c r="D1133" s="7"/>
      <c r="E1133" s="7"/>
      <c r="F1133" s="7"/>
      <c r="G1133" s="8"/>
      <c r="H1133" s="8"/>
      <c r="I1133" s="8"/>
      <c r="J1133" s="9"/>
      <c r="K1133" s="8"/>
    </row>
    <row r="1134" spans="1:11" s="6" customFormat="1" x14ac:dyDescent="0.2">
      <c r="A1134" s="5"/>
      <c r="C1134" s="7"/>
      <c r="D1134" s="7"/>
      <c r="E1134" s="7"/>
      <c r="F1134" s="7"/>
      <c r="G1134" s="8"/>
      <c r="H1134" s="8"/>
      <c r="I1134" s="8"/>
      <c r="J1134" s="9"/>
      <c r="K1134" s="8"/>
    </row>
    <row r="1135" spans="1:11" s="6" customFormat="1" x14ac:dyDescent="0.2">
      <c r="A1135" s="5"/>
      <c r="C1135" s="7"/>
      <c r="D1135" s="7"/>
      <c r="E1135" s="7"/>
      <c r="F1135" s="7"/>
      <c r="G1135" s="8"/>
      <c r="H1135" s="8"/>
      <c r="I1135" s="8"/>
      <c r="J1135" s="9"/>
      <c r="K1135" s="8"/>
    </row>
    <row r="1136" spans="1:11" s="6" customFormat="1" x14ac:dyDescent="0.2">
      <c r="A1136" s="5"/>
      <c r="C1136" s="7"/>
      <c r="D1136" s="7"/>
      <c r="E1136" s="7"/>
      <c r="F1136" s="7"/>
      <c r="G1136" s="8"/>
      <c r="H1136" s="8"/>
      <c r="I1136" s="8"/>
      <c r="J1136" s="9"/>
      <c r="K1136" s="8"/>
    </row>
    <row r="1137" spans="1:11" s="6" customFormat="1" x14ac:dyDescent="0.2">
      <c r="A1137" s="5"/>
      <c r="C1137" s="7"/>
      <c r="D1137" s="7"/>
      <c r="E1137" s="7"/>
      <c r="F1137" s="7"/>
      <c r="G1137" s="8"/>
      <c r="H1137" s="8"/>
      <c r="I1137" s="8"/>
      <c r="J1137" s="9"/>
      <c r="K1137" s="8"/>
    </row>
    <row r="1138" spans="1:11" s="6" customFormat="1" x14ac:dyDescent="0.2">
      <c r="A1138" s="5"/>
      <c r="C1138" s="7"/>
      <c r="D1138" s="7"/>
      <c r="E1138" s="7"/>
      <c r="F1138" s="7"/>
      <c r="G1138" s="8"/>
      <c r="H1138" s="8"/>
      <c r="I1138" s="8"/>
      <c r="J1138" s="9"/>
      <c r="K1138" s="8"/>
    </row>
    <row r="1139" spans="1:11" s="6" customFormat="1" x14ac:dyDescent="0.2">
      <c r="A1139" s="5"/>
      <c r="C1139" s="7"/>
      <c r="D1139" s="7"/>
      <c r="E1139" s="7"/>
      <c r="F1139" s="7"/>
      <c r="G1139" s="8"/>
      <c r="H1139" s="8"/>
      <c r="I1139" s="8"/>
      <c r="J1139" s="9"/>
      <c r="K1139" s="8"/>
    </row>
    <row r="1140" spans="1:11" s="6" customFormat="1" x14ac:dyDescent="0.2">
      <c r="A1140" s="5"/>
      <c r="C1140" s="7"/>
      <c r="D1140" s="7"/>
      <c r="E1140" s="7"/>
      <c r="F1140" s="7"/>
      <c r="G1140" s="8"/>
      <c r="H1140" s="8"/>
      <c r="I1140" s="8"/>
      <c r="J1140" s="9"/>
      <c r="K1140" s="8"/>
    </row>
    <row r="1141" spans="1:11" s="6" customFormat="1" x14ac:dyDescent="0.2">
      <c r="A1141" s="5"/>
      <c r="C1141" s="7"/>
      <c r="D1141" s="7"/>
      <c r="E1141" s="7"/>
      <c r="F1141" s="7"/>
      <c r="G1141" s="8"/>
      <c r="H1141" s="8"/>
      <c r="I1141" s="8"/>
      <c r="J1141" s="9"/>
      <c r="K1141" s="8"/>
    </row>
    <row r="1142" spans="1:11" s="6" customFormat="1" x14ac:dyDescent="0.2">
      <c r="A1142" s="5"/>
      <c r="C1142" s="7"/>
      <c r="D1142" s="7"/>
      <c r="E1142" s="7"/>
      <c r="F1142" s="7"/>
      <c r="G1142" s="8"/>
      <c r="H1142" s="8"/>
      <c r="I1142" s="8"/>
      <c r="J1142" s="9"/>
      <c r="K1142" s="8"/>
    </row>
    <row r="1143" spans="1:11" s="6" customFormat="1" x14ac:dyDescent="0.2">
      <c r="A1143" s="5"/>
      <c r="C1143" s="7"/>
      <c r="D1143" s="7"/>
      <c r="E1143" s="7"/>
      <c r="F1143" s="7"/>
      <c r="G1143" s="8"/>
      <c r="H1143" s="8"/>
      <c r="I1143" s="8"/>
      <c r="J1143" s="9"/>
      <c r="K1143" s="8"/>
    </row>
    <row r="1144" spans="1:11" s="6" customFormat="1" x14ac:dyDescent="0.2">
      <c r="A1144" s="5"/>
      <c r="C1144" s="7"/>
      <c r="D1144" s="7"/>
      <c r="E1144" s="7"/>
      <c r="F1144" s="7"/>
      <c r="G1144" s="8"/>
      <c r="H1144" s="8"/>
      <c r="I1144" s="8"/>
      <c r="J1144" s="9"/>
      <c r="K1144" s="8"/>
    </row>
    <row r="1145" spans="1:11" s="6" customFormat="1" x14ac:dyDescent="0.2">
      <c r="A1145" s="5"/>
      <c r="C1145" s="7"/>
      <c r="D1145" s="7"/>
      <c r="E1145" s="7"/>
      <c r="F1145" s="7"/>
      <c r="G1145" s="8"/>
      <c r="H1145" s="8"/>
      <c r="I1145" s="8"/>
      <c r="J1145" s="9"/>
      <c r="K1145" s="8"/>
    </row>
    <row r="1146" spans="1:11" s="6" customFormat="1" x14ac:dyDescent="0.2">
      <c r="A1146" s="5"/>
      <c r="C1146" s="7"/>
      <c r="D1146" s="7"/>
      <c r="E1146" s="7"/>
      <c r="F1146" s="7"/>
      <c r="G1146" s="8"/>
      <c r="H1146" s="8"/>
      <c r="I1146" s="8"/>
      <c r="J1146" s="9"/>
      <c r="K1146" s="8"/>
    </row>
    <row r="1147" spans="1:11" s="6" customFormat="1" x14ac:dyDescent="0.2">
      <c r="A1147" s="5"/>
      <c r="C1147" s="7"/>
      <c r="D1147" s="7"/>
      <c r="E1147" s="7"/>
      <c r="F1147" s="7"/>
      <c r="G1147" s="8"/>
      <c r="H1147" s="8"/>
      <c r="I1147" s="8"/>
      <c r="J1147" s="9"/>
      <c r="K1147" s="8"/>
    </row>
    <row r="1148" spans="1:11" s="6" customFormat="1" x14ac:dyDescent="0.2">
      <c r="A1148" s="5"/>
      <c r="C1148" s="7"/>
      <c r="D1148" s="7"/>
      <c r="E1148" s="7"/>
      <c r="F1148" s="7"/>
      <c r="G1148" s="8"/>
      <c r="H1148" s="8"/>
      <c r="I1148" s="8"/>
      <c r="J1148" s="9"/>
      <c r="K1148" s="8"/>
    </row>
    <row r="1149" spans="1:11" s="6" customFormat="1" x14ac:dyDescent="0.2">
      <c r="A1149" s="5"/>
      <c r="C1149" s="7"/>
      <c r="D1149" s="7"/>
      <c r="E1149" s="7"/>
      <c r="F1149" s="7"/>
      <c r="G1149" s="8"/>
      <c r="H1149" s="8"/>
      <c r="I1149" s="8"/>
      <c r="J1149" s="9"/>
      <c r="K1149" s="8"/>
    </row>
    <row r="1150" spans="1:11" s="6" customFormat="1" x14ac:dyDescent="0.2">
      <c r="A1150" s="5"/>
      <c r="C1150" s="7"/>
      <c r="D1150" s="7"/>
      <c r="E1150" s="7"/>
      <c r="F1150" s="7"/>
      <c r="G1150" s="8"/>
      <c r="H1150" s="8"/>
      <c r="I1150" s="8"/>
      <c r="J1150" s="9"/>
      <c r="K1150" s="8"/>
    </row>
    <row r="1151" spans="1:11" s="6" customFormat="1" x14ac:dyDescent="0.2">
      <c r="A1151" s="5"/>
      <c r="C1151" s="7"/>
      <c r="D1151" s="7"/>
      <c r="E1151" s="7"/>
      <c r="F1151" s="7"/>
      <c r="G1151" s="8"/>
      <c r="H1151" s="8"/>
      <c r="I1151" s="8"/>
      <c r="J1151" s="9"/>
      <c r="K1151" s="8"/>
    </row>
    <row r="1152" spans="1:11" s="6" customFormat="1" x14ac:dyDescent="0.2">
      <c r="A1152" s="5"/>
      <c r="C1152" s="7"/>
      <c r="D1152" s="7"/>
      <c r="E1152" s="7"/>
      <c r="F1152" s="7"/>
      <c r="G1152" s="8"/>
      <c r="H1152" s="8"/>
      <c r="I1152" s="8"/>
      <c r="J1152" s="9"/>
      <c r="K1152" s="8"/>
    </row>
    <row r="1153" spans="1:11" s="6" customFormat="1" x14ac:dyDescent="0.2">
      <c r="A1153" s="5"/>
      <c r="C1153" s="7"/>
      <c r="D1153" s="7"/>
      <c r="E1153" s="7"/>
      <c r="F1153" s="7"/>
      <c r="G1153" s="8"/>
      <c r="H1153" s="8"/>
      <c r="I1153" s="8"/>
      <c r="J1153" s="9"/>
      <c r="K1153" s="8"/>
    </row>
    <row r="1154" spans="1:11" s="6" customFormat="1" x14ac:dyDescent="0.2">
      <c r="A1154" s="5"/>
      <c r="C1154" s="7"/>
      <c r="D1154" s="7"/>
      <c r="E1154" s="7"/>
      <c r="F1154" s="7"/>
      <c r="G1154" s="8"/>
      <c r="H1154" s="8"/>
      <c r="I1154" s="8"/>
      <c r="J1154" s="9"/>
      <c r="K1154" s="8"/>
    </row>
    <row r="1155" spans="1:11" s="6" customFormat="1" x14ac:dyDescent="0.2">
      <c r="A1155" s="5"/>
      <c r="C1155" s="7"/>
      <c r="D1155" s="7"/>
      <c r="E1155" s="7"/>
      <c r="F1155" s="7"/>
      <c r="G1155" s="8"/>
      <c r="H1155" s="8"/>
      <c r="I1155" s="8"/>
      <c r="J1155" s="9"/>
      <c r="K1155" s="8"/>
    </row>
    <row r="1156" spans="1:11" s="6" customFormat="1" x14ac:dyDescent="0.2">
      <c r="A1156" s="5"/>
      <c r="C1156" s="7"/>
      <c r="D1156" s="7"/>
      <c r="E1156" s="7"/>
      <c r="F1156" s="7"/>
      <c r="G1156" s="8"/>
      <c r="H1156" s="8"/>
      <c r="I1156" s="8"/>
      <c r="J1156" s="9"/>
      <c r="K1156" s="8"/>
    </row>
    <row r="1157" spans="1:11" s="6" customFormat="1" x14ac:dyDescent="0.2">
      <c r="A1157" s="5"/>
      <c r="C1157" s="7"/>
      <c r="D1157" s="7"/>
      <c r="E1157" s="7"/>
      <c r="F1157" s="7"/>
      <c r="G1157" s="8"/>
      <c r="H1157" s="8"/>
      <c r="I1157" s="8"/>
      <c r="J1157" s="9"/>
      <c r="K1157" s="8"/>
    </row>
    <row r="1158" spans="1:11" s="6" customFormat="1" x14ac:dyDescent="0.2">
      <c r="A1158" s="5"/>
      <c r="C1158" s="7"/>
      <c r="D1158" s="7"/>
      <c r="E1158" s="7"/>
      <c r="F1158" s="7"/>
      <c r="G1158" s="8"/>
      <c r="H1158" s="8"/>
      <c r="I1158" s="8"/>
      <c r="J1158" s="9"/>
      <c r="K1158" s="8"/>
    </row>
    <row r="1159" spans="1:11" s="6" customFormat="1" x14ac:dyDescent="0.2">
      <c r="A1159" s="5"/>
      <c r="C1159" s="7"/>
      <c r="D1159" s="7"/>
      <c r="E1159" s="7"/>
      <c r="F1159" s="7"/>
      <c r="G1159" s="8"/>
      <c r="H1159" s="8"/>
      <c r="I1159" s="8"/>
      <c r="J1159" s="9"/>
      <c r="K1159" s="8"/>
    </row>
    <row r="1160" spans="1:11" s="6" customFormat="1" x14ac:dyDescent="0.2">
      <c r="A1160" s="5"/>
      <c r="C1160" s="7"/>
      <c r="D1160" s="7"/>
      <c r="E1160" s="7"/>
      <c r="F1160" s="7"/>
      <c r="G1160" s="8"/>
      <c r="H1160" s="8"/>
      <c r="I1160" s="8"/>
      <c r="J1160" s="9"/>
      <c r="K1160" s="8"/>
    </row>
    <row r="1161" spans="1:11" s="6" customFormat="1" x14ac:dyDescent="0.2">
      <c r="A1161" s="5"/>
      <c r="C1161" s="7"/>
      <c r="D1161" s="7"/>
      <c r="E1161" s="7"/>
      <c r="F1161" s="7"/>
      <c r="G1161" s="8"/>
      <c r="H1161" s="8"/>
      <c r="I1161" s="8"/>
      <c r="J1161" s="9"/>
      <c r="K1161" s="8"/>
    </row>
    <row r="1162" spans="1:11" s="6" customFormat="1" x14ac:dyDescent="0.2">
      <c r="A1162" s="5"/>
      <c r="C1162" s="7"/>
      <c r="D1162" s="7"/>
      <c r="E1162" s="7"/>
      <c r="F1162" s="7"/>
      <c r="G1162" s="8"/>
      <c r="H1162" s="8"/>
      <c r="I1162" s="8"/>
      <c r="J1162" s="9"/>
      <c r="K1162" s="8"/>
    </row>
    <row r="1163" spans="1:11" s="6" customFormat="1" x14ac:dyDescent="0.2">
      <c r="A1163" s="5"/>
      <c r="C1163" s="7"/>
      <c r="D1163" s="7"/>
      <c r="E1163" s="7"/>
      <c r="F1163" s="7"/>
      <c r="G1163" s="8"/>
      <c r="H1163" s="8"/>
      <c r="I1163" s="8"/>
      <c r="J1163" s="9"/>
      <c r="K1163" s="8"/>
    </row>
    <row r="1164" spans="1:11" s="6" customFormat="1" x14ac:dyDescent="0.2">
      <c r="A1164" s="5"/>
      <c r="C1164" s="7"/>
      <c r="D1164" s="7"/>
      <c r="E1164" s="7"/>
      <c r="F1164" s="7"/>
      <c r="G1164" s="8"/>
      <c r="H1164" s="8"/>
      <c r="I1164" s="8"/>
      <c r="J1164" s="9"/>
      <c r="K1164" s="8"/>
    </row>
    <row r="1165" spans="1:11" s="6" customFormat="1" x14ac:dyDescent="0.2">
      <c r="A1165" s="5"/>
      <c r="C1165" s="7"/>
      <c r="D1165" s="7"/>
      <c r="E1165" s="7"/>
      <c r="F1165" s="7"/>
      <c r="G1165" s="8"/>
      <c r="H1165" s="8"/>
      <c r="I1165" s="8"/>
      <c r="J1165" s="9"/>
      <c r="K1165" s="8"/>
    </row>
    <row r="1166" spans="1:11" s="6" customFormat="1" x14ac:dyDescent="0.2">
      <c r="A1166" s="5"/>
      <c r="C1166" s="7"/>
      <c r="D1166" s="7"/>
      <c r="E1166" s="7"/>
      <c r="F1166" s="7"/>
      <c r="G1166" s="8"/>
      <c r="H1166" s="8"/>
      <c r="I1166" s="8"/>
      <c r="J1166" s="9"/>
      <c r="K1166" s="8"/>
    </row>
    <row r="1167" spans="1:11" s="6" customFormat="1" x14ac:dyDescent="0.2">
      <c r="A1167" s="5"/>
      <c r="C1167" s="7"/>
      <c r="D1167" s="7"/>
      <c r="E1167" s="7"/>
      <c r="F1167" s="7"/>
      <c r="G1167" s="8"/>
      <c r="H1167" s="8"/>
      <c r="I1167" s="8"/>
      <c r="J1167" s="9"/>
      <c r="K1167" s="8"/>
    </row>
    <row r="1168" spans="1:11" s="6" customFormat="1" x14ac:dyDescent="0.2">
      <c r="A1168" s="5"/>
      <c r="C1168" s="7"/>
      <c r="D1168" s="7"/>
      <c r="E1168" s="7"/>
      <c r="F1168" s="7"/>
      <c r="G1168" s="8"/>
      <c r="H1168" s="8"/>
      <c r="I1168" s="8"/>
      <c r="J1168" s="9"/>
      <c r="K1168" s="8"/>
    </row>
    <row r="1169" spans="1:11" s="6" customFormat="1" x14ac:dyDescent="0.2">
      <c r="A1169" s="5"/>
      <c r="C1169" s="7"/>
      <c r="D1169" s="7"/>
      <c r="E1169" s="7"/>
      <c r="F1169" s="7"/>
      <c r="G1169" s="8"/>
      <c r="H1169" s="8"/>
      <c r="I1169" s="8"/>
      <c r="J1169" s="9"/>
      <c r="K1169" s="8"/>
    </row>
    <row r="1170" spans="1:11" s="6" customFormat="1" x14ac:dyDescent="0.2">
      <c r="A1170" s="5"/>
      <c r="C1170" s="7"/>
      <c r="D1170" s="7"/>
      <c r="E1170" s="7"/>
      <c r="F1170" s="7"/>
      <c r="G1170" s="8"/>
      <c r="H1170" s="8"/>
      <c r="I1170" s="8"/>
      <c r="J1170" s="9"/>
      <c r="K1170" s="8"/>
    </row>
    <row r="1171" spans="1:11" s="6" customFormat="1" x14ac:dyDescent="0.2">
      <c r="A1171" s="5"/>
      <c r="C1171" s="7"/>
      <c r="D1171" s="7"/>
      <c r="E1171" s="7"/>
      <c r="F1171" s="7"/>
      <c r="G1171" s="8"/>
      <c r="H1171" s="8"/>
      <c r="I1171" s="8"/>
      <c r="J1171" s="9"/>
      <c r="K1171" s="8"/>
    </row>
    <row r="1172" spans="1:11" s="6" customFormat="1" x14ac:dyDescent="0.2">
      <c r="A1172" s="5"/>
      <c r="C1172" s="7"/>
      <c r="D1172" s="7"/>
      <c r="E1172" s="7"/>
      <c r="F1172" s="7"/>
      <c r="G1172" s="8"/>
      <c r="H1172" s="8"/>
      <c r="I1172" s="8"/>
      <c r="J1172" s="9"/>
      <c r="K1172" s="8"/>
    </row>
    <row r="1173" spans="1:11" s="6" customFormat="1" x14ac:dyDescent="0.2">
      <c r="A1173" s="5"/>
      <c r="C1173" s="7"/>
      <c r="D1173" s="7"/>
      <c r="E1173" s="7"/>
      <c r="F1173" s="7"/>
      <c r="G1173" s="8"/>
      <c r="H1173" s="8"/>
      <c r="I1173" s="8"/>
      <c r="J1173" s="9"/>
      <c r="K1173" s="8"/>
    </row>
    <row r="1174" spans="1:11" s="6" customFormat="1" x14ac:dyDescent="0.2">
      <c r="A1174" s="5"/>
      <c r="C1174" s="7"/>
      <c r="D1174" s="7"/>
      <c r="E1174" s="7"/>
      <c r="F1174" s="7"/>
      <c r="G1174" s="8"/>
      <c r="H1174" s="8"/>
      <c r="I1174" s="8"/>
      <c r="J1174" s="9"/>
      <c r="K1174" s="8"/>
    </row>
    <row r="1175" spans="1:11" s="6" customFormat="1" x14ac:dyDescent="0.2">
      <c r="A1175" s="5"/>
      <c r="C1175" s="7"/>
      <c r="D1175" s="7"/>
      <c r="E1175" s="7"/>
      <c r="F1175" s="7"/>
      <c r="G1175" s="8"/>
      <c r="H1175" s="8"/>
      <c r="I1175" s="8"/>
      <c r="J1175" s="9"/>
      <c r="K1175" s="8"/>
    </row>
    <row r="1176" spans="1:11" s="6" customFormat="1" x14ac:dyDescent="0.2">
      <c r="A1176" s="5"/>
      <c r="C1176" s="7"/>
      <c r="D1176" s="7"/>
      <c r="E1176" s="7"/>
      <c r="F1176" s="7"/>
      <c r="G1176" s="8"/>
      <c r="H1176" s="8"/>
      <c r="I1176" s="8"/>
      <c r="J1176" s="9"/>
      <c r="K1176" s="8"/>
    </row>
    <row r="1177" spans="1:11" s="6" customFormat="1" x14ac:dyDescent="0.2">
      <c r="A1177" s="5"/>
      <c r="C1177" s="7"/>
      <c r="D1177" s="7"/>
      <c r="E1177" s="7"/>
      <c r="F1177" s="7"/>
      <c r="G1177" s="8"/>
      <c r="H1177" s="8"/>
      <c r="I1177" s="8"/>
      <c r="J1177" s="9"/>
      <c r="K1177" s="8"/>
    </row>
    <row r="1178" spans="1:11" s="6" customFormat="1" x14ac:dyDescent="0.2">
      <c r="A1178" s="5"/>
      <c r="C1178" s="7"/>
      <c r="D1178" s="7"/>
      <c r="E1178" s="7"/>
      <c r="F1178" s="7"/>
      <c r="G1178" s="8"/>
      <c r="H1178" s="8"/>
      <c r="I1178" s="8"/>
      <c r="J1178" s="9"/>
      <c r="K1178" s="8"/>
    </row>
    <row r="1179" spans="1:11" s="6" customFormat="1" x14ac:dyDescent="0.2">
      <c r="A1179" s="5"/>
      <c r="C1179" s="7"/>
      <c r="D1179" s="7"/>
      <c r="E1179" s="7"/>
      <c r="F1179" s="7"/>
      <c r="G1179" s="8"/>
      <c r="H1179" s="8"/>
      <c r="I1179" s="8"/>
      <c r="J1179" s="9"/>
      <c r="K1179" s="8"/>
    </row>
    <row r="1180" spans="1:11" s="6" customFormat="1" x14ac:dyDescent="0.2">
      <c r="A1180" s="5"/>
      <c r="C1180" s="7"/>
      <c r="D1180" s="7"/>
      <c r="E1180" s="7"/>
      <c r="F1180" s="7"/>
      <c r="G1180" s="8"/>
      <c r="H1180" s="8"/>
      <c r="I1180" s="8"/>
      <c r="J1180" s="9"/>
      <c r="K1180" s="8"/>
    </row>
    <row r="1181" spans="1:11" s="6" customFormat="1" x14ac:dyDescent="0.2">
      <c r="A1181" s="5"/>
      <c r="C1181" s="7"/>
      <c r="D1181" s="7"/>
      <c r="E1181" s="7"/>
      <c r="F1181" s="7"/>
      <c r="G1181" s="8"/>
      <c r="H1181" s="8"/>
      <c r="I1181" s="8"/>
      <c r="J1181" s="9"/>
      <c r="K1181" s="8"/>
    </row>
    <row r="1182" spans="1:11" s="6" customFormat="1" x14ac:dyDescent="0.2">
      <c r="A1182" s="5"/>
      <c r="C1182" s="7"/>
      <c r="D1182" s="7"/>
      <c r="E1182" s="7"/>
      <c r="F1182" s="7"/>
      <c r="G1182" s="8"/>
      <c r="H1182" s="8"/>
      <c r="I1182" s="8"/>
      <c r="J1182" s="9"/>
      <c r="K1182" s="8"/>
    </row>
    <row r="1183" spans="1:11" s="6" customFormat="1" x14ac:dyDescent="0.2">
      <c r="A1183" s="5"/>
      <c r="C1183" s="7"/>
      <c r="D1183" s="7"/>
      <c r="E1183" s="7"/>
      <c r="F1183" s="7"/>
      <c r="G1183" s="8"/>
      <c r="H1183" s="8"/>
      <c r="I1183" s="8"/>
      <c r="J1183" s="9"/>
      <c r="K1183" s="8"/>
    </row>
    <row r="1184" spans="1:11" s="6" customFormat="1" x14ac:dyDescent="0.2">
      <c r="A1184" s="5"/>
      <c r="C1184" s="7"/>
      <c r="D1184" s="7"/>
      <c r="E1184" s="7"/>
      <c r="F1184" s="7"/>
      <c r="G1184" s="8"/>
      <c r="H1184" s="8"/>
      <c r="I1184" s="8"/>
      <c r="J1184" s="9"/>
      <c r="K1184" s="8"/>
    </row>
    <row r="1185" spans="1:11" s="6" customFormat="1" x14ac:dyDescent="0.2">
      <c r="A1185" s="5"/>
      <c r="C1185" s="7"/>
      <c r="D1185" s="7"/>
      <c r="E1185" s="7"/>
      <c r="F1185" s="7"/>
      <c r="G1185" s="8"/>
      <c r="H1185" s="8"/>
      <c r="I1185" s="8"/>
      <c r="J1185" s="9"/>
      <c r="K1185" s="8"/>
    </row>
    <row r="1186" spans="1:11" s="6" customFormat="1" x14ac:dyDescent="0.2">
      <c r="A1186" s="5"/>
      <c r="C1186" s="7"/>
      <c r="D1186" s="7"/>
      <c r="E1186" s="7"/>
      <c r="F1186" s="7"/>
      <c r="G1186" s="8"/>
      <c r="H1186" s="8"/>
      <c r="I1186" s="8"/>
      <c r="J1186" s="9"/>
      <c r="K1186" s="8"/>
    </row>
    <row r="1187" spans="1:11" s="6" customFormat="1" x14ac:dyDescent="0.2">
      <c r="A1187" s="5"/>
      <c r="C1187" s="7"/>
      <c r="D1187" s="7"/>
      <c r="E1187" s="7"/>
      <c r="F1187" s="7"/>
      <c r="G1187" s="8"/>
      <c r="H1187" s="8"/>
      <c r="I1187" s="8"/>
      <c r="J1187" s="9"/>
      <c r="K1187" s="8"/>
    </row>
    <row r="1188" spans="1:11" s="6" customFormat="1" x14ac:dyDescent="0.2">
      <c r="A1188" s="5"/>
      <c r="C1188" s="7"/>
      <c r="D1188" s="7"/>
      <c r="E1188" s="7"/>
      <c r="F1188" s="7"/>
      <c r="G1188" s="8"/>
      <c r="H1188" s="8"/>
      <c r="I1188" s="8"/>
      <c r="J1188" s="9"/>
      <c r="K1188" s="8"/>
    </row>
    <row r="1189" spans="1:11" s="6" customFormat="1" x14ac:dyDescent="0.2">
      <c r="A1189" s="5"/>
      <c r="C1189" s="7"/>
      <c r="D1189" s="7"/>
      <c r="E1189" s="7"/>
      <c r="F1189" s="7"/>
      <c r="G1189" s="8"/>
      <c r="H1189" s="8"/>
      <c r="I1189" s="8"/>
      <c r="J1189" s="9"/>
      <c r="K1189" s="8"/>
    </row>
    <row r="1190" spans="1:11" s="6" customFormat="1" x14ac:dyDescent="0.2">
      <c r="A1190" s="5"/>
      <c r="C1190" s="7"/>
      <c r="D1190" s="7"/>
      <c r="E1190" s="7"/>
      <c r="F1190" s="7"/>
      <c r="G1190" s="8"/>
      <c r="H1190" s="8"/>
      <c r="I1190" s="8"/>
      <c r="J1190" s="9"/>
      <c r="K1190" s="8"/>
    </row>
    <row r="1191" spans="1:11" s="6" customFormat="1" x14ac:dyDescent="0.2">
      <c r="A1191" s="5"/>
      <c r="C1191" s="7"/>
      <c r="D1191" s="7"/>
      <c r="E1191" s="7"/>
      <c r="F1191" s="7"/>
      <c r="G1191" s="8"/>
      <c r="H1191" s="8"/>
      <c r="I1191" s="8"/>
      <c r="J1191" s="9"/>
      <c r="K1191" s="8"/>
    </row>
    <row r="1192" spans="1:11" s="6" customFormat="1" x14ac:dyDescent="0.2">
      <c r="A1192" s="5"/>
      <c r="C1192" s="7"/>
      <c r="D1192" s="7"/>
      <c r="E1192" s="7"/>
      <c r="F1192" s="7"/>
      <c r="G1192" s="8"/>
      <c r="H1192" s="8"/>
      <c r="I1192" s="8"/>
      <c r="J1192" s="9"/>
      <c r="K1192" s="8"/>
    </row>
    <row r="1193" spans="1:11" s="6" customFormat="1" x14ac:dyDescent="0.2">
      <c r="A1193" s="5"/>
      <c r="C1193" s="7"/>
      <c r="D1193" s="7"/>
      <c r="E1193" s="7"/>
      <c r="F1193" s="7"/>
      <c r="G1193" s="8"/>
      <c r="H1193" s="8"/>
      <c r="I1193" s="8"/>
      <c r="J1193" s="9"/>
      <c r="K1193" s="8"/>
    </row>
    <row r="1194" spans="1:11" s="6" customFormat="1" x14ac:dyDescent="0.2">
      <c r="A1194" s="5"/>
      <c r="C1194" s="7"/>
      <c r="D1194" s="7"/>
      <c r="E1194" s="7"/>
      <c r="F1194" s="7"/>
      <c r="G1194" s="8"/>
      <c r="H1194" s="8"/>
      <c r="I1194" s="8"/>
      <c r="J1194" s="9"/>
      <c r="K1194" s="8"/>
    </row>
    <row r="1195" spans="1:11" s="6" customFormat="1" x14ac:dyDescent="0.2">
      <c r="A1195" s="5"/>
      <c r="C1195" s="7"/>
      <c r="D1195" s="7"/>
      <c r="E1195" s="7"/>
      <c r="F1195" s="7"/>
      <c r="G1195" s="8"/>
      <c r="H1195" s="8"/>
      <c r="I1195" s="8"/>
      <c r="J1195" s="9"/>
      <c r="K1195" s="8"/>
    </row>
    <row r="1196" spans="1:11" s="6" customFormat="1" x14ac:dyDescent="0.2">
      <c r="A1196" s="5"/>
      <c r="C1196" s="7"/>
      <c r="D1196" s="7"/>
      <c r="E1196" s="7"/>
      <c r="F1196" s="7"/>
      <c r="G1196" s="8"/>
      <c r="H1196" s="8"/>
      <c r="I1196" s="8"/>
      <c r="J1196" s="9"/>
      <c r="K1196" s="8"/>
    </row>
    <row r="1197" spans="1:11" s="6" customFormat="1" x14ac:dyDescent="0.2">
      <c r="A1197" s="5"/>
      <c r="C1197" s="7"/>
      <c r="D1197" s="7"/>
      <c r="E1197" s="7"/>
      <c r="F1197" s="7"/>
      <c r="G1197" s="8"/>
      <c r="H1197" s="8"/>
      <c r="I1197" s="8"/>
      <c r="J1197" s="9"/>
      <c r="K1197" s="8"/>
    </row>
    <row r="1198" spans="1:11" s="6" customFormat="1" x14ac:dyDescent="0.2">
      <c r="A1198" s="5"/>
      <c r="C1198" s="7"/>
      <c r="D1198" s="7"/>
      <c r="E1198" s="7"/>
      <c r="F1198" s="7"/>
      <c r="G1198" s="8"/>
      <c r="H1198" s="8"/>
      <c r="I1198" s="8"/>
      <c r="J1198" s="9"/>
      <c r="K1198" s="8"/>
    </row>
    <row r="1199" spans="1:11" s="6" customFormat="1" x14ac:dyDescent="0.2">
      <c r="A1199" s="5"/>
      <c r="C1199" s="7"/>
      <c r="D1199" s="7"/>
      <c r="E1199" s="7"/>
      <c r="F1199" s="7"/>
      <c r="G1199" s="8"/>
      <c r="H1199" s="8"/>
      <c r="I1199" s="8"/>
      <c r="J1199" s="9"/>
      <c r="K1199" s="8"/>
    </row>
    <row r="1200" spans="1:11" s="6" customFormat="1" x14ac:dyDescent="0.2">
      <c r="A1200" s="5"/>
      <c r="C1200" s="7"/>
      <c r="D1200" s="7"/>
      <c r="E1200" s="7"/>
      <c r="F1200" s="7"/>
      <c r="G1200" s="8"/>
      <c r="H1200" s="8"/>
      <c r="I1200" s="8"/>
      <c r="J1200" s="9"/>
      <c r="K1200" s="8"/>
    </row>
    <row r="1201" spans="1:11" s="6" customFormat="1" x14ac:dyDescent="0.2">
      <c r="A1201" s="5"/>
      <c r="C1201" s="7"/>
      <c r="D1201" s="7"/>
      <c r="E1201" s="7"/>
      <c r="F1201" s="7"/>
      <c r="G1201" s="8"/>
      <c r="H1201" s="8"/>
      <c r="I1201" s="8"/>
      <c r="J1201" s="9"/>
      <c r="K1201" s="8"/>
    </row>
    <row r="1202" spans="1:11" s="6" customFormat="1" x14ac:dyDescent="0.2">
      <c r="A1202" s="5"/>
      <c r="C1202" s="7"/>
      <c r="D1202" s="7"/>
      <c r="E1202" s="7"/>
      <c r="F1202" s="7"/>
      <c r="G1202" s="8"/>
      <c r="H1202" s="8"/>
      <c r="I1202" s="8"/>
      <c r="J1202" s="9"/>
      <c r="K1202" s="8"/>
    </row>
    <row r="1203" spans="1:11" s="6" customFormat="1" x14ac:dyDescent="0.2">
      <c r="A1203" s="5"/>
      <c r="C1203" s="7"/>
      <c r="D1203" s="7"/>
      <c r="E1203" s="7"/>
      <c r="F1203" s="7"/>
      <c r="G1203" s="8"/>
      <c r="H1203" s="8"/>
      <c r="I1203" s="8"/>
      <c r="J1203" s="9"/>
      <c r="K1203" s="8"/>
    </row>
    <row r="1204" spans="1:11" s="6" customFormat="1" x14ac:dyDescent="0.2">
      <c r="A1204" s="5"/>
      <c r="C1204" s="7"/>
      <c r="D1204" s="7"/>
      <c r="E1204" s="7"/>
      <c r="F1204" s="7"/>
      <c r="G1204" s="8"/>
      <c r="H1204" s="8"/>
      <c r="I1204" s="8"/>
      <c r="J1204" s="9"/>
      <c r="K1204" s="8"/>
    </row>
    <row r="1205" spans="1:11" s="6" customFormat="1" x14ac:dyDescent="0.2">
      <c r="A1205" s="5"/>
      <c r="C1205" s="7"/>
      <c r="D1205" s="7"/>
      <c r="E1205" s="7"/>
      <c r="F1205" s="7"/>
      <c r="G1205" s="8"/>
      <c r="H1205" s="8"/>
      <c r="I1205" s="8"/>
      <c r="J1205" s="9"/>
      <c r="K1205" s="8"/>
    </row>
    <row r="1206" spans="1:11" s="6" customFormat="1" x14ac:dyDescent="0.2">
      <c r="A1206" s="5"/>
      <c r="C1206" s="7"/>
      <c r="D1206" s="7"/>
      <c r="E1206" s="7"/>
      <c r="F1206" s="7"/>
      <c r="G1206" s="8"/>
      <c r="H1206" s="8"/>
      <c r="I1206" s="8"/>
      <c r="J1206" s="9"/>
      <c r="K1206" s="8"/>
    </row>
    <row r="1207" spans="1:11" s="6" customFormat="1" x14ac:dyDescent="0.2">
      <c r="A1207" s="5"/>
      <c r="C1207" s="7"/>
      <c r="D1207" s="7"/>
      <c r="E1207" s="7"/>
      <c r="F1207" s="7"/>
      <c r="G1207" s="8"/>
      <c r="H1207" s="8"/>
      <c r="I1207" s="8"/>
      <c r="J1207" s="9"/>
      <c r="K1207" s="8"/>
    </row>
    <row r="1208" spans="1:11" s="6" customFormat="1" x14ac:dyDescent="0.2">
      <c r="A1208" s="5"/>
      <c r="C1208" s="7"/>
      <c r="D1208" s="7"/>
      <c r="E1208" s="7"/>
      <c r="F1208" s="7"/>
      <c r="G1208" s="8"/>
      <c r="H1208" s="8"/>
      <c r="I1208" s="8"/>
      <c r="J1208" s="9"/>
      <c r="K1208" s="8"/>
    </row>
    <row r="1209" spans="1:11" s="6" customFormat="1" x14ac:dyDescent="0.2">
      <c r="A1209" s="5"/>
      <c r="C1209" s="7"/>
      <c r="D1209" s="7"/>
      <c r="E1209" s="7"/>
      <c r="F1209" s="7"/>
      <c r="G1209" s="8"/>
      <c r="H1209" s="8"/>
      <c r="I1209" s="8"/>
      <c r="J1209" s="9"/>
      <c r="K1209" s="8"/>
    </row>
    <row r="1210" spans="1:11" s="6" customFormat="1" x14ac:dyDescent="0.2">
      <c r="A1210" s="5"/>
      <c r="C1210" s="7"/>
      <c r="D1210" s="7"/>
      <c r="E1210" s="7"/>
      <c r="F1210" s="7"/>
      <c r="G1210" s="8"/>
      <c r="H1210" s="8"/>
      <c r="I1210" s="8"/>
      <c r="J1210" s="9"/>
      <c r="K1210" s="8"/>
    </row>
    <row r="1211" spans="1:11" s="6" customFormat="1" x14ac:dyDescent="0.2">
      <c r="A1211" s="5"/>
      <c r="C1211" s="7"/>
      <c r="D1211" s="7"/>
      <c r="E1211" s="7"/>
      <c r="F1211" s="7"/>
      <c r="G1211" s="8"/>
      <c r="H1211" s="8"/>
      <c r="I1211" s="8"/>
      <c r="J1211" s="9"/>
      <c r="K1211" s="8"/>
    </row>
    <row r="1212" spans="1:11" s="6" customFormat="1" x14ac:dyDescent="0.2">
      <c r="A1212" s="5"/>
      <c r="C1212" s="7"/>
      <c r="D1212" s="7"/>
      <c r="E1212" s="7"/>
      <c r="F1212" s="7"/>
      <c r="G1212" s="8"/>
      <c r="H1212" s="8"/>
      <c r="I1212" s="8"/>
      <c r="J1212" s="9"/>
      <c r="K1212" s="8"/>
    </row>
    <row r="1213" spans="1:11" s="6" customFormat="1" x14ac:dyDescent="0.2">
      <c r="A1213" s="5"/>
      <c r="C1213" s="7"/>
      <c r="D1213" s="7"/>
      <c r="E1213" s="7"/>
      <c r="F1213" s="7"/>
      <c r="G1213" s="8"/>
      <c r="H1213" s="8"/>
      <c r="I1213" s="8"/>
      <c r="J1213" s="9"/>
      <c r="K1213" s="8"/>
    </row>
    <row r="1214" spans="1:11" s="6" customFormat="1" x14ac:dyDescent="0.2">
      <c r="A1214" s="5"/>
      <c r="C1214" s="7"/>
      <c r="D1214" s="7"/>
      <c r="E1214" s="7"/>
      <c r="F1214" s="7"/>
      <c r="G1214" s="8"/>
      <c r="H1214" s="8"/>
      <c r="I1214" s="8"/>
      <c r="J1214" s="9"/>
      <c r="K1214" s="8"/>
    </row>
    <row r="1215" spans="1:11" s="6" customFormat="1" x14ac:dyDescent="0.2">
      <c r="A1215" s="5"/>
      <c r="C1215" s="7"/>
      <c r="D1215" s="7"/>
      <c r="E1215" s="7"/>
      <c r="F1215" s="7"/>
      <c r="G1215" s="8"/>
      <c r="H1215" s="8"/>
      <c r="I1215" s="8"/>
      <c r="J1215" s="9"/>
      <c r="K1215" s="8"/>
    </row>
    <row r="1216" spans="1:11" s="6" customFormat="1" x14ac:dyDescent="0.2">
      <c r="A1216" s="5"/>
      <c r="C1216" s="7"/>
      <c r="D1216" s="7"/>
      <c r="E1216" s="7"/>
      <c r="F1216" s="7"/>
      <c r="G1216" s="8"/>
      <c r="H1216" s="8"/>
      <c r="I1216" s="8"/>
      <c r="J1216" s="9"/>
      <c r="K1216" s="8"/>
    </row>
    <row r="1217" spans="1:11" s="6" customFormat="1" x14ac:dyDescent="0.2">
      <c r="A1217" s="5"/>
      <c r="C1217" s="7"/>
      <c r="D1217" s="7"/>
      <c r="E1217" s="7"/>
      <c r="F1217" s="7"/>
      <c r="G1217" s="8"/>
      <c r="H1217" s="8"/>
      <c r="I1217" s="8"/>
      <c r="J1217" s="9"/>
      <c r="K1217" s="8"/>
    </row>
    <row r="1218" spans="1:11" s="6" customFormat="1" x14ac:dyDescent="0.2">
      <c r="A1218" s="5"/>
      <c r="C1218" s="7"/>
      <c r="D1218" s="7"/>
      <c r="E1218" s="7"/>
      <c r="F1218" s="7"/>
      <c r="G1218" s="8"/>
      <c r="H1218" s="8"/>
      <c r="I1218" s="8"/>
      <c r="J1218" s="9"/>
      <c r="K1218" s="8"/>
    </row>
    <row r="1219" spans="1:11" s="6" customFormat="1" x14ac:dyDescent="0.2">
      <c r="A1219" s="5"/>
      <c r="C1219" s="7"/>
      <c r="D1219" s="7"/>
      <c r="E1219" s="7"/>
      <c r="F1219" s="7"/>
      <c r="G1219" s="8"/>
      <c r="H1219" s="8"/>
      <c r="I1219" s="8"/>
      <c r="J1219" s="9"/>
      <c r="K1219" s="8"/>
    </row>
    <row r="1220" spans="1:11" s="6" customFormat="1" x14ac:dyDescent="0.2">
      <c r="A1220" s="5"/>
      <c r="C1220" s="7"/>
      <c r="D1220" s="7"/>
      <c r="E1220" s="7"/>
      <c r="F1220" s="7"/>
      <c r="G1220" s="8"/>
      <c r="H1220" s="8"/>
      <c r="I1220" s="8"/>
      <c r="J1220" s="9"/>
      <c r="K1220" s="8"/>
    </row>
    <row r="1221" spans="1:11" s="6" customFormat="1" x14ac:dyDescent="0.2">
      <c r="A1221" s="5"/>
      <c r="C1221" s="7"/>
      <c r="D1221" s="7"/>
      <c r="E1221" s="7"/>
      <c r="F1221" s="7"/>
      <c r="G1221" s="8"/>
      <c r="H1221" s="8"/>
      <c r="I1221" s="8"/>
      <c r="J1221" s="9"/>
      <c r="K1221" s="8"/>
    </row>
    <row r="1222" spans="1:11" s="6" customFormat="1" x14ac:dyDescent="0.2">
      <c r="A1222" s="5"/>
      <c r="C1222" s="7"/>
      <c r="D1222" s="7"/>
      <c r="E1222" s="7"/>
      <c r="F1222" s="7"/>
      <c r="G1222" s="8"/>
      <c r="H1222" s="8"/>
      <c r="I1222" s="8"/>
      <c r="J1222" s="9"/>
      <c r="K1222" s="8"/>
    </row>
    <row r="1223" spans="1:11" s="6" customFormat="1" x14ac:dyDescent="0.2">
      <c r="A1223" s="5"/>
      <c r="C1223" s="7"/>
      <c r="D1223" s="7"/>
      <c r="E1223" s="7"/>
      <c r="F1223" s="7"/>
      <c r="G1223" s="8"/>
      <c r="H1223" s="8"/>
      <c r="I1223" s="8"/>
      <c r="J1223" s="9"/>
      <c r="K1223" s="8"/>
    </row>
    <row r="1224" spans="1:11" s="6" customFormat="1" x14ac:dyDescent="0.2">
      <c r="A1224" s="5"/>
      <c r="C1224" s="7"/>
      <c r="D1224" s="7"/>
      <c r="E1224" s="7"/>
      <c r="F1224" s="7"/>
      <c r="G1224" s="8"/>
      <c r="H1224" s="8"/>
      <c r="I1224" s="8"/>
      <c r="J1224" s="9"/>
      <c r="K1224" s="8"/>
    </row>
    <row r="1225" spans="1:11" s="6" customFormat="1" x14ac:dyDescent="0.2">
      <c r="A1225" s="5"/>
      <c r="C1225" s="7"/>
      <c r="D1225" s="7"/>
      <c r="E1225" s="7"/>
      <c r="F1225" s="7"/>
      <c r="G1225" s="8"/>
      <c r="H1225" s="8"/>
      <c r="I1225" s="8"/>
      <c r="J1225" s="9"/>
      <c r="K1225" s="8"/>
    </row>
    <row r="1226" spans="1:11" s="6" customFormat="1" x14ac:dyDescent="0.2">
      <c r="A1226" s="5"/>
      <c r="C1226" s="7"/>
      <c r="D1226" s="7"/>
      <c r="E1226" s="7"/>
      <c r="F1226" s="7"/>
      <c r="G1226" s="8"/>
      <c r="H1226" s="8"/>
      <c r="I1226" s="8"/>
      <c r="J1226" s="9"/>
      <c r="K1226" s="8"/>
    </row>
    <row r="1227" spans="1:11" s="6" customFormat="1" x14ac:dyDescent="0.2">
      <c r="A1227" s="5"/>
      <c r="C1227" s="7"/>
      <c r="D1227" s="7"/>
      <c r="E1227" s="7"/>
      <c r="F1227" s="7"/>
      <c r="G1227" s="8"/>
      <c r="H1227" s="8"/>
      <c r="I1227" s="8"/>
      <c r="J1227" s="9"/>
      <c r="K1227" s="8"/>
    </row>
    <row r="1228" spans="1:11" s="6" customFormat="1" x14ac:dyDescent="0.2">
      <c r="A1228" s="5"/>
      <c r="C1228" s="7"/>
      <c r="D1228" s="7"/>
      <c r="E1228" s="7"/>
      <c r="F1228" s="7"/>
      <c r="G1228" s="8"/>
      <c r="H1228" s="8"/>
      <c r="I1228" s="8"/>
      <c r="J1228" s="9"/>
      <c r="K1228" s="8"/>
    </row>
    <row r="1229" spans="1:11" s="6" customFormat="1" x14ac:dyDescent="0.2">
      <c r="A1229" s="5"/>
      <c r="C1229" s="7"/>
      <c r="D1229" s="7"/>
      <c r="E1229" s="7"/>
      <c r="F1229" s="7"/>
      <c r="G1229" s="8"/>
      <c r="H1229" s="8"/>
      <c r="I1229" s="8"/>
      <c r="J1229" s="9"/>
      <c r="K1229" s="8"/>
    </row>
    <row r="1230" spans="1:11" s="6" customFormat="1" x14ac:dyDescent="0.2">
      <c r="A1230" s="5"/>
      <c r="C1230" s="7"/>
      <c r="D1230" s="7"/>
      <c r="E1230" s="7"/>
      <c r="F1230" s="7"/>
      <c r="G1230" s="8"/>
      <c r="H1230" s="8"/>
      <c r="I1230" s="8"/>
      <c r="J1230" s="9"/>
      <c r="K1230" s="8"/>
    </row>
    <row r="1231" spans="1:11" s="6" customFormat="1" x14ac:dyDescent="0.2">
      <c r="A1231" s="5"/>
      <c r="C1231" s="7"/>
      <c r="D1231" s="7"/>
      <c r="E1231" s="7"/>
      <c r="F1231" s="7"/>
      <c r="G1231" s="8"/>
      <c r="H1231" s="8"/>
      <c r="I1231" s="8"/>
      <c r="J1231" s="9"/>
      <c r="K1231" s="8"/>
    </row>
    <row r="1232" spans="1:11" s="6" customFormat="1" x14ac:dyDescent="0.2">
      <c r="A1232" s="5"/>
      <c r="C1232" s="7"/>
      <c r="D1232" s="7"/>
      <c r="E1232" s="7"/>
      <c r="F1232" s="7"/>
      <c r="G1232" s="8"/>
      <c r="H1232" s="8"/>
      <c r="I1232" s="8"/>
      <c r="J1232" s="9"/>
      <c r="K1232" s="8"/>
    </row>
    <row r="1233" spans="1:11" s="6" customFormat="1" x14ac:dyDescent="0.2">
      <c r="A1233" s="5"/>
      <c r="C1233" s="7"/>
      <c r="D1233" s="7"/>
      <c r="E1233" s="7"/>
      <c r="F1233" s="7"/>
      <c r="G1233" s="8"/>
      <c r="H1233" s="8"/>
      <c r="I1233" s="8"/>
      <c r="J1233" s="9"/>
      <c r="K1233" s="8"/>
    </row>
    <row r="1234" spans="1:11" s="6" customFormat="1" x14ac:dyDescent="0.2">
      <c r="A1234" s="5"/>
      <c r="C1234" s="7"/>
      <c r="D1234" s="7"/>
      <c r="E1234" s="7"/>
      <c r="F1234" s="7"/>
      <c r="G1234" s="8"/>
      <c r="H1234" s="8"/>
      <c r="I1234" s="8"/>
      <c r="J1234" s="9"/>
      <c r="K1234" s="8"/>
    </row>
    <row r="1235" spans="1:11" s="6" customFormat="1" x14ac:dyDescent="0.2">
      <c r="A1235" s="5"/>
      <c r="C1235" s="7"/>
      <c r="D1235" s="7"/>
      <c r="E1235" s="7"/>
      <c r="F1235" s="7"/>
      <c r="G1235" s="8"/>
      <c r="H1235" s="8"/>
      <c r="I1235" s="8"/>
      <c r="J1235" s="9"/>
      <c r="K1235" s="8"/>
    </row>
    <row r="1236" spans="1:11" s="6" customFormat="1" x14ac:dyDescent="0.2">
      <c r="A1236" s="5"/>
      <c r="C1236" s="7"/>
      <c r="D1236" s="7"/>
      <c r="E1236" s="7"/>
      <c r="F1236" s="7"/>
      <c r="G1236" s="8"/>
      <c r="H1236" s="8"/>
      <c r="I1236" s="8"/>
      <c r="J1236" s="9"/>
      <c r="K1236" s="8"/>
    </row>
    <row r="1237" spans="1:11" s="6" customFormat="1" x14ac:dyDescent="0.2">
      <c r="A1237" s="5"/>
      <c r="C1237" s="7"/>
      <c r="D1237" s="7"/>
      <c r="E1237" s="7"/>
      <c r="F1237" s="7"/>
      <c r="G1237" s="8"/>
      <c r="H1237" s="8"/>
      <c r="I1237" s="8"/>
      <c r="J1237" s="9"/>
      <c r="K1237" s="8"/>
    </row>
    <row r="1238" spans="1:11" s="6" customFormat="1" x14ac:dyDescent="0.2">
      <c r="A1238" s="5"/>
      <c r="C1238" s="7"/>
      <c r="D1238" s="7"/>
      <c r="E1238" s="7"/>
      <c r="F1238" s="7"/>
      <c r="G1238" s="8"/>
      <c r="H1238" s="8"/>
      <c r="I1238" s="8"/>
      <c r="J1238" s="9"/>
      <c r="K1238" s="8"/>
    </row>
    <row r="1239" spans="1:11" s="6" customFormat="1" x14ac:dyDescent="0.2">
      <c r="A1239" s="5"/>
      <c r="C1239" s="7"/>
      <c r="D1239" s="7"/>
      <c r="E1239" s="7"/>
      <c r="F1239" s="7"/>
      <c r="G1239" s="8"/>
      <c r="H1239" s="8"/>
      <c r="I1239" s="8"/>
      <c r="J1239" s="9"/>
      <c r="K1239" s="8"/>
    </row>
    <row r="1240" spans="1:11" s="6" customFormat="1" x14ac:dyDescent="0.2">
      <c r="A1240" s="5"/>
      <c r="C1240" s="7"/>
      <c r="D1240" s="7"/>
      <c r="E1240" s="7"/>
      <c r="F1240" s="7"/>
      <c r="G1240" s="8"/>
      <c r="H1240" s="8"/>
      <c r="I1240" s="8"/>
      <c r="J1240" s="9"/>
      <c r="K1240" s="8"/>
    </row>
    <row r="1241" spans="1:11" s="6" customFormat="1" x14ac:dyDescent="0.2">
      <c r="A1241" s="5"/>
      <c r="C1241" s="7"/>
      <c r="D1241" s="7"/>
      <c r="E1241" s="7"/>
      <c r="F1241" s="7"/>
      <c r="G1241" s="8"/>
      <c r="H1241" s="8"/>
      <c r="I1241" s="8"/>
      <c r="J1241" s="9"/>
      <c r="K1241" s="8"/>
    </row>
    <row r="1242" spans="1:11" s="6" customFormat="1" x14ac:dyDescent="0.2">
      <c r="A1242" s="5"/>
      <c r="C1242" s="7"/>
      <c r="D1242" s="7"/>
      <c r="E1242" s="7"/>
      <c r="F1242" s="7"/>
      <c r="G1242" s="8"/>
      <c r="H1242" s="8"/>
      <c r="I1242" s="8"/>
      <c r="J1242" s="9"/>
      <c r="K1242" s="8"/>
    </row>
    <row r="1243" spans="1:11" s="6" customFormat="1" x14ac:dyDescent="0.2">
      <c r="A1243" s="5"/>
      <c r="C1243" s="7"/>
      <c r="D1243" s="7"/>
      <c r="E1243" s="7"/>
      <c r="F1243" s="7"/>
      <c r="G1243" s="8"/>
      <c r="H1243" s="8"/>
      <c r="I1243" s="8"/>
      <c r="J1243" s="9"/>
      <c r="K1243" s="8"/>
    </row>
    <row r="1244" spans="1:11" s="6" customFormat="1" x14ac:dyDescent="0.2">
      <c r="A1244" s="5"/>
      <c r="C1244" s="7"/>
      <c r="D1244" s="7"/>
      <c r="E1244" s="7"/>
      <c r="F1244" s="7"/>
      <c r="G1244" s="8"/>
      <c r="H1244" s="8"/>
      <c r="I1244" s="8"/>
      <c r="J1244" s="9"/>
      <c r="K1244" s="8"/>
    </row>
    <row r="1245" spans="1:11" s="6" customFormat="1" x14ac:dyDescent="0.2">
      <c r="A1245" s="5"/>
      <c r="C1245" s="7"/>
      <c r="D1245" s="7"/>
      <c r="E1245" s="7"/>
      <c r="F1245" s="7"/>
      <c r="G1245" s="8"/>
      <c r="H1245" s="8"/>
      <c r="I1245" s="8"/>
      <c r="J1245" s="9"/>
      <c r="K1245" s="8"/>
    </row>
    <row r="1246" spans="1:11" s="6" customFormat="1" x14ac:dyDescent="0.2">
      <c r="A1246" s="5"/>
      <c r="C1246" s="7"/>
      <c r="D1246" s="7"/>
      <c r="E1246" s="7"/>
      <c r="F1246" s="7"/>
      <c r="G1246" s="8"/>
      <c r="H1246" s="8"/>
      <c r="I1246" s="8"/>
      <c r="J1246" s="9"/>
      <c r="K1246" s="8"/>
    </row>
    <row r="1247" spans="1:11" s="6" customFormat="1" x14ac:dyDescent="0.2">
      <c r="A1247" s="5"/>
      <c r="C1247" s="7"/>
      <c r="D1247" s="7"/>
      <c r="E1247" s="7"/>
      <c r="F1247" s="7"/>
      <c r="G1247" s="8"/>
      <c r="H1247" s="8"/>
      <c r="I1247" s="8"/>
      <c r="J1247" s="9"/>
      <c r="K1247" s="8"/>
    </row>
    <row r="1248" spans="1:11" s="6" customFormat="1" x14ac:dyDescent="0.2">
      <c r="A1248" s="5"/>
      <c r="C1248" s="7"/>
      <c r="D1248" s="7"/>
      <c r="E1248" s="7"/>
      <c r="F1248" s="7"/>
      <c r="G1248" s="8"/>
      <c r="H1248" s="8"/>
      <c r="I1248" s="8"/>
      <c r="J1248" s="9"/>
      <c r="K1248" s="8"/>
    </row>
    <row r="1249" spans="1:11" s="6" customFormat="1" x14ac:dyDescent="0.2">
      <c r="A1249" s="5"/>
      <c r="C1249" s="7"/>
      <c r="D1249" s="7"/>
      <c r="E1249" s="7"/>
      <c r="F1249" s="7"/>
      <c r="G1249" s="8"/>
      <c r="H1249" s="8"/>
      <c r="I1249" s="8"/>
      <c r="J1249" s="9"/>
      <c r="K1249" s="8"/>
    </row>
    <row r="1250" spans="1:11" s="6" customFormat="1" x14ac:dyDescent="0.2">
      <c r="A1250" s="5"/>
      <c r="C1250" s="7"/>
      <c r="D1250" s="7"/>
      <c r="E1250" s="7"/>
      <c r="F1250" s="7"/>
      <c r="G1250" s="8"/>
      <c r="H1250" s="8"/>
      <c r="I1250" s="8"/>
      <c r="J1250" s="9"/>
      <c r="K1250" s="8"/>
    </row>
    <row r="1251" spans="1:11" s="6" customFormat="1" x14ac:dyDescent="0.2">
      <c r="A1251" s="5"/>
      <c r="C1251" s="7"/>
      <c r="D1251" s="7"/>
      <c r="E1251" s="7"/>
      <c r="F1251" s="7"/>
      <c r="G1251" s="8"/>
      <c r="H1251" s="8"/>
      <c r="I1251" s="8"/>
      <c r="J1251" s="9"/>
      <c r="K1251" s="8"/>
    </row>
    <row r="1252" spans="1:11" s="6" customFormat="1" x14ac:dyDescent="0.2">
      <c r="A1252" s="5"/>
      <c r="C1252" s="7"/>
      <c r="D1252" s="7"/>
      <c r="E1252" s="7"/>
      <c r="F1252" s="7"/>
      <c r="G1252" s="8"/>
      <c r="H1252" s="8"/>
      <c r="I1252" s="8"/>
      <c r="J1252" s="9"/>
      <c r="K1252" s="8"/>
    </row>
    <row r="1253" spans="1:11" s="6" customFormat="1" x14ac:dyDescent="0.2">
      <c r="A1253" s="5"/>
      <c r="C1253" s="7"/>
      <c r="D1253" s="7"/>
      <c r="E1253" s="7"/>
      <c r="F1253" s="7"/>
      <c r="G1253" s="8"/>
      <c r="H1253" s="8"/>
      <c r="I1253" s="8"/>
      <c r="J1253" s="9"/>
      <c r="K1253" s="8"/>
    </row>
    <row r="1254" spans="1:11" s="6" customFormat="1" x14ac:dyDescent="0.2">
      <c r="A1254" s="5"/>
      <c r="C1254" s="7"/>
      <c r="D1254" s="7"/>
      <c r="E1254" s="7"/>
      <c r="F1254" s="7"/>
      <c r="G1254" s="8"/>
      <c r="H1254" s="8"/>
      <c r="I1254" s="8"/>
      <c r="J1254" s="9"/>
      <c r="K1254" s="8"/>
    </row>
    <row r="1255" spans="1:11" s="6" customFormat="1" x14ac:dyDescent="0.2">
      <c r="A1255" s="5"/>
      <c r="C1255" s="7"/>
      <c r="D1255" s="7"/>
      <c r="E1255" s="7"/>
      <c r="F1255" s="7"/>
      <c r="G1255" s="8"/>
      <c r="H1255" s="8"/>
      <c r="I1255" s="8"/>
      <c r="J1255" s="9"/>
      <c r="K1255" s="8"/>
    </row>
    <row r="1256" spans="1:11" s="6" customFormat="1" x14ac:dyDescent="0.2">
      <c r="A1256" s="5"/>
      <c r="C1256" s="7"/>
      <c r="D1256" s="7"/>
      <c r="E1256" s="7"/>
      <c r="F1256" s="7"/>
      <c r="G1256" s="8"/>
      <c r="H1256" s="8"/>
      <c r="I1256" s="8"/>
      <c r="J1256" s="9"/>
      <c r="K1256" s="8"/>
    </row>
    <row r="1257" spans="1:11" s="6" customFormat="1" x14ac:dyDescent="0.2">
      <c r="A1257" s="5"/>
      <c r="C1257" s="7"/>
      <c r="D1257" s="7"/>
      <c r="E1257" s="7"/>
      <c r="F1257" s="7"/>
      <c r="G1257" s="8"/>
      <c r="H1257" s="8"/>
      <c r="I1257" s="8"/>
      <c r="J1257" s="9"/>
      <c r="K1257" s="8"/>
    </row>
    <row r="1258" spans="1:11" s="6" customFormat="1" x14ac:dyDescent="0.2">
      <c r="A1258" s="5"/>
      <c r="C1258" s="7"/>
      <c r="D1258" s="7"/>
      <c r="E1258" s="7"/>
      <c r="F1258" s="7"/>
      <c r="G1258" s="8"/>
      <c r="H1258" s="8"/>
      <c r="I1258" s="8"/>
      <c r="J1258" s="9"/>
      <c r="K1258" s="8"/>
    </row>
    <row r="1259" spans="1:11" s="6" customFormat="1" x14ac:dyDescent="0.2">
      <c r="A1259" s="5"/>
      <c r="C1259" s="7"/>
      <c r="D1259" s="7"/>
      <c r="E1259" s="7"/>
      <c r="F1259" s="7"/>
      <c r="G1259" s="8"/>
      <c r="H1259" s="8"/>
      <c r="I1259" s="8"/>
      <c r="J1259" s="9"/>
      <c r="K1259" s="8"/>
    </row>
    <row r="1260" spans="1:11" s="6" customFormat="1" x14ac:dyDescent="0.2">
      <c r="A1260" s="5"/>
      <c r="C1260" s="7"/>
      <c r="D1260" s="7"/>
      <c r="E1260" s="7"/>
      <c r="F1260" s="7"/>
      <c r="G1260" s="8"/>
      <c r="H1260" s="8"/>
      <c r="I1260" s="8"/>
      <c r="J1260" s="9"/>
      <c r="K1260" s="8"/>
    </row>
    <row r="1261" spans="1:11" s="6" customFormat="1" x14ac:dyDescent="0.2">
      <c r="A1261" s="5"/>
      <c r="C1261" s="7"/>
      <c r="D1261" s="7"/>
      <c r="E1261" s="7"/>
      <c r="F1261" s="7"/>
      <c r="G1261" s="8"/>
      <c r="H1261" s="8"/>
      <c r="I1261" s="8"/>
      <c r="J1261" s="9"/>
      <c r="K1261" s="8"/>
    </row>
    <row r="1262" spans="1:11" s="6" customFormat="1" x14ac:dyDescent="0.2">
      <c r="A1262" s="5"/>
      <c r="C1262" s="7"/>
      <c r="D1262" s="7"/>
      <c r="E1262" s="7"/>
      <c r="F1262" s="7"/>
      <c r="G1262" s="8"/>
      <c r="H1262" s="8"/>
      <c r="I1262" s="8"/>
      <c r="J1262" s="9"/>
      <c r="K1262" s="8"/>
    </row>
    <row r="1263" spans="1:11" s="6" customFormat="1" x14ac:dyDescent="0.2">
      <c r="A1263" s="5"/>
      <c r="C1263" s="7"/>
      <c r="D1263" s="7"/>
      <c r="E1263" s="7"/>
      <c r="F1263" s="7"/>
      <c r="G1263" s="8"/>
      <c r="H1263" s="8"/>
      <c r="I1263" s="8"/>
      <c r="J1263" s="9"/>
      <c r="K1263" s="8"/>
    </row>
    <row r="1264" spans="1:11" s="6" customFormat="1" x14ac:dyDescent="0.2">
      <c r="A1264" s="5"/>
      <c r="C1264" s="7"/>
      <c r="D1264" s="7"/>
      <c r="E1264" s="7"/>
      <c r="F1264" s="7"/>
      <c r="G1264" s="8"/>
      <c r="H1264" s="8"/>
      <c r="I1264" s="8"/>
      <c r="J1264" s="9"/>
      <c r="K1264" s="8"/>
    </row>
    <row r="1265" spans="1:11" s="6" customFormat="1" x14ac:dyDescent="0.2">
      <c r="A1265" s="5"/>
      <c r="C1265" s="7"/>
      <c r="D1265" s="7"/>
      <c r="E1265" s="7"/>
      <c r="F1265" s="7"/>
      <c r="G1265" s="8"/>
      <c r="H1265" s="8"/>
      <c r="I1265" s="8"/>
      <c r="J1265" s="9"/>
      <c r="K1265" s="8"/>
    </row>
    <row r="1266" spans="1:11" s="6" customFormat="1" x14ac:dyDescent="0.2">
      <c r="A1266" s="5"/>
      <c r="C1266" s="7"/>
      <c r="D1266" s="7"/>
      <c r="E1266" s="7"/>
      <c r="F1266" s="7"/>
      <c r="G1266" s="8"/>
      <c r="H1266" s="8"/>
      <c r="I1266" s="8"/>
      <c r="J1266" s="9"/>
      <c r="K1266" s="8"/>
    </row>
    <row r="1267" spans="1:11" s="6" customFormat="1" x14ac:dyDescent="0.2">
      <c r="A1267" s="5"/>
      <c r="C1267" s="7"/>
      <c r="D1267" s="7"/>
      <c r="E1267" s="7"/>
      <c r="F1267" s="7"/>
      <c r="G1267" s="8"/>
      <c r="H1267" s="8"/>
      <c r="I1267" s="8"/>
      <c r="J1267" s="9"/>
      <c r="K1267" s="8"/>
    </row>
    <row r="1268" spans="1:11" s="6" customFormat="1" x14ac:dyDescent="0.2">
      <c r="A1268" s="5"/>
      <c r="C1268" s="7"/>
      <c r="D1268" s="7"/>
      <c r="E1268" s="7"/>
      <c r="F1268" s="7"/>
      <c r="G1268" s="8"/>
      <c r="H1268" s="8"/>
      <c r="I1268" s="8"/>
      <c r="J1268" s="9"/>
      <c r="K1268" s="8"/>
    </row>
    <row r="1269" spans="1:11" s="6" customFormat="1" x14ac:dyDescent="0.2">
      <c r="A1269" s="5"/>
      <c r="C1269" s="7"/>
      <c r="D1269" s="7"/>
      <c r="E1269" s="7"/>
      <c r="F1269" s="7"/>
      <c r="G1269" s="8"/>
      <c r="H1269" s="8"/>
      <c r="I1269" s="8"/>
      <c r="J1269" s="9"/>
      <c r="K1269" s="8"/>
    </row>
    <row r="1270" spans="1:11" s="6" customFormat="1" x14ac:dyDescent="0.2">
      <c r="A1270" s="5"/>
      <c r="C1270" s="7"/>
      <c r="D1270" s="7"/>
      <c r="E1270" s="7"/>
      <c r="F1270" s="7"/>
      <c r="G1270" s="8"/>
      <c r="H1270" s="8"/>
      <c r="I1270" s="8"/>
      <c r="J1270" s="9"/>
      <c r="K1270" s="8"/>
    </row>
    <row r="1271" spans="1:11" s="6" customFormat="1" x14ac:dyDescent="0.2">
      <c r="A1271" s="5"/>
      <c r="C1271" s="7"/>
      <c r="D1271" s="7"/>
      <c r="E1271" s="7"/>
      <c r="F1271" s="7"/>
      <c r="G1271" s="8"/>
      <c r="H1271" s="8"/>
      <c r="I1271" s="8"/>
      <c r="J1271" s="9"/>
      <c r="K1271" s="8"/>
    </row>
    <row r="1272" spans="1:11" s="6" customFormat="1" x14ac:dyDescent="0.2">
      <c r="A1272" s="5"/>
      <c r="C1272" s="7"/>
      <c r="D1272" s="7"/>
      <c r="E1272" s="7"/>
      <c r="F1272" s="7"/>
      <c r="G1272" s="8"/>
      <c r="H1272" s="8"/>
      <c r="I1272" s="8"/>
      <c r="J1272" s="9"/>
      <c r="K1272" s="8"/>
    </row>
    <row r="1273" spans="1:11" s="6" customFormat="1" x14ac:dyDescent="0.2">
      <c r="A1273" s="5"/>
      <c r="C1273" s="7"/>
      <c r="D1273" s="7"/>
      <c r="E1273" s="7"/>
      <c r="F1273" s="7"/>
      <c r="G1273" s="8"/>
      <c r="H1273" s="8"/>
      <c r="I1273" s="8"/>
      <c r="J1273" s="9"/>
      <c r="K1273" s="8"/>
    </row>
    <row r="1274" spans="1:11" s="6" customFormat="1" x14ac:dyDescent="0.2">
      <c r="A1274" s="5"/>
      <c r="C1274" s="7"/>
      <c r="D1274" s="7"/>
      <c r="E1274" s="7"/>
      <c r="F1274" s="7"/>
      <c r="G1274" s="8"/>
      <c r="H1274" s="8"/>
      <c r="I1274" s="8"/>
      <c r="J1274" s="9"/>
      <c r="K1274" s="8"/>
    </row>
    <row r="1275" spans="1:11" s="6" customFormat="1" x14ac:dyDescent="0.2">
      <c r="A1275" s="5"/>
      <c r="C1275" s="7"/>
      <c r="D1275" s="7"/>
      <c r="E1275" s="7"/>
      <c r="F1275" s="7"/>
      <c r="G1275" s="8"/>
      <c r="H1275" s="8"/>
      <c r="I1275" s="8"/>
      <c r="J1275" s="9"/>
      <c r="K1275" s="8"/>
    </row>
    <row r="1276" spans="1:11" s="6" customFormat="1" x14ac:dyDescent="0.2">
      <c r="A1276" s="5"/>
      <c r="C1276" s="7"/>
      <c r="D1276" s="7"/>
      <c r="E1276" s="7"/>
      <c r="F1276" s="7"/>
      <c r="G1276" s="8"/>
      <c r="H1276" s="8"/>
      <c r="I1276" s="8"/>
      <c r="J1276" s="9"/>
      <c r="K1276" s="8"/>
    </row>
    <row r="1277" spans="1:11" s="6" customFormat="1" x14ac:dyDescent="0.2">
      <c r="A1277" s="5"/>
      <c r="C1277" s="7"/>
      <c r="D1277" s="7"/>
      <c r="E1277" s="7"/>
      <c r="F1277" s="7"/>
      <c r="G1277" s="8"/>
      <c r="H1277" s="8"/>
      <c r="I1277" s="8"/>
      <c r="J1277" s="9"/>
      <c r="K1277" s="8"/>
    </row>
    <row r="1278" spans="1:11" s="6" customFormat="1" x14ac:dyDescent="0.2">
      <c r="A1278" s="5"/>
      <c r="C1278" s="7"/>
      <c r="D1278" s="7"/>
      <c r="E1278" s="7"/>
      <c r="F1278" s="7"/>
      <c r="G1278" s="8"/>
      <c r="H1278" s="8"/>
      <c r="I1278" s="8"/>
      <c r="J1278" s="9"/>
      <c r="K1278" s="8"/>
    </row>
    <row r="1279" spans="1:11" s="6" customFormat="1" x14ac:dyDescent="0.2">
      <c r="A1279" s="5"/>
      <c r="C1279" s="7"/>
      <c r="D1279" s="7"/>
      <c r="E1279" s="7"/>
      <c r="F1279" s="7"/>
      <c r="G1279" s="8"/>
      <c r="H1279" s="8"/>
      <c r="I1279" s="8"/>
      <c r="J1279" s="9"/>
      <c r="K1279" s="8"/>
    </row>
    <row r="1280" spans="1:11" s="6" customFormat="1" x14ac:dyDescent="0.2">
      <c r="A1280" s="5"/>
      <c r="C1280" s="7"/>
      <c r="D1280" s="7"/>
      <c r="E1280" s="7"/>
      <c r="F1280" s="7"/>
      <c r="G1280" s="8"/>
      <c r="H1280" s="8"/>
      <c r="I1280" s="8"/>
      <c r="J1280" s="9"/>
      <c r="K1280" s="8"/>
    </row>
    <row r="1281" spans="1:11" s="6" customFormat="1" x14ac:dyDescent="0.2">
      <c r="A1281" s="5"/>
      <c r="C1281" s="7"/>
      <c r="D1281" s="7"/>
      <c r="E1281" s="7"/>
      <c r="F1281" s="7"/>
      <c r="G1281" s="8"/>
      <c r="H1281" s="8"/>
      <c r="I1281" s="8"/>
      <c r="J1281" s="9"/>
      <c r="K1281" s="8"/>
    </row>
    <row r="1282" spans="1:11" s="6" customFormat="1" x14ac:dyDescent="0.2">
      <c r="A1282" s="5"/>
      <c r="C1282" s="7"/>
      <c r="D1282" s="7"/>
      <c r="E1282" s="7"/>
      <c r="F1282" s="7"/>
      <c r="G1282" s="8"/>
      <c r="H1282" s="8"/>
      <c r="I1282" s="8"/>
      <c r="J1282" s="9"/>
      <c r="K1282" s="8"/>
    </row>
    <row r="1283" spans="1:11" s="6" customFormat="1" x14ac:dyDescent="0.2">
      <c r="A1283" s="5"/>
      <c r="C1283" s="7"/>
      <c r="D1283" s="7"/>
      <c r="E1283" s="7"/>
      <c r="F1283" s="7"/>
      <c r="G1283" s="8"/>
      <c r="H1283" s="8"/>
      <c r="I1283" s="8"/>
      <c r="J1283" s="9"/>
      <c r="K1283" s="8"/>
    </row>
    <row r="1284" spans="1:11" s="6" customFormat="1" x14ac:dyDescent="0.2">
      <c r="A1284" s="5"/>
      <c r="C1284" s="7"/>
      <c r="D1284" s="7"/>
      <c r="E1284" s="7"/>
      <c r="F1284" s="7"/>
      <c r="G1284" s="8"/>
      <c r="H1284" s="8"/>
      <c r="I1284" s="8"/>
      <c r="J1284" s="9"/>
      <c r="K1284" s="8"/>
    </row>
    <row r="1285" spans="1:11" s="6" customFormat="1" x14ac:dyDescent="0.2">
      <c r="A1285" s="5"/>
      <c r="C1285" s="7"/>
      <c r="D1285" s="7"/>
      <c r="E1285" s="7"/>
      <c r="F1285" s="7"/>
      <c r="G1285" s="8"/>
      <c r="H1285" s="8"/>
      <c r="I1285" s="8"/>
      <c r="J1285" s="9"/>
      <c r="K1285" s="8"/>
    </row>
    <row r="1286" spans="1:11" s="6" customFormat="1" x14ac:dyDescent="0.2">
      <c r="A1286" s="5"/>
      <c r="C1286" s="7"/>
      <c r="D1286" s="7"/>
      <c r="E1286" s="7"/>
      <c r="F1286" s="7"/>
      <c r="G1286" s="8"/>
      <c r="H1286" s="8"/>
      <c r="I1286" s="8"/>
      <c r="J1286" s="9"/>
      <c r="K1286" s="8"/>
    </row>
    <row r="1287" spans="1:11" s="6" customFormat="1" x14ac:dyDescent="0.2">
      <c r="A1287" s="5"/>
      <c r="C1287" s="7"/>
      <c r="D1287" s="7"/>
      <c r="E1287" s="7"/>
      <c r="F1287" s="7"/>
      <c r="G1287" s="8"/>
      <c r="H1287" s="8"/>
      <c r="I1287" s="8"/>
      <c r="J1287" s="9"/>
      <c r="K1287" s="8"/>
    </row>
    <row r="1288" spans="1:11" s="6" customFormat="1" x14ac:dyDescent="0.2">
      <c r="A1288" s="5"/>
      <c r="C1288" s="7"/>
      <c r="D1288" s="7"/>
      <c r="E1288" s="7"/>
      <c r="F1288" s="7"/>
      <c r="G1288" s="8"/>
      <c r="H1288" s="8"/>
      <c r="I1288" s="8"/>
      <c r="J1288" s="9"/>
      <c r="K1288" s="8"/>
    </row>
    <row r="1289" spans="1:11" s="6" customFormat="1" x14ac:dyDescent="0.2">
      <c r="A1289" s="5"/>
      <c r="C1289" s="7"/>
      <c r="D1289" s="7"/>
      <c r="E1289" s="7"/>
      <c r="F1289" s="7"/>
      <c r="G1289" s="8"/>
      <c r="H1289" s="8"/>
      <c r="I1289" s="8"/>
      <c r="J1289" s="9"/>
      <c r="K1289" s="8"/>
    </row>
    <row r="1290" spans="1:11" s="6" customFormat="1" x14ac:dyDescent="0.2">
      <c r="A1290" s="5"/>
      <c r="C1290" s="7"/>
      <c r="D1290" s="7"/>
      <c r="E1290" s="7"/>
      <c r="F1290" s="7"/>
      <c r="G1290" s="8"/>
      <c r="H1290" s="8"/>
      <c r="I1290" s="8"/>
      <c r="J1290" s="9"/>
      <c r="K1290" s="8"/>
    </row>
    <row r="1291" spans="1:11" s="6" customFormat="1" x14ac:dyDescent="0.2">
      <c r="A1291" s="5"/>
      <c r="C1291" s="7"/>
      <c r="D1291" s="7"/>
      <c r="E1291" s="7"/>
      <c r="F1291" s="7"/>
      <c r="G1291" s="8"/>
      <c r="H1291" s="8"/>
      <c r="I1291" s="8"/>
      <c r="J1291" s="9"/>
      <c r="K1291" s="8"/>
    </row>
    <row r="1292" spans="1:11" s="6" customFormat="1" x14ac:dyDescent="0.2">
      <c r="A1292" s="5"/>
      <c r="C1292" s="7"/>
      <c r="D1292" s="7"/>
      <c r="E1292" s="7"/>
      <c r="F1292" s="7"/>
      <c r="G1292" s="8"/>
      <c r="H1292" s="8"/>
      <c r="I1292" s="8"/>
      <c r="J1292" s="9"/>
      <c r="K1292" s="8"/>
    </row>
    <row r="1293" spans="1:11" s="6" customFormat="1" x14ac:dyDescent="0.2">
      <c r="A1293" s="5"/>
      <c r="C1293" s="7"/>
      <c r="D1293" s="7"/>
      <c r="E1293" s="7"/>
      <c r="F1293" s="7"/>
      <c r="G1293" s="8"/>
      <c r="H1293" s="8"/>
      <c r="I1293" s="8"/>
      <c r="J1293" s="9"/>
      <c r="K1293" s="8"/>
    </row>
    <row r="1294" spans="1:11" s="6" customFormat="1" x14ac:dyDescent="0.2">
      <c r="A1294" s="5"/>
      <c r="C1294" s="7"/>
      <c r="D1294" s="7"/>
      <c r="E1294" s="7"/>
      <c r="F1294" s="7"/>
      <c r="G1294" s="8"/>
      <c r="H1294" s="8"/>
      <c r="I1294" s="8"/>
      <c r="J1294" s="9"/>
      <c r="K1294" s="8"/>
    </row>
    <row r="1295" spans="1:11" s="6" customFormat="1" x14ac:dyDescent="0.2">
      <c r="A1295" s="5"/>
      <c r="C1295" s="7"/>
      <c r="D1295" s="7"/>
      <c r="E1295" s="7"/>
      <c r="F1295" s="7"/>
      <c r="G1295" s="8"/>
      <c r="H1295" s="8"/>
      <c r="I1295" s="8"/>
      <c r="J1295" s="9"/>
      <c r="K1295" s="8"/>
    </row>
    <row r="1296" spans="1:11" s="6" customFormat="1" x14ac:dyDescent="0.2">
      <c r="A1296" s="5"/>
      <c r="C1296" s="7"/>
      <c r="D1296" s="7"/>
      <c r="E1296" s="7"/>
      <c r="F1296" s="7"/>
      <c r="G1296" s="8"/>
      <c r="H1296" s="8"/>
      <c r="I1296" s="8"/>
      <c r="J1296" s="9"/>
      <c r="K1296" s="8"/>
    </row>
    <row r="1297" spans="1:11" s="6" customFormat="1" x14ac:dyDescent="0.2">
      <c r="A1297" s="5"/>
      <c r="C1297" s="7"/>
      <c r="D1297" s="7"/>
      <c r="E1297" s="7"/>
      <c r="F1297" s="7"/>
      <c r="G1297" s="8"/>
      <c r="H1297" s="8"/>
      <c r="I1297" s="8"/>
      <c r="J1297" s="9"/>
      <c r="K1297" s="8"/>
    </row>
    <row r="1298" spans="1:11" s="6" customFormat="1" x14ac:dyDescent="0.2">
      <c r="A1298" s="5"/>
      <c r="C1298" s="7"/>
      <c r="D1298" s="7"/>
      <c r="E1298" s="7"/>
      <c r="F1298" s="7"/>
      <c r="G1298" s="8"/>
      <c r="H1298" s="8"/>
      <c r="I1298" s="8"/>
      <c r="J1298" s="9"/>
      <c r="K1298" s="8"/>
    </row>
    <row r="1299" spans="1:11" s="6" customFormat="1" x14ac:dyDescent="0.2">
      <c r="A1299" s="5"/>
      <c r="C1299" s="7"/>
      <c r="D1299" s="7"/>
      <c r="E1299" s="7"/>
      <c r="F1299" s="7"/>
      <c r="G1299" s="8"/>
      <c r="H1299" s="8"/>
      <c r="I1299" s="8"/>
      <c r="J1299" s="9"/>
      <c r="K1299" s="8"/>
    </row>
    <row r="1300" spans="1:11" s="6" customFormat="1" x14ac:dyDescent="0.2">
      <c r="A1300" s="5"/>
      <c r="C1300" s="7"/>
      <c r="D1300" s="7"/>
      <c r="E1300" s="7"/>
      <c r="F1300" s="7"/>
      <c r="G1300" s="8"/>
      <c r="H1300" s="8"/>
      <c r="I1300" s="8"/>
      <c r="J1300" s="9"/>
      <c r="K1300" s="8"/>
    </row>
    <row r="1301" spans="1:11" s="6" customFormat="1" x14ac:dyDescent="0.2">
      <c r="A1301" s="5"/>
      <c r="C1301" s="7"/>
      <c r="D1301" s="7"/>
      <c r="E1301" s="7"/>
      <c r="F1301" s="7"/>
      <c r="G1301" s="8"/>
      <c r="H1301" s="8"/>
      <c r="I1301" s="8"/>
      <c r="J1301" s="9"/>
      <c r="K1301" s="8"/>
    </row>
    <row r="1302" spans="1:11" s="6" customFormat="1" x14ac:dyDescent="0.2">
      <c r="A1302" s="5"/>
      <c r="C1302" s="7"/>
      <c r="D1302" s="7"/>
      <c r="E1302" s="7"/>
      <c r="F1302" s="7"/>
      <c r="G1302" s="8"/>
      <c r="H1302" s="8"/>
      <c r="I1302" s="8"/>
      <c r="J1302" s="9"/>
      <c r="K1302" s="8"/>
    </row>
    <row r="1303" spans="1:11" s="6" customFormat="1" x14ac:dyDescent="0.2">
      <c r="A1303" s="5"/>
      <c r="C1303" s="7"/>
      <c r="D1303" s="7"/>
      <c r="E1303" s="7"/>
      <c r="F1303" s="7"/>
      <c r="G1303" s="8"/>
      <c r="H1303" s="8"/>
      <c r="I1303" s="8"/>
      <c r="J1303" s="9"/>
      <c r="K1303" s="8"/>
    </row>
    <row r="1304" spans="1:11" s="6" customFormat="1" x14ac:dyDescent="0.2">
      <c r="A1304" s="5"/>
      <c r="C1304" s="7"/>
      <c r="D1304" s="7"/>
      <c r="E1304" s="7"/>
      <c r="F1304" s="7"/>
      <c r="G1304" s="8"/>
      <c r="H1304" s="8"/>
      <c r="I1304" s="8"/>
      <c r="J1304" s="9"/>
      <c r="K1304" s="8"/>
    </row>
    <row r="1305" spans="1:11" s="6" customFormat="1" x14ac:dyDescent="0.2">
      <c r="A1305" s="5"/>
      <c r="C1305" s="7"/>
      <c r="D1305" s="7"/>
      <c r="E1305" s="7"/>
      <c r="F1305" s="7"/>
      <c r="G1305" s="8"/>
      <c r="H1305" s="8"/>
      <c r="I1305" s="8"/>
      <c r="J1305" s="9"/>
      <c r="K1305" s="8"/>
    </row>
    <row r="1306" spans="1:11" s="6" customFormat="1" x14ac:dyDescent="0.2">
      <c r="A1306" s="5"/>
      <c r="C1306" s="7"/>
      <c r="D1306" s="7"/>
      <c r="E1306" s="7"/>
      <c r="F1306" s="7"/>
      <c r="G1306" s="8"/>
      <c r="H1306" s="8"/>
      <c r="I1306" s="8"/>
      <c r="J1306" s="9"/>
      <c r="K1306" s="8"/>
    </row>
    <row r="1307" spans="1:11" s="6" customFormat="1" x14ac:dyDescent="0.2">
      <c r="A1307" s="5"/>
      <c r="C1307" s="7"/>
      <c r="D1307" s="7"/>
      <c r="E1307" s="7"/>
      <c r="F1307" s="7"/>
      <c r="G1307" s="8"/>
      <c r="H1307" s="8"/>
      <c r="I1307" s="8"/>
      <c r="J1307" s="9"/>
      <c r="K1307" s="8"/>
    </row>
    <row r="1308" spans="1:11" s="6" customFormat="1" x14ac:dyDescent="0.2">
      <c r="A1308" s="5"/>
      <c r="C1308" s="7"/>
      <c r="D1308" s="7"/>
      <c r="E1308" s="7"/>
      <c r="F1308" s="7"/>
      <c r="G1308" s="8"/>
      <c r="H1308" s="8"/>
      <c r="I1308" s="8"/>
      <c r="J1308" s="9"/>
      <c r="K1308" s="8"/>
    </row>
    <row r="1309" spans="1:11" s="6" customFormat="1" x14ac:dyDescent="0.2">
      <c r="A1309" s="5"/>
      <c r="C1309" s="7"/>
      <c r="D1309" s="7"/>
      <c r="E1309" s="7"/>
      <c r="F1309" s="7"/>
      <c r="G1309" s="8"/>
      <c r="H1309" s="8"/>
      <c r="I1309" s="8"/>
      <c r="J1309" s="9"/>
      <c r="K1309" s="8"/>
    </row>
    <row r="1310" spans="1:11" s="6" customFormat="1" x14ac:dyDescent="0.2">
      <c r="A1310" s="5"/>
      <c r="C1310" s="7"/>
      <c r="D1310" s="7"/>
      <c r="E1310" s="7"/>
      <c r="F1310" s="7"/>
      <c r="G1310" s="8"/>
      <c r="H1310" s="8"/>
      <c r="I1310" s="8"/>
      <c r="J1310" s="9"/>
      <c r="K1310" s="8"/>
    </row>
    <row r="1311" spans="1:11" s="6" customFormat="1" x14ac:dyDescent="0.2">
      <c r="A1311" s="5"/>
      <c r="C1311" s="7"/>
      <c r="D1311" s="7"/>
      <c r="E1311" s="7"/>
      <c r="F1311" s="7"/>
      <c r="G1311" s="8"/>
      <c r="H1311" s="8"/>
      <c r="I1311" s="8"/>
      <c r="J1311" s="9"/>
      <c r="K1311" s="8"/>
    </row>
    <row r="1312" spans="1:11" s="6" customFormat="1" x14ac:dyDescent="0.2">
      <c r="A1312" s="5"/>
      <c r="C1312" s="7"/>
      <c r="D1312" s="7"/>
      <c r="E1312" s="7"/>
      <c r="F1312" s="7"/>
      <c r="G1312" s="8"/>
      <c r="H1312" s="8"/>
      <c r="I1312" s="8"/>
      <c r="J1312" s="9"/>
      <c r="K1312" s="8"/>
    </row>
    <row r="1313" spans="1:11" s="6" customFormat="1" x14ac:dyDescent="0.2">
      <c r="A1313" s="5"/>
      <c r="C1313" s="7"/>
      <c r="D1313" s="7"/>
      <c r="E1313" s="7"/>
      <c r="F1313" s="7"/>
      <c r="G1313" s="8"/>
      <c r="H1313" s="8"/>
      <c r="I1313" s="8"/>
      <c r="J1313" s="9"/>
      <c r="K1313" s="8"/>
    </row>
    <row r="1314" spans="1:11" s="6" customFormat="1" x14ac:dyDescent="0.2">
      <c r="A1314" s="5"/>
      <c r="C1314" s="7"/>
      <c r="D1314" s="7"/>
      <c r="E1314" s="7"/>
      <c r="F1314" s="7"/>
      <c r="G1314" s="8"/>
      <c r="H1314" s="8"/>
      <c r="I1314" s="8"/>
      <c r="J1314" s="9"/>
      <c r="K1314" s="8"/>
    </row>
    <row r="1315" spans="1:11" s="6" customFormat="1" x14ac:dyDescent="0.2">
      <c r="A1315" s="5"/>
      <c r="C1315" s="7"/>
      <c r="D1315" s="7"/>
      <c r="E1315" s="7"/>
      <c r="F1315" s="7"/>
      <c r="G1315" s="8"/>
      <c r="H1315" s="8"/>
      <c r="I1315" s="8"/>
      <c r="J1315" s="9"/>
      <c r="K1315" s="8"/>
    </row>
    <row r="1316" spans="1:11" s="6" customFormat="1" x14ac:dyDescent="0.2">
      <c r="A1316" s="5"/>
      <c r="C1316" s="7"/>
      <c r="D1316" s="7"/>
      <c r="E1316" s="7"/>
      <c r="F1316" s="7"/>
      <c r="G1316" s="8"/>
      <c r="H1316" s="8"/>
      <c r="I1316" s="8"/>
      <c r="J1316" s="9"/>
      <c r="K1316" s="8"/>
    </row>
    <row r="1317" spans="1:11" s="6" customFormat="1" x14ac:dyDescent="0.2">
      <c r="A1317" s="5"/>
      <c r="C1317" s="7"/>
      <c r="D1317" s="7"/>
      <c r="E1317" s="7"/>
      <c r="F1317" s="7"/>
      <c r="G1317" s="8"/>
      <c r="H1317" s="8"/>
      <c r="I1317" s="8"/>
      <c r="J1317" s="9"/>
      <c r="K1317" s="8"/>
    </row>
    <row r="1318" spans="1:11" s="6" customFormat="1" x14ac:dyDescent="0.2">
      <c r="A1318" s="5"/>
      <c r="C1318" s="7"/>
      <c r="D1318" s="7"/>
      <c r="E1318" s="7"/>
      <c r="F1318" s="7"/>
      <c r="G1318" s="8"/>
      <c r="H1318" s="8"/>
      <c r="I1318" s="8"/>
      <c r="J1318" s="9"/>
      <c r="K1318" s="8"/>
    </row>
    <row r="1319" spans="1:11" s="6" customFormat="1" x14ac:dyDescent="0.2">
      <c r="A1319" s="5"/>
      <c r="C1319" s="7"/>
      <c r="D1319" s="7"/>
      <c r="E1319" s="7"/>
      <c r="F1319" s="7"/>
      <c r="G1319" s="8"/>
      <c r="H1319" s="8"/>
      <c r="I1319" s="8"/>
      <c r="J1319" s="9"/>
      <c r="K1319" s="8"/>
    </row>
    <row r="1320" spans="1:11" s="6" customFormat="1" x14ac:dyDescent="0.2">
      <c r="A1320" s="5"/>
      <c r="C1320" s="7"/>
      <c r="D1320" s="7"/>
      <c r="E1320" s="7"/>
      <c r="F1320" s="7"/>
      <c r="G1320" s="8"/>
      <c r="H1320" s="8"/>
      <c r="I1320" s="8"/>
      <c r="J1320" s="9"/>
      <c r="K1320" s="8"/>
    </row>
    <row r="1321" spans="1:11" s="6" customFormat="1" x14ac:dyDescent="0.2">
      <c r="A1321" s="5"/>
      <c r="C1321" s="7"/>
      <c r="D1321" s="7"/>
      <c r="E1321" s="7"/>
      <c r="F1321" s="7"/>
      <c r="G1321" s="8"/>
      <c r="H1321" s="8"/>
      <c r="I1321" s="8"/>
      <c r="J1321" s="9"/>
      <c r="K1321" s="8"/>
    </row>
    <row r="1322" spans="1:11" s="6" customFormat="1" x14ac:dyDescent="0.2">
      <c r="A1322" s="5"/>
      <c r="C1322" s="7"/>
      <c r="D1322" s="7"/>
      <c r="E1322" s="7"/>
      <c r="F1322" s="7"/>
      <c r="G1322" s="8"/>
      <c r="H1322" s="8"/>
      <c r="I1322" s="8"/>
      <c r="J1322" s="9"/>
      <c r="K1322" s="8"/>
    </row>
    <row r="1323" spans="1:11" s="6" customFormat="1" x14ac:dyDescent="0.2">
      <c r="A1323" s="5"/>
      <c r="C1323" s="7"/>
      <c r="D1323" s="7"/>
      <c r="E1323" s="7"/>
      <c r="F1323" s="7"/>
      <c r="G1323" s="8"/>
      <c r="H1323" s="8"/>
      <c r="I1323" s="8"/>
      <c r="J1323" s="9"/>
      <c r="K1323" s="8"/>
    </row>
    <row r="1324" spans="1:11" s="6" customFormat="1" x14ac:dyDescent="0.2">
      <c r="A1324" s="5"/>
      <c r="C1324" s="7"/>
      <c r="D1324" s="7"/>
      <c r="E1324" s="7"/>
      <c r="F1324" s="7"/>
      <c r="G1324" s="8"/>
      <c r="H1324" s="8"/>
      <c r="I1324" s="8"/>
      <c r="J1324" s="9"/>
      <c r="K1324" s="8"/>
    </row>
    <row r="1325" spans="1:11" s="6" customFormat="1" x14ac:dyDescent="0.2">
      <c r="A1325" s="5"/>
      <c r="C1325" s="7"/>
      <c r="D1325" s="7"/>
      <c r="E1325" s="7"/>
      <c r="F1325" s="7"/>
      <c r="G1325" s="8"/>
      <c r="H1325" s="8"/>
      <c r="I1325" s="8"/>
      <c r="J1325" s="9"/>
      <c r="K1325" s="8"/>
    </row>
    <row r="1326" spans="1:11" s="6" customFormat="1" x14ac:dyDescent="0.2">
      <c r="A1326" s="5"/>
      <c r="C1326" s="7"/>
      <c r="D1326" s="7"/>
      <c r="E1326" s="7"/>
      <c r="F1326" s="7"/>
      <c r="G1326" s="8"/>
      <c r="H1326" s="8"/>
      <c r="I1326" s="8"/>
      <c r="J1326" s="9"/>
      <c r="K1326" s="8"/>
    </row>
    <row r="1327" spans="1:11" s="6" customFormat="1" x14ac:dyDescent="0.2">
      <c r="A1327" s="5"/>
      <c r="C1327" s="7"/>
      <c r="D1327" s="7"/>
      <c r="E1327" s="7"/>
      <c r="F1327" s="7"/>
      <c r="G1327" s="8"/>
      <c r="H1327" s="8"/>
      <c r="I1327" s="8"/>
      <c r="J1327" s="9"/>
      <c r="K1327" s="8"/>
    </row>
    <row r="1328" spans="1:11" s="6" customFormat="1" x14ac:dyDescent="0.2">
      <c r="A1328" s="5"/>
      <c r="C1328" s="7"/>
      <c r="D1328" s="7"/>
      <c r="E1328" s="7"/>
      <c r="F1328" s="7"/>
      <c r="G1328" s="8"/>
      <c r="H1328" s="8"/>
      <c r="I1328" s="8"/>
      <c r="J1328" s="9"/>
      <c r="K1328" s="8"/>
    </row>
    <row r="1329" spans="1:11" s="6" customFormat="1" x14ac:dyDescent="0.2">
      <c r="A1329" s="5"/>
      <c r="C1329" s="7"/>
      <c r="D1329" s="7"/>
      <c r="E1329" s="7"/>
      <c r="F1329" s="7"/>
      <c r="G1329" s="8"/>
      <c r="H1329" s="8"/>
      <c r="I1329" s="8"/>
      <c r="J1329" s="9"/>
      <c r="K1329" s="8"/>
    </row>
    <row r="1330" spans="1:11" s="6" customFormat="1" x14ac:dyDescent="0.2">
      <c r="A1330" s="5"/>
      <c r="C1330" s="7"/>
      <c r="D1330" s="7"/>
      <c r="E1330" s="7"/>
      <c r="F1330" s="7"/>
      <c r="G1330" s="8"/>
      <c r="H1330" s="8"/>
      <c r="I1330" s="8"/>
      <c r="J1330" s="9"/>
      <c r="K1330" s="8"/>
    </row>
    <row r="1331" spans="1:11" s="6" customFormat="1" x14ac:dyDescent="0.2">
      <c r="A1331" s="5"/>
      <c r="C1331" s="7"/>
      <c r="D1331" s="7"/>
      <c r="E1331" s="7"/>
      <c r="F1331" s="7"/>
      <c r="G1331" s="8"/>
      <c r="H1331" s="8"/>
      <c r="I1331" s="8"/>
      <c r="J1331" s="9"/>
      <c r="K1331" s="8"/>
    </row>
    <row r="1332" spans="1:11" s="6" customFormat="1" x14ac:dyDescent="0.2">
      <c r="A1332" s="5"/>
      <c r="C1332" s="7"/>
      <c r="D1332" s="7"/>
      <c r="E1332" s="7"/>
      <c r="F1332" s="7"/>
      <c r="G1332" s="8"/>
      <c r="H1332" s="8"/>
      <c r="I1332" s="8"/>
      <c r="J1332" s="9"/>
      <c r="K1332" s="8"/>
    </row>
    <row r="1333" spans="1:11" s="6" customFormat="1" x14ac:dyDescent="0.2">
      <c r="A1333" s="5"/>
      <c r="C1333" s="7"/>
      <c r="D1333" s="7"/>
      <c r="E1333" s="7"/>
      <c r="F1333" s="7"/>
      <c r="G1333" s="8"/>
      <c r="H1333" s="8"/>
      <c r="I1333" s="8"/>
      <c r="J1333" s="9"/>
      <c r="K1333" s="8"/>
    </row>
    <row r="1334" spans="1:11" s="6" customFormat="1" x14ac:dyDescent="0.2">
      <c r="A1334" s="5"/>
      <c r="C1334" s="7"/>
      <c r="D1334" s="7"/>
      <c r="E1334" s="7"/>
      <c r="F1334" s="7"/>
      <c r="G1334" s="8"/>
      <c r="H1334" s="8"/>
      <c r="I1334" s="8"/>
      <c r="J1334" s="9"/>
      <c r="K1334" s="8"/>
    </row>
    <row r="1335" spans="1:11" s="6" customFormat="1" x14ac:dyDescent="0.2">
      <c r="A1335" s="5"/>
      <c r="C1335" s="7"/>
      <c r="D1335" s="7"/>
      <c r="E1335" s="7"/>
      <c r="F1335" s="7"/>
      <c r="G1335" s="8"/>
      <c r="H1335" s="8"/>
      <c r="I1335" s="8"/>
      <c r="J1335" s="9"/>
      <c r="K1335" s="8"/>
    </row>
    <row r="1336" spans="1:11" s="6" customFormat="1" x14ac:dyDescent="0.2">
      <c r="A1336" s="5"/>
      <c r="C1336" s="7"/>
      <c r="D1336" s="7"/>
      <c r="E1336" s="7"/>
      <c r="F1336" s="7"/>
      <c r="G1336" s="8"/>
      <c r="H1336" s="8"/>
      <c r="I1336" s="8"/>
      <c r="J1336" s="9"/>
      <c r="K1336" s="8"/>
    </row>
    <row r="1337" spans="1:11" s="6" customFormat="1" x14ac:dyDescent="0.2">
      <c r="A1337" s="5"/>
      <c r="C1337" s="7"/>
      <c r="D1337" s="7"/>
      <c r="E1337" s="7"/>
      <c r="F1337" s="7"/>
      <c r="G1337" s="8"/>
      <c r="H1337" s="8"/>
      <c r="I1337" s="8"/>
      <c r="J1337" s="9"/>
      <c r="K1337" s="8"/>
    </row>
    <row r="1338" spans="1:11" s="6" customFormat="1" x14ac:dyDescent="0.2">
      <c r="A1338" s="5"/>
      <c r="C1338" s="7"/>
      <c r="D1338" s="7"/>
      <c r="E1338" s="7"/>
      <c r="F1338" s="7"/>
      <c r="G1338" s="8"/>
      <c r="H1338" s="8"/>
      <c r="I1338" s="8"/>
      <c r="J1338" s="9"/>
      <c r="K1338" s="8"/>
    </row>
    <row r="1339" spans="1:11" s="6" customFormat="1" x14ac:dyDescent="0.2">
      <c r="A1339" s="5"/>
      <c r="C1339" s="7"/>
      <c r="D1339" s="7"/>
      <c r="E1339" s="7"/>
      <c r="F1339" s="7"/>
      <c r="G1339" s="8"/>
      <c r="H1339" s="8"/>
      <c r="I1339" s="8"/>
      <c r="J1339" s="9"/>
      <c r="K1339" s="8"/>
    </row>
    <row r="1340" spans="1:11" s="6" customFormat="1" x14ac:dyDescent="0.2">
      <c r="A1340" s="5"/>
      <c r="C1340" s="7"/>
      <c r="D1340" s="7"/>
      <c r="E1340" s="7"/>
      <c r="F1340" s="7"/>
      <c r="G1340" s="8"/>
      <c r="H1340" s="8"/>
      <c r="I1340" s="8"/>
      <c r="J1340" s="9"/>
      <c r="K1340" s="8"/>
    </row>
    <row r="1341" spans="1:11" s="6" customFormat="1" x14ac:dyDescent="0.2">
      <c r="A1341" s="5"/>
      <c r="C1341" s="7"/>
      <c r="D1341" s="7"/>
      <c r="E1341" s="7"/>
      <c r="F1341" s="7"/>
      <c r="G1341" s="8"/>
      <c r="H1341" s="8"/>
      <c r="I1341" s="8"/>
      <c r="J1341" s="9"/>
      <c r="K1341" s="8"/>
    </row>
    <row r="1342" spans="1:11" s="6" customFormat="1" x14ac:dyDescent="0.2">
      <c r="A1342" s="5"/>
      <c r="C1342" s="7"/>
      <c r="D1342" s="7"/>
      <c r="E1342" s="7"/>
      <c r="F1342" s="7"/>
      <c r="G1342" s="8"/>
      <c r="H1342" s="8"/>
      <c r="I1342" s="8"/>
      <c r="J1342" s="9"/>
      <c r="K1342" s="8"/>
    </row>
    <row r="1343" spans="1:11" s="6" customFormat="1" x14ac:dyDescent="0.2">
      <c r="A1343" s="5"/>
      <c r="C1343" s="7"/>
      <c r="D1343" s="7"/>
      <c r="E1343" s="7"/>
      <c r="F1343" s="7"/>
      <c r="G1343" s="8"/>
      <c r="H1343" s="8"/>
      <c r="I1343" s="8"/>
      <c r="J1343" s="9"/>
      <c r="K1343" s="8"/>
    </row>
    <row r="1344" spans="1:11" s="6" customFormat="1" x14ac:dyDescent="0.2">
      <c r="A1344" s="5"/>
      <c r="C1344" s="7"/>
      <c r="D1344" s="7"/>
      <c r="E1344" s="7"/>
      <c r="F1344" s="7"/>
      <c r="G1344" s="8"/>
      <c r="H1344" s="8"/>
      <c r="I1344" s="8"/>
      <c r="J1344" s="9"/>
      <c r="K1344" s="8"/>
    </row>
    <row r="1345" spans="1:11" s="6" customFormat="1" x14ac:dyDescent="0.2">
      <c r="A1345" s="5"/>
      <c r="C1345" s="7"/>
      <c r="D1345" s="7"/>
      <c r="E1345" s="7"/>
      <c r="F1345" s="7"/>
      <c r="G1345" s="8"/>
      <c r="H1345" s="8"/>
      <c r="I1345" s="8"/>
      <c r="J1345" s="9"/>
      <c r="K1345" s="8"/>
    </row>
    <row r="1346" spans="1:11" s="6" customFormat="1" x14ac:dyDescent="0.2">
      <c r="A1346" s="5"/>
      <c r="C1346" s="7"/>
      <c r="D1346" s="7"/>
      <c r="E1346" s="7"/>
      <c r="F1346" s="7"/>
      <c r="G1346" s="8"/>
      <c r="H1346" s="8"/>
      <c r="I1346" s="8"/>
      <c r="J1346" s="9"/>
      <c r="K1346" s="8"/>
    </row>
    <row r="1347" spans="1:11" s="6" customFormat="1" x14ac:dyDescent="0.2">
      <c r="A1347" s="5"/>
      <c r="C1347" s="7"/>
      <c r="D1347" s="7"/>
      <c r="E1347" s="7"/>
      <c r="F1347" s="7"/>
      <c r="G1347" s="8"/>
      <c r="H1347" s="8"/>
      <c r="I1347" s="8"/>
      <c r="J1347" s="9"/>
      <c r="K1347" s="8"/>
    </row>
    <row r="1348" spans="1:11" s="6" customFormat="1" x14ac:dyDescent="0.2">
      <c r="A1348" s="5"/>
      <c r="C1348" s="7"/>
      <c r="D1348" s="7"/>
      <c r="E1348" s="7"/>
      <c r="F1348" s="7"/>
      <c r="G1348" s="8"/>
      <c r="H1348" s="8"/>
      <c r="I1348" s="8"/>
      <c r="J1348" s="9"/>
      <c r="K1348" s="8"/>
    </row>
    <row r="1349" spans="1:11" s="6" customFormat="1" x14ac:dyDescent="0.2">
      <c r="A1349" s="5"/>
      <c r="C1349" s="7"/>
      <c r="D1349" s="7"/>
      <c r="E1349" s="7"/>
      <c r="F1349" s="7"/>
      <c r="G1349" s="8"/>
      <c r="H1349" s="8"/>
      <c r="I1349" s="8"/>
      <c r="J1349" s="9"/>
      <c r="K1349" s="8"/>
    </row>
    <row r="1350" spans="1:11" s="6" customFormat="1" x14ac:dyDescent="0.2">
      <c r="A1350" s="5"/>
      <c r="C1350" s="7"/>
      <c r="D1350" s="7"/>
      <c r="E1350" s="7"/>
      <c r="F1350" s="7"/>
      <c r="G1350" s="8"/>
      <c r="H1350" s="8"/>
      <c r="I1350" s="8"/>
      <c r="J1350" s="9"/>
      <c r="K1350" s="8"/>
    </row>
    <row r="1351" spans="1:11" s="6" customFormat="1" x14ac:dyDescent="0.2">
      <c r="A1351" s="5"/>
      <c r="C1351" s="7"/>
      <c r="D1351" s="7"/>
      <c r="E1351" s="7"/>
      <c r="F1351" s="7"/>
      <c r="G1351" s="8"/>
      <c r="H1351" s="8"/>
      <c r="I1351" s="8"/>
      <c r="J1351" s="9"/>
      <c r="K1351" s="8"/>
    </row>
    <row r="1352" spans="1:11" s="6" customFormat="1" x14ac:dyDescent="0.2">
      <c r="A1352" s="5"/>
      <c r="C1352" s="7"/>
      <c r="D1352" s="7"/>
      <c r="E1352" s="7"/>
      <c r="F1352" s="7"/>
      <c r="G1352" s="8"/>
      <c r="H1352" s="8"/>
      <c r="I1352" s="8"/>
      <c r="J1352" s="9"/>
      <c r="K1352" s="8"/>
    </row>
    <row r="1353" spans="1:11" s="6" customFormat="1" x14ac:dyDescent="0.2">
      <c r="A1353" s="5"/>
      <c r="C1353" s="7"/>
      <c r="D1353" s="7"/>
      <c r="E1353" s="7"/>
      <c r="F1353" s="7"/>
      <c r="G1353" s="8"/>
      <c r="H1353" s="8"/>
      <c r="I1353" s="8"/>
      <c r="J1353" s="9"/>
      <c r="K1353" s="8"/>
    </row>
    <row r="1354" spans="1:11" s="6" customFormat="1" x14ac:dyDescent="0.2">
      <c r="A1354" s="5"/>
      <c r="C1354" s="7"/>
      <c r="D1354" s="7"/>
      <c r="E1354" s="7"/>
      <c r="F1354" s="7"/>
      <c r="G1354" s="8"/>
      <c r="H1354" s="8"/>
      <c r="I1354" s="8"/>
      <c r="J1354" s="9"/>
      <c r="K1354" s="8"/>
    </row>
    <row r="1355" spans="1:11" s="6" customFormat="1" x14ac:dyDescent="0.2">
      <c r="A1355" s="5"/>
      <c r="C1355" s="7"/>
      <c r="D1355" s="7"/>
      <c r="E1355" s="7"/>
      <c r="F1355" s="7"/>
      <c r="G1355" s="8"/>
      <c r="H1355" s="8"/>
      <c r="I1355" s="8"/>
      <c r="J1355" s="9"/>
      <c r="K1355" s="8"/>
    </row>
    <row r="1356" spans="1:11" s="6" customFormat="1" x14ac:dyDescent="0.2">
      <c r="A1356" s="5"/>
      <c r="C1356" s="7"/>
      <c r="D1356" s="7"/>
      <c r="E1356" s="7"/>
      <c r="F1356" s="7"/>
      <c r="G1356" s="8"/>
      <c r="H1356" s="8"/>
      <c r="I1356" s="8"/>
      <c r="J1356" s="9"/>
      <c r="K1356" s="8"/>
    </row>
    <row r="1357" spans="1:11" s="6" customFormat="1" x14ac:dyDescent="0.2">
      <c r="A1357" s="5"/>
      <c r="C1357" s="7"/>
      <c r="D1357" s="7"/>
      <c r="E1357" s="7"/>
      <c r="F1357" s="7"/>
      <c r="G1357" s="8"/>
      <c r="H1357" s="8"/>
      <c r="I1357" s="8"/>
      <c r="J1357" s="9"/>
      <c r="K1357" s="8"/>
    </row>
    <row r="1358" spans="1:11" s="6" customFormat="1" x14ac:dyDescent="0.2">
      <c r="A1358" s="5"/>
      <c r="C1358" s="7"/>
      <c r="D1358" s="7"/>
      <c r="E1358" s="7"/>
      <c r="F1358" s="7"/>
      <c r="G1358" s="8"/>
      <c r="H1358" s="8"/>
      <c r="I1358" s="8"/>
      <c r="J1358" s="9"/>
      <c r="K1358" s="8"/>
    </row>
    <row r="1359" spans="1:11" s="6" customFormat="1" x14ac:dyDescent="0.2">
      <c r="A1359" s="5"/>
      <c r="C1359" s="7"/>
      <c r="D1359" s="7"/>
      <c r="E1359" s="7"/>
      <c r="F1359" s="7"/>
      <c r="G1359" s="8"/>
      <c r="H1359" s="8"/>
      <c r="I1359" s="8"/>
      <c r="J1359" s="9"/>
      <c r="K1359" s="8"/>
    </row>
    <row r="1360" spans="1:11" s="6" customFormat="1" x14ac:dyDescent="0.2">
      <c r="A1360" s="5"/>
      <c r="C1360" s="7"/>
      <c r="D1360" s="7"/>
      <c r="E1360" s="7"/>
      <c r="F1360" s="7"/>
      <c r="G1360" s="8"/>
      <c r="H1360" s="8"/>
      <c r="I1360" s="8"/>
      <c r="J1360" s="9"/>
      <c r="K1360" s="8"/>
    </row>
    <row r="1361" spans="1:11" s="6" customFormat="1" x14ac:dyDescent="0.2">
      <c r="A1361" s="5"/>
      <c r="C1361" s="7"/>
      <c r="D1361" s="7"/>
      <c r="E1361" s="7"/>
      <c r="F1361" s="7"/>
      <c r="G1361" s="8"/>
      <c r="H1361" s="8"/>
      <c r="I1361" s="8"/>
      <c r="J1361" s="9"/>
      <c r="K1361" s="8"/>
    </row>
    <row r="1362" spans="1:11" s="6" customFormat="1" x14ac:dyDescent="0.2">
      <c r="A1362" s="5"/>
      <c r="C1362" s="7"/>
      <c r="D1362" s="7"/>
      <c r="E1362" s="7"/>
      <c r="F1362" s="7"/>
      <c r="G1362" s="8"/>
      <c r="H1362" s="8"/>
      <c r="I1362" s="8"/>
      <c r="J1362" s="9"/>
      <c r="K1362" s="8"/>
    </row>
    <row r="1363" spans="1:11" s="6" customFormat="1" x14ac:dyDescent="0.2">
      <c r="A1363" s="5"/>
      <c r="C1363" s="7"/>
      <c r="D1363" s="7"/>
      <c r="E1363" s="7"/>
      <c r="F1363" s="7"/>
      <c r="G1363" s="8"/>
      <c r="H1363" s="8"/>
      <c r="I1363" s="8"/>
      <c r="J1363" s="9"/>
      <c r="K1363" s="8"/>
    </row>
    <row r="1364" spans="1:11" s="6" customFormat="1" x14ac:dyDescent="0.2">
      <c r="A1364" s="5"/>
      <c r="C1364" s="7"/>
      <c r="D1364" s="7"/>
      <c r="E1364" s="7"/>
      <c r="F1364" s="7"/>
      <c r="G1364" s="8"/>
      <c r="H1364" s="8"/>
      <c r="I1364" s="8"/>
      <c r="J1364" s="9"/>
      <c r="K1364" s="8"/>
    </row>
    <row r="1365" spans="1:11" s="6" customFormat="1" x14ac:dyDescent="0.2">
      <c r="A1365" s="5"/>
      <c r="C1365" s="7"/>
      <c r="D1365" s="7"/>
      <c r="E1365" s="7"/>
      <c r="F1365" s="7"/>
      <c r="G1365" s="8"/>
      <c r="H1365" s="8"/>
      <c r="I1365" s="8"/>
      <c r="J1365" s="9"/>
      <c r="K1365" s="8"/>
    </row>
    <row r="1366" spans="1:11" s="6" customFormat="1" x14ac:dyDescent="0.2">
      <c r="A1366" s="5"/>
      <c r="C1366" s="7"/>
      <c r="D1366" s="7"/>
      <c r="E1366" s="7"/>
      <c r="F1366" s="7"/>
      <c r="G1366" s="8"/>
      <c r="H1366" s="8"/>
      <c r="I1366" s="8"/>
      <c r="J1366" s="9"/>
      <c r="K1366" s="8"/>
    </row>
    <row r="1367" spans="1:11" s="6" customFormat="1" x14ac:dyDescent="0.2">
      <c r="A1367" s="5"/>
      <c r="C1367" s="7"/>
      <c r="D1367" s="7"/>
      <c r="E1367" s="7"/>
      <c r="F1367" s="7"/>
      <c r="G1367" s="8"/>
      <c r="H1367" s="8"/>
      <c r="I1367" s="8"/>
      <c r="J1367" s="9"/>
      <c r="K1367" s="8"/>
    </row>
    <row r="1368" spans="1:11" s="6" customFormat="1" x14ac:dyDescent="0.2">
      <c r="A1368" s="5"/>
      <c r="C1368" s="7"/>
      <c r="D1368" s="7"/>
      <c r="E1368" s="7"/>
      <c r="F1368" s="7"/>
      <c r="G1368" s="8"/>
      <c r="H1368" s="8"/>
      <c r="I1368" s="8"/>
      <c r="J1368" s="9"/>
      <c r="K1368" s="8"/>
    </row>
    <row r="1369" spans="1:11" s="6" customFormat="1" x14ac:dyDescent="0.2">
      <c r="A1369" s="5"/>
      <c r="C1369" s="7"/>
      <c r="D1369" s="7"/>
      <c r="E1369" s="7"/>
      <c r="F1369" s="7"/>
      <c r="G1369" s="8"/>
      <c r="H1369" s="8"/>
      <c r="I1369" s="8"/>
      <c r="J1369" s="9"/>
      <c r="K1369" s="8"/>
    </row>
    <row r="1370" spans="1:11" s="6" customFormat="1" x14ac:dyDescent="0.2">
      <c r="A1370" s="5"/>
      <c r="C1370" s="7"/>
      <c r="D1370" s="7"/>
      <c r="E1370" s="7"/>
      <c r="F1370" s="7"/>
      <c r="G1370" s="8"/>
      <c r="H1370" s="8"/>
      <c r="I1370" s="8"/>
      <c r="J1370" s="9"/>
      <c r="K1370" s="8"/>
    </row>
    <row r="1371" spans="1:11" s="6" customFormat="1" x14ac:dyDescent="0.2">
      <c r="A1371" s="5"/>
      <c r="C1371" s="7"/>
      <c r="D1371" s="7"/>
      <c r="E1371" s="7"/>
      <c r="F1371" s="7"/>
      <c r="G1371" s="8"/>
      <c r="H1371" s="8"/>
      <c r="I1371" s="8"/>
      <c r="J1371" s="9"/>
      <c r="K1371" s="8"/>
    </row>
    <row r="1372" spans="1:11" s="6" customFormat="1" x14ac:dyDescent="0.2">
      <c r="A1372" s="5"/>
      <c r="C1372" s="7"/>
      <c r="D1372" s="7"/>
      <c r="E1372" s="7"/>
      <c r="F1372" s="7"/>
      <c r="G1372" s="8"/>
      <c r="H1372" s="8"/>
      <c r="I1372" s="8"/>
      <c r="J1372" s="9"/>
      <c r="K1372" s="8"/>
    </row>
    <row r="1373" spans="1:11" s="6" customFormat="1" x14ac:dyDescent="0.2">
      <c r="A1373" s="5"/>
      <c r="C1373" s="7"/>
      <c r="D1373" s="7"/>
      <c r="E1373" s="7"/>
      <c r="F1373" s="7"/>
      <c r="G1373" s="8"/>
      <c r="H1373" s="8"/>
      <c r="I1373" s="8"/>
      <c r="J1373" s="9"/>
      <c r="K1373" s="8"/>
    </row>
    <row r="1374" spans="1:11" s="6" customFormat="1" x14ac:dyDescent="0.2">
      <c r="A1374" s="5"/>
      <c r="C1374" s="7"/>
      <c r="D1374" s="7"/>
      <c r="E1374" s="7"/>
      <c r="F1374" s="7"/>
      <c r="G1374" s="8"/>
      <c r="H1374" s="8"/>
      <c r="I1374" s="8"/>
      <c r="J1374" s="9"/>
      <c r="K1374" s="8"/>
    </row>
    <row r="1375" spans="1:11" s="6" customFormat="1" x14ac:dyDescent="0.2">
      <c r="A1375" s="5"/>
      <c r="C1375" s="7"/>
      <c r="D1375" s="7"/>
      <c r="E1375" s="7"/>
      <c r="F1375" s="7"/>
      <c r="G1375" s="8"/>
      <c r="H1375" s="8"/>
      <c r="I1375" s="8"/>
      <c r="J1375" s="9"/>
      <c r="K1375" s="8"/>
    </row>
    <row r="1376" spans="1:11" s="6" customFormat="1" x14ac:dyDescent="0.2">
      <c r="A1376" s="5"/>
      <c r="C1376" s="7"/>
      <c r="D1376" s="7"/>
      <c r="E1376" s="7"/>
      <c r="F1376" s="7"/>
      <c r="G1376" s="8"/>
      <c r="H1376" s="8"/>
      <c r="I1376" s="8"/>
      <c r="J1376" s="9"/>
      <c r="K1376" s="8"/>
    </row>
    <row r="1377" spans="1:11" s="6" customFormat="1" x14ac:dyDescent="0.2">
      <c r="A1377" s="5"/>
      <c r="C1377" s="7"/>
      <c r="D1377" s="7"/>
      <c r="E1377" s="7"/>
      <c r="F1377" s="7"/>
      <c r="G1377" s="8"/>
      <c r="H1377" s="8"/>
      <c r="I1377" s="8"/>
      <c r="J1377" s="9"/>
      <c r="K1377" s="8"/>
    </row>
    <row r="1378" spans="1:11" s="6" customFormat="1" x14ac:dyDescent="0.2">
      <c r="A1378" s="5"/>
      <c r="C1378" s="7"/>
      <c r="D1378" s="7"/>
      <c r="E1378" s="7"/>
      <c r="F1378" s="7"/>
      <c r="G1378" s="8"/>
      <c r="H1378" s="8"/>
      <c r="I1378" s="8"/>
      <c r="J1378" s="9"/>
      <c r="K1378" s="8"/>
    </row>
    <row r="1379" spans="1:11" s="6" customFormat="1" x14ac:dyDescent="0.2">
      <c r="A1379" s="5"/>
      <c r="C1379" s="7"/>
      <c r="D1379" s="7"/>
      <c r="E1379" s="7"/>
      <c r="F1379" s="7"/>
      <c r="G1379" s="8"/>
      <c r="H1379" s="8"/>
      <c r="I1379" s="8"/>
      <c r="J1379" s="9"/>
      <c r="K1379" s="8"/>
    </row>
    <row r="1380" spans="1:11" s="6" customFormat="1" x14ac:dyDescent="0.2">
      <c r="A1380" s="5"/>
      <c r="C1380" s="7"/>
      <c r="D1380" s="7"/>
      <c r="E1380" s="7"/>
      <c r="F1380" s="7"/>
      <c r="G1380" s="8"/>
      <c r="H1380" s="8"/>
      <c r="I1380" s="8"/>
      <c r="J1380" s="9"/>
      <c r="K1380" s="8"/>
    </row>
    <row r="1381" spans="1:11" s="6" customFormat="1" x14ac:dyDescent="0.2">
      <c r="A1381" s="5"/>
      <c r="C1381" s="7"/>
      <c r="D1381" s="7"/>
      <c r="E1381" s="7"/>
      <c r="F1381" s="7"/>
      <c r="G1381" s="8"/>
      <c r="H1381" s="8"/>
      <c r="I1381" s="8"/>
      <c r="J1381" s="9"/>
      <c r="K1381" s="8"/>
    </row>
    <row r="1382" spans="1:11" s="6" customFormat="1" x14ac:dyDescent="0.2">
      <c r="A1382" s="5"/>
      <c r="C1382" s="7"/>
      <c r="D1382" s="7"/>
      <c r="E1382" s="7"/>
      <c r="F1382" s="7"/>
      <c r="G1382" s="8"/>
      <c r="H1382" s="8"/>
      <c r="I1382" s="8"/>
      <c r="J1382" s="9"/>
      <c r="K1382" s="8"/>
    </row>
    <row r="1383" spans="1:11" s="6" customFormat="1" x14ac:dyDescent="0.2">
      <c r="A1383" s="5"/>
      <c r="C1383" s="7"/>
      <c r="D1383" s="7"/>
      <c r="E1383" s="7"/>
      <c r="F1383" s="7"/>
      <c r="G1383" s="8"/>
      <c r="H1383" s="8"/>
      <c r="I1383" s="8"/>
      <c r="J1383" s="9"/>
      <c r="K1383" s="8"/>
    </row>
    <row r="1384" spans="1:11" s="6" customFormat="1" x14ac:dyDescent="0.2">
      <c r="A1384" s="5"/>
      <c r="C1384" s="7"/>
      <c r="D1384" s="7"/>
      <c r="E1384" s="7"/>
      <c r="F1384" s="7"/>
      <c r="G1384" s="8"/>
      <c r="H1384" s="8"/>
      <c r="I1384" s="8"/>
      <c r="J1384" s="9"/>
      <c r="K1384" s="8"/>
    </row>
    <row r="1385" spans="1:11" s="6" customFormat="1" x14ac:dyDescent="0.2">
      <c r="A1385" s="5"/>
      <c r="C1385" s="7"/>
      <c r="D1385" s="7"/>
      <c r="E1385" s="7"/>
      <c r="F1385" s="7"/>
      <c r="G1385" s="8"/>
      <c r="H1385" s="8"/>
      <c r="I1385" s="8"/>
      <c r="J1385" s="9"/>
      <c r="K1385" s="8"/>
    </row>
    <row r="1386" spans="1:11" s="6" customFormat="1" x14ac:dyDescent="0.2">
      <c r="A1386" s="5"/>
      <c r="C1386" s="7"/>
      <c r="D1386" s="7"/>
      <c r="E1386" s="7"/>
      <c r="F1386" s="7"/>
      <c r="G1386" s="8"/>
      <c r="H1386" s="8"/>
      <c r="I1386" s="8"/>
      <c r="J1386" s="9"/>
      <c r="K1386" s="8"/>
    </row>
    <row r="1387" spans="1:11" x14ac:dyDescent="0.2">
      <c r="G1387" s="131"/>
      <c r="H1387" s="131"/>
      <c r="I1387" s="131"/>
      <c r="J1387" s="132"/>
      <c r="K1387" s="131"/>
    </row>
    <row r="1388" spans="1:11" x14ac:dyDescent="0.2">
      <c r="G1388" s="131"/>
      <c r="H1388" s="131"/>
      <c r="I1388" s="131"/>
      <c r="J1388" s="132"/>
      <c r="K1388" s="131"/>
    </row>
    <row r="1389" spans="1:11" x14ac:dyDescent="0.2">
      <c r="G1389" s="131"/>
      <c r="H1389" s="131"/>
      <c r="I1389" s="131"/>
      <c r="J1389" s="132"/>
      <c r="K1389" s="131"/>
    </row>
    <row r="1390" spans="1:11" x14ac:dyDescent="0.2">
      <c r="G1390" s="131"/>
      <c r="H1390" s="131"/>
      <c r="I1390" s="131"/>
      <c r="J1390" s="132"/>
      <c r="K1390" s="131"/>
    </row>
    <row r="1391" spans="1:11" x14ac:dyDescent="0.2">
      <c r="G1391" s="131"/>
      <c r="H1391" s="131"/>
      <c r="I1391" s="131"/>
      <c r="J1391" s="132"/>
      <c r="K1391" s="131"/>
    </row>
    <row r="1392" spans="1:11" x14ac:dyDescent="0.2">
      <c r="G1392" s="131"/>
      <c r="H1392" s="131"/>
      <c r="I1392" s="131"/>
      <c r="J1392" s="132"/>
      <c r="K1392" s="131"/>
    </row>
    <row r="1393" spans="7:11" x14ac:dyDescent="0.2">
      <c r="G1393" s="131"/>
      <c r="H1393" s="131"/>
      <c r="I1393" s="131"/>
      <c r="J1393" s="132"/>
      <c r="K1393" s="131"/>
    </row>
    <row r="1394" spans="7:11" x14ac:dyDescent="0.2">
      <c r="G1394" s="131"/>
      <c r="H1394" s="131"/>
      <c r="I1394" s="131"/>
      <c r="J1394" s="132"/>
      <c r="K1394" s="131"/>
    </row>
    <row r="1395" spans="7:11" x14ac:dyDescent="0.2">
      <c r="G1395" s="131"/>
      <c r="H1395" s="131"/>
      <c r="I1395" s="131"/>
      <c r="J1395" s="132"/>
      <c r="K1395" s="131"/>
    </row>
    <row r="1396" spans="7:11" x14ac:dyDescent="0.2">
      <c r="G1396" s="131"/>
      <c r="H1396" s="131"/>
      <c r="I1396" s="131"/>
      <c r="J1396" s="132"/>
      <c r="K1396" s="131"/>
    </row>
    <row r="1397" spans="7:11" x14ac:dyDescent="0.2">
      <c r="G1397" s="131"/>
      <c r="H1397" s="131"/>
      <c r="I1397" s="131"/>
      <c r="J1397" s="132"/>
      <c r="K1397" s="131"/>
    </row>
    <row r="1398" spans="7:11" x14ac:dyDescent="0.2">
      <c r="G1398" s="131"/>
      <c r="H1398" s="131"/>
      <c r="I1398" s="131"/>
      <c r="J1398" s="132"/>
      <c r="K1398" s="131"/>
    </row>
    <row r="1399" spans="7:11" x14ac:dyDescent="0.2">
      <c r="G1399" s="131"/>
      <c r="H1399" s="131"/>
      <c r="I1399" s="131"/>
      <c r="J1399" s="132"/>
      <c r="K1399" s="131"/>
    </row>
    <row r="1400" spans="7:11" x14ac:dyDescent="0.2">
      <c r="G1400" s="131"/>
      <c r="H1400" s="131"/>
      <c r="I1400" s="131"/>
      <c r="J1400" s="132"/>
      <c r="K1400" s="131"/>
    </row>
    <row r="1401" spans="7:11" x14ac:dyDescent="0.2">
      <c r="G1401" s="131"/>
      <c r="H1401" s="131"/>
      <c r="I1401" s="131"/>
      <c r="J1401" s="132"/>
      <c r="K1401" s="131"/>
    </row>
    <row r="1402" spans="7:11" x14ac:dyDescent="0.2">
      <c r="G1402" s="131"/>
      <c r="H1402" s="131"/>
      <c r="I1402" s="131"/>
      <c r="J1402" s="132"/>
      <c r="K1402" s="131"/>
    </row>
    <row r="1403" spans="7:11" x14ac:dyDescent="0.2">
      <c r="G1403" s="131"/>
      <c r="H1403" s="131"/>
      <c r="I1403" s="131"/>
      <c r="J1403" s="132"/>
      <c r="K1403" s="131"/>
    </row>
    <row r="1404" spans="7:11" x14ac:dyDescent="0.2">
      <c r="G1404" s="131"/>
      <c r="H1404" s="131"/>
      <c r="I1404" s="131"/>
      <c r="J1404" s="132"/>
      <c r="K1404" s="131"/>
    </row>
    <row r="1405" spans="7:11" x14ac:dyDescent="0.2">
      <c r="G1405" s="131"/>
      <c r="H1405" s="131"/>
      <c r="I1405" s="131"/>
      <c r="J1405" s="132"/>
      <c r="K1405" s="131"/>
    </row>
    <row r="1406" spans="7:11" x14ac:dyDescent="0.2">
      <c r="G1406" s="131"/>
      <c r="H1406" s="131"/>
      <c r="I1406" s="131"/>
      <c r="J1406" s="132"/>
      <c r="K1406" s="131"/>
    </row>
    <row r="1407" spans="7:11" x14ac:dyDescent="0.2">
      <c r="G1407" s="131"/>
      <c r="H1407" s="131"/>
      <c r="I1407" s="131"/>
      <c r="J1407" s="132"/>
      <c r="K1407" s="131"/>
    </row>
    <row r="1408" spans="7:11" x14ac:dyDescent="0.2">
      <c r="G1408" s="131"/>
      <c r="H1408" s="131"/>
      <c r="I1408" s="131"/>
      <c r="J1408" s="132"/>
      <c r="K1408" s="131"/>
    </row>
    <row r="1409" spans="7:11" x14ac:dyDescent="0.2">
      <c r="G1409" s="131"/>
      <c r="H1409" s="131"/>
      <c r="I1409" s="131"/>
      <c r="J1409" s="132"/>
      <c r="K1409" s="131"/>
    </row>
    <row r="1410" spans="7:11" x14ac:dyDescent="0.2">
      <c r="G1410" s="131"/>
      <c r="H1410" s="131"/>
      <c r="I1410" s="131"/>
      <c r="J1410" s="132"/>
      <c r="K1410" s="131"/>
    </row>
    <row r="1411" spans="7:11" x14ac:dyDescent="0.2">
      <c r="G1411" s="131"/>
      <c r="H1411" s="131"/>
      <c r="I1411" s="131"/>
      <c r="J1411" s="132"/>
      <c r="K1411" s="131"/>
    </row>
    <row r="1412" spans="7:11" x14ac:dyDescent="0.2">
      <c r="G1412" s="131"/>
      <c r="H1412" s="131"/>
      <c r="I1412" s="131"/>
      <c r="J1412" s="132"/>
      <c r="K1412" s="131"/>
    </row>
    <row r="1413" spans="7:11" x14ac:dyDescent="0.2">
      <c r="G1413" s="131"/>
      <c r="H1413" s="131"/>
      <c r="I1413" s="131"/>
      <c r="J1413" s="132"/>
      <c r="K1413" s="131"/>
    </row>
    <row r="1414" spans="7:11" x14ac:dyDescent="0.2">
      <c r="G1414" s="131"/>
      <c r="H1414" s="131"/>
      <c r="I1414" s="131"/>
      <c r="J1414" s="132"/>
      <c r="K1414" s="131"/>
    </row>
    <row r="1415" spans="7:11" x14ac:dyDescent="0.2">
      <c r="G1415" s="131"/>
      <c r="H1415" s="131"/>
      <c r="I1415" s="131"/>
      <c r="J1415" s="132"/>
      <c r="K1415" s="131"/>
    </row>
    <row r="1416" spans="7:11" x14ac:dyDescent="0.2">
      <c r="G1416" s="131"/>
      <c r="H1416" s="131"/>
      <c r="I1416" s="131"/>
      <c r="J1416" s="132"/>
      <c r="K1416" s="131"/>
    </row>
    <row r="1417" spans="7:11" x14ac:dyDescent="0.2">
      <c r="G1417" s="131"/>
      <c r="H1417" s="131"/>
      <c r="I1417" s="131"/>
      <c r="J1417" s="132"/>
      <c r="K1417" s="131"/>
    </row>
    <row r="1418" spans="7:11" x14ac:dyDescent="0.2">
      <c r="G1418" s="131"/>
      <c r="H1418" s="131"/>
      <c r="I1418" s="131"/>
      <c r="J1418" s="132"/>
      <c r="K1418" s="131"/>
    </row>
    <row r="1419" spans="7:11" x14ac:dyDescent="0.2">
      <c r="G1419" s="131"/>
      <c r="H1419" s="131"/>
      <c r="I1419" s="131"/>
      <c r="J1419" s="132"/>
      <c r="K1419" s="131"/>
    </row>
    <row r="1420" spans="7:11" x14ac:dyDescent="0.2">
      <c r="G1420" s="131"/>
      <c r="H1420" s="131"/>
      <c r="I1420" s="131"/>
      <c r="J1420" s="132"/>
      <c r="K1420" s="131"/>
    </row>
    <row r="1421" spans="7:11" x14ac:dyDescent="0.2">
      <c r="G1421" s="131"/>
      <c r="H1421" s="131"/>
      <c r="I1421" s="131"/>
      <c r="J1421" s="132"/>
      <c r="K1421" s="131"/>
    </row>
    <row r="1422" spans="7:11" x14ac:dyDescent="0.2">
      <c r="G1422" s="131"/>
      <c r="H1422" s="131"/>
      <c r="I1422" s="131"/>
      <c r="J1422" s="132"/>
      <c r="K1422" s="131"/>
    </row>
    <row r="1423" spans="7:11" x14ac:dyDescent="0.2">
      <c r="G1423" s="131"/>
      <c r="H1423" s="131"/>
      <c r="I1423" s="131"/>
      <c r="J1423" s="132"/>
      <c r="K1423" s="131"/>
    </row>
    <row r="1424" spans="7:11" x14ac:dyDescent="0.2">
      <c r="G1424" s="131"/>
      <c r="H1424" s="131"/>
      <c r="I1424" s="131"/>
      <c r="J1424" s="132"/>
      <c r="K1424" s="131"/>
    </row>
    <row r="1425" spans="7:11" x14ac:dyDescent="0.2">
      <c r="G1425" s="131"/>
      <c r="H1425" s="131"/>
      <c r="I1425" s="131"/>
      <c r="J1425" s="132"/>
      <c r="K1425" s="131"/>
    </row>
    <row r="1426" spans="7:11" x14ac:dyDescent="0.2">
      <c r="G1426" s="131"/>
      <c r="H1426" s="131"/>
      <c r="I1426" s="131"/>
      <c r="J1426" s="132"/>
      <c r="K1426" s="131"/>
    </row>
    <row r="1427" spans="7:11" x14ac:dyDescent="0.2">
      <c r="G1427" s="131"/>
      <c r="H1427" s="131"/>
      <c r="I1427" s="131"/>
      <c r="J1427" s="132"/>
      <c r="K1427" s="131"/>
    </row>
    <row r="1428" spans="7:11" x14ac:dyDescent="0.2">
      <c r="G1428" s="131"/>
      <c r="H1428" s="131"/>
      <c r="I1428" s="131"/>
      <c r="J1428" s="132"/>
      <c r="K1428" s="131"/>
    </row>
    <row r="1429" spans="7:11" x14ac:dyDescent="0.2">
      <c r="G1429" s="131"/>
      <c r="H1429" s="131"/>
      <c r="I1429" s="131"/>
      <c r="J1429" s="132"/>
      <c r="K1429" s="131"/>
    </row>
    <row r="1430" spans="7:11" x14ac:dyDescent="0.2">
      <c r="G1430" s="131"/>
      <c r="H1430" s="131"/>
      <c r="I1430" s="131"/>
      <c r="J1430" s="132"/>
      <c r="K1430" s="131"/>
    </row>
    <row r="1431" spans="7:11" x14ac:dyDescent="0.2">
      <c r="G1431" s="131"/>
      <c r="H1431" s="131"/>
      <c r="I1431" s="131"/>
      <c r="J1431" s="132"/>
      <c r="K1431" s="131"/>
    </row>
    <row r="1432" spans="7:11" x14ac:dyDescent="0.2">
      <c r="G1432" s="131"/>
      <c r="H1432" s="131"/>
      <c r="I1432" s="131"/>
      <c r="J1432" s="132"/>
      <c r="K1432" s="131"/>
    </row>
    <row r="1433" spans="7:11" x14ac:dyDescent="0.2">
      <c r="G1433" s="131"/>
      <c r="H1433" s="131"/>
      <c r="I1433" s="131"/>
      <c r="J1433" s="132"/>
      <c r="K1433" s="131"/>
    </row>
    <row r="1434" spans="7:11" x14ac:dyDescent="0.2">
      <c r="G1434" s="131"/>
      <c r="H1434" s="131"/>
      <c r="I1434" s="131"/>
      <c r="J1434" s="132"/>
      <c r="K1434" s="131"/>
    </row>
    <row r="1435" spans="7:11" x14ac:dyDescent="0.2">
      <c r="G1435" s="131"/>
      <c r="H1435" s="131"/>
      <c r="I1435" s="131"/>
      <c r="J1435" s="132"/>
      <c r="K1435" s="131"/>
    </row>
    <row r="1436" spans="7:11" x14ac:dyDescent="0.2">
      <c r="G1436" s="131"/>
      <c r="H1436" s="131"/>
      <c r="I1436" s="131"/>
      <c r="J1436" s="132"/>
      <c r="K1436" s="131"/>
    </row>
    <row r="1437" spans="7:11" x14ac:dyDescent="0.2">
      <c r="G1437" s="131"/>
      <c r="H1437" s="131"/>
      <c r="I1437" s="131"/>
      <c r="J1437" s="132"/>
      <c r="K1437" s="131"/>
    </row>
    <row r="1438" spans="7:11" x14ac:dyDescent="0.2">
      <c r="G1438" s="131"/>
      <c r="H1438" s="131"/>
      <c r="I1438" s="131"/>
      <c r="J1438" s="132"/>
      <c r="K1438" s="131"/>
    </row>
    <row r="1439" spans="7:11" x14ac:dyDescent="0.2">
      <c r="G1439" s="131"/>
      <c r="H1439" s="131"/>
      <c r="I1439" s="131"/>
      <c r="J1439" s="132"/>
      <c r="K1439" s="131"/>
    </row>
    <row r="1440" spans="7:11" x14ac:dyDescent="0.2">
      <c r="G1440" s="131"/>
      <c r="H1440" s="131"/>
      <c r="I1440" s="131"/>
      <c r="J1440" s="132"/>
      <c r="K1440" s="131"/>
    </row>
    <row r="1441" spans="7:11" x14ac:dyDescent="0.2">
      <c r="G1441" s="131"/>
      <c r="H1441" s="131"/>
      <c r="I1441" s="131"/>
      <c r="J1441" s="132"/>
      <c r="K1441" s="131"/>
    </row>
    <row r="1442" spans="7:11" x14ac:dyDescent="0.2">
      <c r="G1442" s="131"/>
      <c r="H1442" s="131"/>
      <c r="I1442" s="131"/>
      <c r="J1442" s="132"/>
      <c r="K1442" s="131"/>
    </row>
    <row r="1443" spans="7:11" x14ac:dyDescent="0.2">
      <c r="G1443" s="131"/>
      <c r="H1443" s="131"/>
      <c r="I1443" s="131"/>
      <c r="J1443" s="132"/>
      <c r="K1443" s="131"/>
    </row>
    <row r="1444" spans="7:11" x14ac:dyDescent="0.2">
      <c r="G1444" s="131"/>
      <c r="H1444" s="131"/>
      <c r="I1444" s="131"/>
      <c r="J1444" s="132"/>
      <c r="K1444" s="131"/>
    </row>
    <row r="1445" spans="7:11" x14ac:dyDescent="0.2">
      <c r="G1445" s="131"/>
      <c r="H1445" s="131"/>
      <c r="I1445" s="131"/>
      <c r="J1445" s="132"/>
      <c r="K1445" s="131"/>
    </row>
    <row r="1446" spans="7:11" x14ac:dyDescent="0.2">
      <c r="G1446" s="131"/>
      <c r="H1446" s="131"/>
      <c r="I1446" s="131"/>
      <c r="J1446" s="132"/>
      <c r="K1446" s="131"/>
    </row>
    <row r="1447" spans="7:11" x14ac:dyDescent="0.2">
      <c r="G1447" s="131"/>
      <c r="H1447" s="131"/>
      <c r="I1447" s="131"/>
      <c r="J1447" s="132"/>
      <c r="K1447" s="131"/>
    </row>
    <row r="1448" spans="7:11" x14ac:dyDescent="0.2">
      <c r="G1448" s="131"/>
      <c r="H1448" s="131"/>
      <c r="I1448" s="131"/>
      <c r="J1448" s="132"/>
      <c r="K1448" s="131"/>
    </row>
    <row r="1449" spans="7:11" x14ac:dyDescent="0.2">
      <c r="G1449" s="131"/>
      <c r="H1449" s="131"/>
      <c r="I1449" s="131"/>
      <c r="J1449" s="132"/>
      <c r="K1449" s="131"/>
    </row>
    <row r="1450" spans="7:11" x14ac:dyDescent="0.2">
      <c r="G1450" s="131"/>
      <c r="H1450" s="131"/>
      <c r="I1450" s="131"/>
      <c r="J1450" s="132"/>
      <c r="K1450" s="131"/>
    </row>
    <row r="1451" spans="7:11" x14ac:dyDescent="0.2">
      <c r="G1451" s="131"/>
      <c r="H1451" s="131"/>
      <c r="I1451" s="131"/>
      <c r="J1451" s="132"/>
      <c r="K1451" s="131"/>
    </row>
    <row r="1452" spans="7:11" x14ac:dyDescent="0.2">
      <c r="G1452" s="131"/>
      <c r="H1452" s="131"/>
      <c r="I1452" s="131"/>
      <c r="J1452" s="132"/>
      <c r="K1452" s="131"/>
    </row>
    <row r="1453" spans="7:11" x14ac:dyDescent="0.2">
      <c r="G1453" s="131"/>
      <c r="H1453" s="131"/>
      <c r="I1453" s="131"/>
      <c r="J1453" s="132"/>
      <c r="K1453" s="131"/>
    </row>
    <row r="1454" spans="7:11" x14ac:dyDescent="0.2">
      <c r="G1454" s="131"/>
      <c r="H1454" s="131"/>
      <c r="I1454" s="131"/>
      <c r="J1454" s="132"/>
      <c r="K1454" s="131"/>
    </row>
    <row r="1455" spans="7:11" x14ac:dyDescent="0.2">
      <c r="G1455" s="131"/>
      <c r="H1455" s="131"/>
      <c r="I1455" s="131"/>
      <c r="J1455" s="132"/>
      <c r="K1455" s="131"/>
    </row>
    <row r="1456" spans="7:11" x14ac:dyDescent="0.2">
      <c r="G1456" s="131"/>
      <c r="H1456" s="131"/>
      <c r="I1456" s="131"/>
      <c r="J1456" s="132"/>
      <c r="K1456" s="131"/>
    </row>
    <row r="1457" spans="7:11" x14ac:dyDescent="0.2">
      <c r="G1457" s="131"/>
      <c r="H1457" s="131"/>
      <c r="I1457" s="131"/>
      <c r="J1457" s="132"/>
      <c r="K1457" s="131"/>
    </row>
    <row r="1458" spans="7:11" x14ac:dyDescent="0.2">
      <c r="G1458" s="131"/>
      <c r="H1458" s="131"/>
      <c r="I1458" s="131"/>
      <c r="J1458" s="132"/>
      <c r="K1458" s="131"/>
    </row>
    <row r="1459" spans="7:11" x14ac:dyDescent="0.2">
      <c r="G1459" s="131"/>
      <c r="H1459" s="131"/>
      <c r="I1459" s="131"/>
      <c r="J1459" s="132"/>
      <c r="K1459" s="131"/>
    </row>
    <row r="1460" spans="7:11" x14ac:dyDescent="0.2">
      <c r="G1460" s="131"/>
      <c r="H1460" s="131"/>
      <c r="I1460" s="131"/>
      <c r="J1460" s="132"/>
      <c r="K1460" s="131"/>
    </row>
    <row r="1461" spans="7:11" x14ac:dyDescent="0.2">
      <c r="G1461" s="131"/>
      <c r="H1461" s="131"/>
      <c r="I1461" s="131"/>
      <c r="J1461" s="132"/>
      <c r="K1461" s="131"/>
    </row>
    <row r="1462" spans="7:11" x14ac:dyDescent="0.2">
      <c r="G1462" s="131"/>
      <c r="H1462" s="131"/>
      <c r="I1462" s="131"/>
      <c r="J1462" s="132"/>
      <c r="K1462" s="131"/>
    </row>
    <row r="1463" spans="7:11" x14ac:dyDescent="0.2">
      <c r="G1463" s="131"/>
      <c r="H1463" s="131"/>
      <c r="I1463" s="131"/>
      <c r="J1463" s="132"/>
      <c r="K1463" s="131"/>
    </row>
    <row r="1464" spans="7:11" x14ac:dyDescent="0.2">
      <c r="G1464" s="131"/>
      <c r="H1464" s="131"/>
      <c r="I1464" s="131"/>
      <c r="J1464" s="132"/>
      <c r="K1464" s="131"/>
    </row>
    <row r="1465" spans="7:11" x14ac:dyDescent="0.2">
      <c r="G1465" s="131"/>
      <c r="H1465" s="131"/>
      <c r="I1465" s="131"/>
      <c r="J1465" s="132"/>
      <c r="K1465" s="131"/>
    </row>
    <row r="1466" spans="7:11" x14ac:dyDescent="0.2">
      <c r="G1466" s="131"/>
      <c r="H1466" s="131"/>
      <c r="I1466" s="131"/>
      <c r="J1466" s="132"/>
      <c r="K1466" s="131"/>
    </row>
    <row r="1467" spans="7:11" x14ac:dyDescent="0.2">
      <c r="G1467" s="131"/>
      <c r="H1467" s="131"/>
      <c r="I1467" s="131"/>
      <c r="J1467" s="132"/>
      <c r="K1467" s="131"/>
    </row>
    <row r="1468" spans="7:11" x14ac:dyDescent="0.2">
      <c r="G1468" s="131"/>
      <c r="H1468" s="131"/>
      <c r="I1468" s="131"/>
      <c r="J1468" s="132"/>
      <c r="K1468" s="131"/>
    </row>
    <row r="1469" spans="7:11" x14ac:dyDescent="0.2">
      <c r="G1469" s="131"/>
      <c r="H1469" s="131"/>
      <c r="I1469" s="131"/>
      <c r="J1469" s="132"/>
      <c r="K1469" s="131"/>
    </row>
    <row r="1470" spans="7:11" x14ac:dyDescent="0.2">
      <c r="G1470" s="131"/>
      <c r="H1470" s="131"/>
      <c r="I1470" s="131"/>
      <c r="J1470" s="132"/>
      <c r="K1470" s="131"/>
    </row>
    <row r="1471" spans="7:11" x14ac:dyDescent="0.2">
      <c r="G1471" s="131"/>
      <c r="H1471" s="131"/>
      <c r="I1471" s="131"/>
      <c r="J1471" s="132"/>
      <c r="K1471" s="131"/>
    </row>
    <row r="1472" spans="7:11" x14ac:dyDescent="0.2">
      <c r="G1472" s="131"/>
      <c r="H1472" s="131"/>
      <c r="I1472" s="131"/>
      <c r="J1472" s="132"/>
      <c r="K1472" s="131"/>
    </row>
    <row r="1473" spans="7:11" x14ac:dyDescent="0.2">
      <c r="G1473" s="131"/>
      <c r="H1473" s="131"/>
      <c r="I1473" s="131"/>
      <c r="J1473" s="132"/>
      <c r="K1473" s="131"/>
    </row>
    <row r="1474" spans="7:11" x14ac:dyDescent="0.2">
      <c r="G1474" s="131"/>
      <c r="H1474" s="131"/>
      <c r="I1474" s="131"/>
      <c r="J1474" s="132"/>
      <c r="K1474" s="131"/>
    </row>
    <row r="1475" spans="7:11" x14ac:dyDescent="0.2">
      <c r="G1475" s="131"/>
      <c r="H1475" s="131"/>
      <c r="I1475" s="131"/>
      <c r="J1475" s="132"/>
      <c r="K1475" s="131"/>
    </row>
    <row r="1476" spans="7:11" x14ac:dyDescent="0.2">
      <c r="G1476" s="131"/>
      <c r="H1476" s="131"/>
      <c r="I1476" s="131"/>
      <c r="J1476" s="132"/>
      <c r="K1476" s="131"/>
    </row>
    <row r="1477" spans="7:11" x14ac:dyDescent="0.2">
      <c r="G1477" s="131"/>
      <c r="H1477" s="131"/>
      <c r="I1477" s="131"/>
      <c r="J1477" s="132"/>
      <c r="K1477" s="131"/>
    </row>
    <row r="1478" spans="7:11" x14ac:dyDescent="0.2">
      <c r="G1478" s="131"/>
      <c r="H1478" s="131"/>
      <c r="I1478" s="131"/>
      <c r="J1478" s="132"/>
      <c r="K1478" s="131"/>
    </row>
    <row r="1479" spans="7:11" x14ac:dyDescent="0.2">
      <c r="G1479" s="131"/>
      <c r="H1479" s="131"/>
      <c r="I1479" s="131"/>
      <c r="J1479" s="132"/>
      <c r="K1479" s="131"/>
    </row>
    <row r="1480" spans="7:11" x14ac:dyDescent="0.2">
      <c r="G1480" s="131"/>
      <c r="H1480" s="131"/>
      <c r="I1480" s="131"/>
      <c r="J1480" s="132"/>
      <c r="K1480" s="131"/>
    </row>
    <row r="1481" spans="7:11" x14ac:dyDescent="0.2">
      <c r="G1481" s="131"/>
      <c r="H1481" s="131"/>
      <c r="I1481" s="131"/>
      <c r="J1481" s="132"/>
      <c r="K1481" s="131"/>
    </row>
    <row r="1482" spans="7:11" x14ac:dyDescent="0.2">
      <c r="G1482" s="131"/>
      <c r="H1482" s="131"/>
      <c r="I1482" s="131"/>
      <c r="J1482" s="132"/>
      <c r="K1482" s="131"/>
    </row>
    <row r="1483" spans="7:11" x14ac:dyDescent="0.2">
      <c r="G1483" s="131"/>
      <c r="H1483" s="131"/>
      <c r="I1483" s="131"/>
      <c r="J1483" s="132"/>
      <c r="K1483" s="131"/>
    </row>
    <row r="1484" spans="7:11" x14ac:dyDescent="0.2">
      <c r="G1484" s="131"/>
      <c r="H1484" s="131"/>
      <c r="I1484" s="131"/>
      <c r="J1484" s="132"/>
      <c r="K1484" s="131"/>
    </row>
    <row r="1485" spans="7:11" x14ac:dyDescent="0.2">
      <c r="G1485" s="131"/>
      <c r="H1485" s="131"/>
      <c r="I1485" s="131"/>
      <c r="J1485" s="132"/>
      <c r="K1485" s="131"/>
    </row>
    <row r="1486" spans="7:11" x14ac:dyDescent="0.2">
      <c r="G1486" s="131"/>
      <c r="H1486" s="131"/>
      <c r="I1486" s="131"/>
      <c r="J1486" s="132"/>
      <c r="K1486" s="131"/>
    </row>
    <row r="1487" spans="7:11" x14ac:dyDescent="0.2">
      <c r="G1487" s="131"/>
      <c r="H1487" s="131"/>
      <c r="I1487" s="131"/>
      <c r="J1487" s="132"/>
      <c r="K1487" s="131"/>
    </row>
    <row r="1488" spans="7:11" x14ac:dyDescent="0.2">
      <c r="G1488" s="131"/>
      <c r="H1488" s="131"/>
      <c r="I1488" s="131"/>
      <c r="J1488" s="132"/>
      <c r="K1488" s="131"/>
    </row>
    <row r="1489" spans="7:11" x14ac:dyDescent="0.2">
      <c r="G1489" s="131"/>
      <c r="H1489" s="131"/>
      <c r="I1489" s="131"/>
      <c r="J1489" s="132"/>
      <c r="K1489" s="131"/>
    </row>
    <row r="1490" spans="7:11" x14ac:dyDescent="0.2">
      <c r="G1490" s="131"/>
      <c r="H1490" s="131"/>
      <c r="I1490" s="131"/>
      <c r="J1490" s="132"/>
      <c r="K1490" s="131"/>
    </row>
    <row r="1491" spans="7:11" x14ac:dyDescent="0.2">
      <c r="G1491" s="131"/>
      <c r="H1491" s="131"/>
      <c r="I1491" s="131"/>
      <c r="J1491" s="132"/>
      <c r="K1491" s="131"/>
    </row>
    <row r="1492" spans="7:11" x14ac:dyDescent="0.2">
      <c r="G1492" s="131"/>
      <c r="H1492" s="131"/>
      <c r="I1492" s="131"/>
      <c r="J1492" s="132"/>
      <c r="K1492" s="131"/>
    </row>
    <row r="1493" spans="7:11" x14ac:dyDescent="0.2">
      <c r="G1493" s="131"/>
      <c r="H1493" s="131"/>
      <c r="I1493" s="131"/>
      <c r="J1493" s="132"/>
      <c r="K1493" s="131"/>
    </row>
    <row r="1494" spans="7:11" x14ac:dyDescent="0.2">
      <c r="G1494" s="131"/>
      <c r="H1494" s="131"/>
      <c r="I1494" s="131"/>
      <c r="J1494" s="132"/>
      <c r="K1494" s="131"/>
    </row>
    <row r="1495" spans="7:11" x14ac:dyDescent="0.2">
      <c r="G1495" s="131"/>
      <c r="H1495" s="131"/>
      <c r="I1495" s="131"/>
      <c r="J1495" s="132"/>
      <c r="K1495" s="131"/>
    </row>
    <row r="1496" spans="7:11" x14ac:dyDescent="0.2">
      <c r="G1496" s="131"/>
      <c r="H1496" s="131"/>
      <c r="I1496" s="131"/>
      <c r="J1496" s="132"/>
      <c r="K1496" s="131"/>
    </row>
    <row r="1497" spans="7:11" x14ac:dyDescent="0.2">
      <c r="G1497" s="131"/>
      <c r="H1497" s="131"/>
      <c r="I1497" s="131"/>
      <c r="J1497" s="132"/>
      <c r="K1497" s="131"/>
    </row>
    <row r="1498" spans="7:11" x14ac:dyDescent="0.2">
      <c r="G1498" s="131"/>
      <c r="H1498" s="131"/>
      <c r="I1498" s="131"/>
      <c r="J1498" s="132"/>
      <c r="K1498" s="131"/>
    </row>
    <row r="1499" spans="7:11" x14ac:dyDescent="0.2">
      <c r="G1499" s="131"/>
      <c r="H1499" s="131"/>
      <c r="I1499" s="131"/>
      <c r="J1499" s="132"/>
      <c r="K1499" s="131"/>
    </row>
    <row r="1500" spans="7:11" x14ac:dyDescent="0.2">
      <c r="G1500" s="131"/>
      <c r="H1500" s="131"/>
      <c r="I1500" s="131"/>
      <c r="J1500" s="132"/>
      <c r="K1500" s="131"/>
    </row>
    <row r="1501" spans="7:11" x14ac:dyDescent="0.2">
      <c r="G1501" s="131"/>
      <c r="H1501" s="131"/>
      <c r="I1501" s="131"/>
      <c r="J1501" s="132"/>
      <c r="K1501" s="131"/>
    </row>
    <row r="1502" spans="7:11" x14ac:dyDescent="0.2">
      <c r="G1502" s="131"/>
      <c r="H1502" s="131"/>
      <c r="I1502" s="131"/>
      <c r="J1502" s="132"/>
      <c r="K1502" s="131"/>
    </row>
    <row r="1503" spans="7:11" x14ac:dyDescent="0.2">
      <c r="G1503" s="131"/>
      <c r="H1503" s="131"/>
      <c r="I1503" s="131"/>
      <c r="J1503" s="132"/>
      <c r="K1503" s="131"/>
    </row>
    <row r="1504" spans="7:11" x14ac:dyDescent="0.2">
      <c r="G1504" s="131"/>
      <c r="H1504" s="131"/>
      <c r="I1504" s="131"/>
      <c r="J1504" s="132"/>
      <c r="K1504" s="131"/>
    </row>
    <row r="1505" spans="7:11" x14ac:dyDescent="0.2">
      <c r="G1505" s="131"/>
      <c r="H1505" s="131"/>
      <c r="I1505" s="131"/>
      <c r="J1505" s="132"/>
      <c r="K1505" s="131"/>
    </row>
    <row r="1506" spans="7:11" x14ac:dyDescent="0.2">
      <c r="G1506" s="131"/>
      <c r="H1506" s="131"/>
      <c r="I1506" s="131"/>
      <c r="J1506" s="132"/>
      <c r="K1506" s="131"/>
    </row>
    <row r="1507" spans="7:11" x14ac:dyDescent="0.2">
      <c r="G1507" s="131"/>
      <c r="H1507" s="131"/>
      <c r="I1507" s="131"/>
      <c r="J1507" s="132"/>
      <c r="K1507" s="131"/>
    </row>
    <row r="1508" spans="7:11" x14ac:dyDescent="0.2">
      <c r="G1508" s="131"/>
      <c r="H1508" s="131"/>
      <c r="I1508" s="131"/>
      <c r="J1508" s="132"/>
      <c r="K1508" s="131"/>
    </row>
    <row r="1509" spans="7:11" x14ac:dyDescent="0.2">
      <c r="G1509" s="131"/>
      <c r="H1509" s="131"/>
      <c r="I1509" s="131"/>
      <c r="J1509" s="132"/>
      <c r="K1509" s="131"/>
    </row>
    <row r="1510" spans="7:11" x14ac:dyDescent="0.2">
      <c r="G1510" s="131"/>
      <c r="H1510" s="131"/>
      <c r="I1510" s="131"/>
      <c r="J1510" s="132"/>
      <c r="K1510" s="131"/>
    </row>
    <row r="1511" spans="7:11" x14ac:dyDescent="0.2">
      <c r="G1511" s="131"/>
      <c r="H1511" s="131"/>
      <c r="I1511" s="131"/>
      <c r="J1511" s="132"/>
      <c r="K1511" s="131"/>
    </row>
    <row r="1512" spans="7:11" x14ac:dyDescent="0.2">
      <c r="G1512" s="131"/>
      <c r="H1512" s="131"/>
      <c r="I1512" s="131"/>
      <c r="J1512" s="132"/>
      <c r="K1512" s="131"/>
    </row>
    <row r="1513" spans="7:11" x14ac:dyDescent="0.2">
      <c r="G1513" s="131"/>
      <c r="H1513" s="131"/>
      <c r="I1513" s="131"/>
      <c r="J1513" s="132"/>
      <c r="K1513" s="131"/>
    </row>
    <row r="1514" spans="7:11" x14ac:dyDescent="0.2">
      <c r="G1514" s="131"/>
      <c r="H1514" s="131"/>
      <c r="I1514" s="131"/>
      <c r="J1514" s="132"/>
      <c r="K1514" s="131"/>
    </row>
    <row r="1515" spans="7:11" x14ac:dyDescent="0.2">
      <c r="G1515" s="131"/>
      <c r="H1515" s="131"/>
      <c r="I1515" s="131"/>
      <c r="J1515" s="132"/>
      <c r="K1515" s="131"/>
    </row>
    <row r="1516" spans="7:11" x14ac:dyDescent="0.2">
      <c r="G1516" s="131"/>
      <c r="H1516" s="131"/>
      <c r="I1516" s="131"/>
      <c r="J1516" s="132"/>
      <c r="K1516" s="131"/>
    </row>
    <row r="1517" spans="7:11" x14ac:dyDescent="0.2">
      <c r="G1517" s="131"/>
      <c r="H1517" s="131"/>
      <c r="I1517" s="131"/>
      <c r="J1517" s="132"/>
      <c r="K1517" s="131"/>
    </row>
    <row r="1518" spans="7:11" x14ac:dyDescent="0.2">
      <c r="G1518" s="131"/>
      <c r="H1518" s="131"/>
      <c r="I1518" s="131"/>
      <c r="J1518" s="132"/>
      <c r="K1518" s="131"/>
    </row>
    <row r="1519" spans="7:11" x14ac:dyDescent="0.2">
      <c r="G1519" s="131"/>
      <c r="H1519" s="131"/>
      <c r="I1519" s="131"/>
      <c r="J1519" s="132"/>
      <c r="K1519" s="131"/>
    </row>
    <row r="1520" spans="7:11" x14ac:dyDescent="0.2">
      <c r="G1520" s="131"/>
      <c r="H1520" s="131"/>
      <c r="I1520" s="131"/>
      <c r="J1520" s="132"/>
      <c r="K1520" s="131"/>
    </row>
    <row r="1521" spans="7:11" x14ac:dyDescent="0.2">
      <c r="G1521" s="131"/>
      <c r="H1521" s="131"/>
      <c r="I1521" s="131"/>
      <c r="J1521" s="132"/>
      <c r="K1521" s="131"/>
    </row>
    <row r="1522" spans="7:11" x14ac:dyDescent="0.2">
      <c r="G1522" s="131"/>
      <c r="H1522" s="131"/>
      <c r="I1522" s="131"/>
      <c r="J1522" s="132"/>
      <c r="K1522" s="131"/>
    </row>
    <row r="1523" spans="7:11" x14ac:dyDescent="0.2">
      <c r="G1523" s="131"/>
      <c r="H1523" s="131"/>
      <c r="I1523" s="131"/>
      <c r="J1523" s="132"/>
      <c r="K1523" s="131"/>
    </row>
    <row r="1524" spans="7:11" x14ac:dyDescent="0.2">
      <c r="G1524" s="131"/>
      <c r="H1524" s="131"/>
      <c r="I1524" s="131"/>
      <c r="J1524" s="132"/>
      <c r="K1524" s="131"/>
    </row>
    <row r="1525" spans="7:11" x14ac:dyDescent="0.2">
      <c r="G1525" s="131"/>
      <c r="H1525" s="131"/>
      <c r="I1525" s="131"/>
      <c r="J1525" s="132"/>
      <c r="K1525" s="131"/>
    </row>
    <row r="1526" spans="7:11" x14ac:dyDescent="0.2">
      <c r="G1526" s="131"/>
      <c r="H1526" s="131"/>
      <c r="I1526" s="131"/>
      <c r="J1526" s="132"/>
      <c r="K1526" s="131"/>
    </row>
    <row r="1527" spans="7:11" x14ac:dyDescent="0.2">
      <c r="G1527" s="131"/>
      <c r="H1527" s="131"/>
      <c r="I1527" s="131"/>
      <c r="J1527" s="132"/>
      <c r="K1527" s="131"/>
    </row>
    <row r="1528" spans="7:11" x14ac:dyDescent="0.2">
      <c r="G1528" s="131"/>
      <c r="H1528" s="131"/>
      <c r="I1528" s="131"/>
      <c r="J1528" s="132"/>
      <c r="K1528" s="131"/>
    </row>
    <row r="1529" spans="7:11" x14ac:dyDescent="0.2">
      <c r="G1529" s="131"/>
      <c r="H1529" s="131"/>
      <c r="I1529" s="131"/>
      <c r="J1529" s="132"/>
      <c r="K1529" s="131"/>
    </row>
    <row r="1530" spans="7:11" x14ac:dyDescent="0.2">
      <c r="G1530" s="131"/>
      <c r="H1530" s="131"/>
      <c r="I1530" s="131"/>
      <c r="J1530" s="132"/>
      <c r="K1530" s="131"/>
    </row>
    <row r="1531" spans="7:11" x14ac:dyDescent="0.2">
      <c r="G1531" s="131"/>
      <c r="H1531" s="131"/>
      <c r="I1531" s="131"/>
      <c r="J1531" s="132"/>
      <c r="K1531" s="131"/>
    </row>
    <row r="1532" spans="7:11" x14ac:dyDescent="0.2">
      <c r="G1532" s="131"/>
      <c r="H1532" s="131"/>
      <c r="I1532" s="131"/>
      <c r="J1532" s="132"/>
      <c r="K1532" s="131"/>
    </row>
    <row r="1533" spans="7:11" x14ac:dyDescent="0.2">
      <c r="G1533" s="131"/>
      <c r="H1533" s="131"/>
      <c r="I1533" s="131"/>
      <c r="J1533" s="132"/>
      <c r="K1533" s="131"/>
    </row>
    <row r="1534" spans="7:11" x14ac:dyDescent="0.2">
      <c r="G1534" s="131"/>
      <c r="H1534" s="131"/>
      <c r="I1534" s="131"/>
      <c r="J1534" s="132"/>
      <c r="K1534" s="131"/>
    </row>
    <row r="1535" spans="7:11" x14ac:dyDescent="0.2">
      <c r="G1535" s="131"/>
      <c r="H1535" s="131"/>
      <c r="I1535" s="131"/>
      <c r="J1535" s="132"/>
      <c r="K1535" s="131"/>
    </row>
    <row r="1536" spans="7:11" x14ac:dyDescent="0.2">
      <c r="G1536" s="131"/>
      <c r="H1536" s="131"/>
      <c r="I1536" s="131"/>
      <c r="J1536" s="132"/>
      <c r="K1536" s="131"/>
    </row>
    <row r="1537" spans="7:11" x14ac:dyDescent="0.2">
      <c r="G1537" s="131"/>
      <c r="H1537" s="131"/>
      <c r="I1537" s="131"/>
      <c r="J1537" s="132"/>
      <c r="K1537" s="131"/>
    </row>
    <row r="1538" spans="7:11" x14ac:dyDescent="0.2">
      <c r="G1538" s="131"/>
      <c r="H1538" s="131"/>
      <c r="I1538" s="131"/>
      <c r="J1538" s="132"/>
      <c r="K1538" s="131"/>
    </row>
    <row r="1539" spans="7:11" x14ac:dyDescent="0.2">
      <c r="G1539" s="131"/>
      <c r="H1539" s="131"/>
      <c r="I1539" s="131"/>
      <c r="J1539" s="132"/>
      <c r="K1539" s="131"/>
    </row>
    <row r="1540" spans="7:11" x14ac:dyDescent="0.2">
      <c r="G1540" s="131"/>
      <c r="H1540" s="131"/>
      <c r="I1540" s="131"/>
      <c r="J1540" s="132"/>
      <c r="K1540" s="131"/>
    </row>
    <row r="1541" spans="7:11" x14ac:dyDescent="0.2">
      <c r="G1541" s="131"/>
      <c r="H1541" s="131"/>
      <c r="I1541" s="131"/>
      <c r="J1541" s="132"/>
      <c r="K1541" s="131"/>
    </row>
    <row r="1542" spans="7:11" x14ac:dyDescent="0.2">
      <c r="G1542" s="131"/>
      <c r="H1542" s="131"/>
      <c r="I1542" s="131"/>
      <c r="J1542" s="132"/>
      <c r="K1542" s="131"/>
    </row>
    <row r="1543" spans="7:11" x14ac:dyDescent="0.2">
      <c r="G1543" s="131"/>
      <c r="H1543" s="131"/>
      <c r="I1543" s="131"/>
      <c r="J1543" s="132"/>
      <c r="K1543" s="131"/>
    </row>
    <row r="1544" spans="7:11" x14ac:dyDescent="0.2">
      <c r="G1544" s="131"/>
      <c r="H1544" s="131"/>
      <c r="I1544" s="131"/>
      <c r="J1544" s="132"/>
      <c r="K1544" s="131"/>
    </row>
    <row r="1545" spans="7:11" x14ac:dyDescent="0.2">
      <c r="G1545" s="131"/>
      <c r="H1545" s="131"/>
      <c r="I1545" s="131"/>
      <c r="J1545" s="132"/>
      <c r="K1545" s="131"/>
    </row>
    <row r="1546" spans="7:11" x14ac:dyDescent="0.2">
      <c r="G1546" s="131"/>
      <c r="H1546" s="131"/>
      <c r="I1546" s="131"/>
      <c r="J1546" s="132"/>
      <c r="K1546" s="131"/>
    </row>
    <row r="1547" spans="7:11" x14ac:dyDescent="0.2">
      <c r="G1547" s="131"/>
      <c r="H1547" s="131"/>
      <c r="I1547" s="131"/>
      <c r="J1547" s="132"/>
      <c r="K1547" s="131"/>
    </row>
    <row r="1548" spans="7:11" x14ac:dyDescent="0.2">
      <c r="G1548" s="131"/>
      <c r="H1548" s="131"/>
      <c r="I1548" s="131"/>
      <c r="J1548" s="132"/>
      <c r="K1548" s="131"/>
    </row>
    <row r="1549" spans="7:11" x14ac:dyDescent="0.2">
      <c r="G1549" s="131"/>
      <c r="H1549" s="131"/>
      <c r="I1549" s="131"/>
      <c r="J1549" s="132"/>
      <c r="K1549" s="131"/>
    </row>
    <row r="1550" spans="7:11" x14ac:dyDescent="0.2">
      <c r="G1550" s="131"/>
      <c r="H1550" s="131"/>
      <c r="I1550" s="131"/>
      <c r="J1550" s="132"/>
      <c r="K1550" s="131"/>
    </row>
    <row r="1551" spans="7:11" x14ac:dyDescent="0.2">
      <c r="G1551" s="131"/>
      <c r="H1551" s="131"/>
      <c r="I1551" s="131"/>
      <c r="J1551" s="132"/>
      <c r="K1551" s="131"/>
    </row>
    <row r="1552" spans="7:11" x14ac:dyDescent="0.2">
      <c r="G1552" s="131"/>
      <c r="H1552" s="131"/>
      <c r="I1552" s="131"/>
      <c r="J1552" s="132"/>
      <c r="K1552" s="131"/>
    </row>
    <row r="1553" spans="7:11" x14ac:dyDescent="0.2">
      <c r="G1553" s="131"/>
      <c r="H1553" s="131"/>
      <c r="I1553" s="131"/>
      <c r="J1553" s="132"/>
      <c r="K1553" s="131"/>
    </row>
    <row r="1554" spans="7:11" x14ac:dyDescent="0.2">
      <c r="G1554" s="131"/>
      <c r="H1554" s="131"/>
      <c r="I1554" s="131"/>
      <c r="J1554" s="132"/>
      <c r="K1554" s="131"/>
    </row>
    <row r="1555" spans="7:11" x14ac:dyDescent="0.2">
      <c r="G1555" s="131"/>
      <c r="H1555" s="131"/>
      <c r="I1555" s="131"/>
      <c r="J1555" s="132"/>
      <c r="K1555" s="131"/>
    </row>
    <row r="1556" spans="7:11" x14ac:dyDescent="0.2">
      <c r="G1556" s="131"/>
      <c r="H1556" s="131"/>
      <c r="I1556" s="131"/>
      <c r="J1556" s="132"/>
      <c r="K1556" s="131"/>
    </row>
    <row r="1557" spans="7:11" x14ac:dyDescent="0.2">
      <c r="G1557" s="131"/>
      <c r="H1557" s="131"/>
      <c r="I1557" s="131"/>
      <c r="J1557" s="132"/>
      <c r="K1557" s="131"/>
    </row>
    <row r="1558" spans="7:11" x14ac:dyDescent="0.2">
      <c r="G1558" s="131"/>
      <c r="H1558" s="131"/>
      <c r="I1558" s="131"/>
      <c r="J1558" s="132"/>
      <c r="K1558" s="131"/>
    </row>
    <row r="1559" spans="7:11" x14ac:dyDescent="0.2">
      <c r="G1559" s="131"/>
      <c r="H1559" s="131"/>
      <c r="I1559" s="131"/>
      <c r="J1559" s="132"/>
      <c r="K1559" s="131"/>
    </row>
    <row r="1560" spans="7:11" x14ac:dyDescent="0.2">
      <c r="G1560" s="131"/>
      <c r="H1560" s="131"/>
      <c r="I1560" s="131"/>
      <c r="J1560" s="132"/>
      <c r="K1560" s="131"/>
    </row>
    <row r="1561" spans="7:11" x14ac:dyDescent="0.2">
      <c r="G1561" s="131"/>
      <c r="H1561" s="131"/>
      <c r="I1561" s="131"/>
      <c r="J1561" s="132"/>
      <c r="K1561" s="131"/>
    </row>
    <row r="1562" spans="7:11" x14ac:dyDescent="0.2">
      <c r="G1562" s="131"/>
      <c r="H1562" s="131"/>
      <c r="I1562" s="131"/>
      <c r="J1562" s="132"/>
      <c r="K1562" s="131"/>
    </row>
    <row r="1563" spans="7:11" x14ac:dyDescent="0.2">
      <c r="G1563" s="131"/>
      <c r="H1563" s="131"/>
      <c r="I1563" s="131"/>
      <c r="J1563" s="132"/>
      <c r="K1563" s="131"/>
    </row>
    <row r="1564" spans="7:11" x14ac:dyDescent="0.2">
      <c r="G1564" s="131"/>
      <c r="H1564" s="131"/>
      <c r="I1564" s="131"/>
      <c r="J1564" s="132"/>
      <c r="K1564" s="131"/>
    </row>
    <row r="1565" spans="7:11" x14ac:dyDescent="0.2">
      <c r="G1565" s="131"/>
      <c r="H1565" s="131"/>
      <c r="I1565" s="131"/>
      <c r="J1565" s="132"/>
      <c r="K1565" s="131"/>
    </row>
    <row r="1566" spans="7:11" x14ac:dyDescent="0.2">
      <c r="G1566" s="131"/>
      <c r="H1566" s="131"/>
      <c r="I1566" s="131"/>
      <c r="J1566" s="132"/>
      <c r="K1566" s="131"/>
    </row>
    <row r="1567" spans="7:11" x14ac:dyDescent="0.2">
      <c r="G1567" s="131"/>
      <c r="H1567" s="131"/>
      <c r="I1567" s="131"/>
      <c r="J1567" s="132"/>
      <c r="K1567" s="131"/>
    </row>
    <row r="1568" spans="7:11" x14ac:dyDescent="0.2">
      <c r="G1568" s="131"/>
      <c r="H1568" s="131"/>
      <c r="I1568" s="131"/>
      <c r="J1568" s="132"/>
      <c r="K1568" s="131"/>
    </row>
    <row r="1569" spans="7:11" x14ac:dyDescent="0.2">
      <c r="G1569" s="131"/>
      <c r="H1569" s="131"/>
      <c r="I1569" s="131"/>
      <c r="J1569" s="132"/>
      <c r="K1569" s="131"/>
    </row>
    <row r="1570" spans="7:11" x14ac:dyDescent="0.2">
      <c r="G1570" s="131"/>
      <c r="H1570" s="131"/>
      <c r="I1570" s="131"/>
      <c r="J1570" s="132"/>
      <c r="K1570" s="131"/>
    </row>
    <row r="1571" spans="7:11" x14ac:dyDescent="0.2">
      <c r="G1571" s="131"/>
      <c r="H1571" s="131"/>
      <c r="I1571" s="131"/>
      <c r="J1571" s="132"/>
      <c r="K1571" s="131"/>
    </row>
    <row r="1572" spans="7:11" x14ac:dyDescent="0.2">
      <c r="G1572" s="131"/>
      <c r="H1572" s="131"/>
      <c r="I1572" s="131"/>
      <c r="J1572" s="132"/>
      <c r="K1572" s="131"/>
    </row>
    <row r="1573" spans="7:11" x14ac:dyDescent="0.2">
      <c r="G1573" s="131"/>
      <c r="H1573" s="131"/>
      <c r="I1573" s="131"/>
      <c r="J1573" s="132"/>
      <c r="K1573" s="131"/>
    </row>
    <row r="1574" spans="7:11" x14ac:dyDescent="0.2">
      <c r="G1574" s="131"/>
      <c r="H1574" s="131"/>
      <c r="I1574" s="131"/>
      <c r="J1574" s="132"/>
      <c r="K1574" s="131"/>
    </row>
    <row r="1575" spans="7:11" x14ac:dyDescent="0.2">
      <c r="G1575" s="131"/>
      <c r="H1575" s="131"/>
      <c r="I1575" s="131"/>
      <c r="J1575" s="132"/>
      <c r="K1575" s="131"/>
    </row>
    <row r="1576" spans="7:11" x14ac:dyDescent="0.2">
      <c r="G1576" s="131"/>
      <c r="H1576" s="131"/>
      <c r="I1576" s="131"/>
      <c r="J1576" s="132"/>
      <c r="K1576" s="131"/>
    </row>
    <row r="1577" spans="7:11" x14ac:dyDescent="0.2">
      <c r="G1577" s="131"/>
      <c r="H1577" s="131"/>
      <c r="I1577" s="131"/>
      <c r="J1577" s="132"/>
      <c r="K1577" s="131"/>
    </row>
    <row r="1578" spans="7:11" x14ac:dyDescent="0.2">
      <c r="G1578" s="131"/>
      <c r="H1578" s="131"/>
      <c r="I1578" s="131"/>
      <c r="J1578" s="132"/>
      <c r="K1578" s="131"/>
    </row>
    <row r="1579" spans="7:11" x14ac:dyDescent="0.2">
      <c r="G1579" s="131"/>
      <c r="H1579" s="131"/>
      <c r="I1579" s="131"/>
      <c r="J1579" s="132"/>
      <c r="K1579" s="131"/>
    </row>
    <row r="1580" spans="7:11" x14ac:dyDescent="0.2">
      <c r="G1580" s="131"/>
      <c r="H1580" s="131"/>
      <c r="I1580" s="131"/>
      <c r="J1580" s="132"/>
      <c r="K1580" s="131"/>
    </row>
    <row r="1581" spans="7:11" x14ac:dyDescent="0.2">
      <c r="G1581" s="131"/>
      <c r="H1581" s="131"/>
      <c r="I1581" s="131"/>
      <c r="J1581" s="132"/>
      <c r="K1581" s="131"/>
    </row>
    <row r="1582" spans="7:11" x14ac:dyDescent="0.2">
      <c r="G1582" s="131"/>
      <c r="H1582" s="131"/>
      <c r="I1582" s="131"/>
      <c r="J1582" s="132"/>
      <c r="K1582" s="131"/>
    </row>
    <row r="1583" spans="7:11" x14ac:dyDescent="0.2">
      <c r="G1583" s="131"/>
      <c r="H1583" s="131"/>
      <c r="I1583" s="131"/>
      <c r="J1583" s="132"/>
      <c r="K1583" s="131"/>
    </row>
    <row r="1584" spans="7:11" x14ac:dyDescent="0.2">
      <c r="G1584" s="131"/>
      <c r="H1584" s="131"/>
      <c r="I1584" s="131"/>
      <c r="J1584" s="132"/>
      <c r="K1584" s="131"/>
    </row>
    <row r="1585" spans="7:11" x14ac:dyDescent="0.2">
      <c r="G1585" s="131"/>
      <c r="H1585" s="131"/>
      <c r="I1585" s="131"/>
      <c r="J1585" s="132"/>
      <c r="K1585" s="131"/>
    </row>
    <row r="1586" spans="7:11" x14ac:dyDescent="0.2">
      <c r="G1586" s="131"/>
      <c r="H1586" s="131"/>
      <c r="I1586" s="131"/>
      <c r="J1586" s="132"/>
      <c r="K1586" s="131"/>
    </row>
    <row r="1587" spans="7:11" x14ac:dyDescent="0.2">
      <c r="G1587" s="131"/>
      <c r="H1587" s="131"/>
      <c r="I1587" s="131"/>
      <c r="J1587" s="132"/>
      <c r="K1587" s="131"/>
    </row>
    <row r="1588" spans="7:11" x14ac:dyDescent="0.2">
      <c r="G1588" s="131"/>
      <c r="H1588" s="131"/>
      <c r="I1588" s="131"/>
      <c r="J1588" s="132"/>
      <c r="K1588" s="131"/>
    </row>
    <row r="1589" spans="7:11" x14ac:dyDescent="0.2">
      <c r="G1589" s="131"/>
      <c r="H1589" s="131"/>
      <c r="I1589" s="131"/>
      <c r="J1589" s="132"/>
      <c r="K1589" s="131"/>
    </row>
    <row r="1590" spans="7:11" x14ac:dyDescent="0.2">
      <c r="G1590" s="131"/>
      <c r="H1590" s="131"/>
      <c r="I1590" s="131"/>
      <c r="J1590" s="132"/>
      <c r="K1590" s="131"/>
    </row>
    <row r="1591" spans="7:11" x14ac:dyDescent="0.2">
      <c r="G1591" s="131"/>
      <c r="H1591" s="131"/>
      <c r="I1591" s="131"/>
      <c r="J1591" s="132"/>
      <c r="K1591" s="131"/>
    </row>
    <row r="1592" spans="7:11" x14ac:dyDescent="0.2">
      <c r="G1592" s="131"/>
      <c r="H1592" s="131"/>
      <c r="I1592" s="131"/>
      <c r="J1592" s="132"/>
      <c r="K1592" s="131"/>
    </row>
    <row r="1593" spans="7:11" x14ac:dyDescent="0.2">
      <c r="G1593" s="131"/>
      <c r="H1593" s="131"/>
      <c r="I1593" s="131"/>
      <c r="J1593" s="132"/>
      <c r="K1593" s="131"/>
    </row>
    <row r="1594" spans="7:11" x14ac:dyDescent="0.2">
      <c r="G1594" s="131"/>
      <c r="H1594" s="131"/>
      <c r="I1594" s="131"/>
      <c r="J1594" s="132"/>
      <c r="K1594" s="131"/>
    </row>
    <row r="1595" spans="7:11" x14ac:dyDescent="0.2">
      <c r="G1595" s="131"/>
      <c r="H1595" s="131"/>
      <c r="I1595" s="131"/>
      <c r="J1595" s="132"/>
      <c r="K1595" s="131"/>
    </row>
    <row r="1596" spans="7:11" x14ac:dyDescent="0.2">
      <c r="G1596" s="131"/>
      <c r="H1596" s="131"/>
      <c r="I1596" s="131"/>
      <c r="J1596" s="132"/>
      <c r="K1596" s="131"/>
    </row>
    <row r="1597" spans="7:11" x14ac:dyDescent="0.2">
      <c r="G1597" s="131"/>
      <c r="H1597" s="131"/>
      <c r="I1597" s="131"/>
      <c r="J1597" s="132"/>
      <c r="K1597" s="131"/>
    </row>
    <row r="1598" spans="7:11" x14ac:dyDescent="0.2">
      <c r="G1598" s="131"/>
      <c r="H1598" s="131"/>
      <c r="I1598" s="131"/>
      <c r="J1598" s="132"/>
      <c r="K1598" s="131"/>
    </row>
    <row r="1599" spans="7:11" x14ac:dyDescent="0.2">
      <c r="G1599" s="131"/>
      <c r="H1599" s="131"/>
      <c r="I1599" s="131"/>
      <c r="J1599" s="132"/>
      <c r="K1599" s="131"/>
    </row>
    <row r="1600" spans="7:11" x14ac:dyDescent="0.2">
      <c r="G1600" s="131"/>
      <c r="H1600" s="131"/>
      <c r="I1600" s="131"/>
      <c r="J1600" s="132"/>
      <c r="K1600" s="131"/>
    </row>
    <row r="1601" spans="7:11" x14ac:dyDescent="0.2">
      <c r="G1601" s="131"/>
      <c r="H1601" s="131"/>
      <c r="I1601" s="131"/>
      <c r="J1601" s="132"/>
      <c r="K1601" s="131"/>
    </row>
    <row r="1602" spans="7:11" x14ac:dyDescent="0.2">
      <c r="G1602" s="131"/>
      <c r="H1602" s="131"/>
      <c r="I1602" s="131"/>
      <c r="J1602" s="132"/>
      <c r="K1602" s="131"/>
    </row>
    <row r="1603" spans="7:11" x14ac:dyDescent="0.2">
      <c r="G1603" s="131"/>
      <c r="H1603" s="131"/>
      <c r="I1603" s="131"/>
      <c r="J1603" s="132"/>
      <c r="K1603" s="131"/>
    </row>
    <row r="1604" spans="7:11" x14ac:dyDescent="0.2">
      <c r="G1604" s="131"/>
      <c r="H1604" s="131"/>
      <c r="I1604" s="131"/>
      <c r="J1604" s="132"/>
      <c r="K1604" s="131"/>
    </row>
    <row r="1605" spans="7:11" x14ac:dyDescent="0.2">
      <c r="G1605" s="131"/>
      <c r="H1605" s="131"/>
      <c r="I1605" s="131"/>
      <c r="J1605" s="132"/>
      <c r="K1605" s="131"/>
    </row>
    <row r="1606" spans="7:11" x14ac:dyDescent="0.2">
      <c r="G1606" s="131"/>
      <c r="H1606" s="131"/>
      <c r="I1606" s="131"/>
      <c r="J1606" s="132"/>
      <c r="K1606" s="131"/>
    </row>
    <row r="1607" spans="7:11" x14ac:dyDescent="0.2">
      <c r="G1607" s="131"/>
      <c r="H1607" s="131"/>
      <c r="I1607" s="131"/>
      <c r="J1607" s="132"/>
      <c r="K1607" s="131"/>
    </row>
    <row r="1608" spans="7:11" x14ac:dyDescent="0.2">
      <c r="G1608" s="131"/>
      <c r="H1608" s="131"/>
      <c r="I1608" s="131"/>
      <c r="J1608" s="132"/>
      <c r="K1608" s="131"/>
    </row>
    <row r="1609" spans="7:11" x14ac:dyDescent="0.2">
      <c r="G1609" s="131"/>
      <c r="H1609" s="131"/>
      <c r="I1609" s="131"/>
      <c r="J1609" s="132"/>
      <c r="K1609" s="131"/>
    </row>
    <row r="1610" spans="7:11" x14ac:dyDescent="0.2">
      <c r="G1610" s="131"/>
      <c r="H1610" s="131"/>
      <c r="I1610" s="131"/>
      <c r="J1610" s="132"/>
      <c r="K1610" s="131"/>
    </row>
    <row r="1611" spans="7:11" x14ac:dyDescent="0.2">
      <c r="G1611" s="131"/>
      <c r="H1611" s="131"/>
      <c r="I1611" s="131"/>
      <c r="J1611" s="132"/>
      <c r="K1611" s="131"/>
    </row>
    <row r="1612" spans="7:11" x14ac:dyDescent="0.2">
      <c r="G1612" s="131"/>
      <c r="H1612" s="131"/>
      <c r="I1612" s="131"/>
      <c r="J1612" s="132"/>
      <c r="K1612" s="131"/>
    </row>
    <row r="1613" spans="7:11" x14ac:dyDescent="0.2">
      <c r="G1613" s="131"/>
      <c r="H1613" s="131"/>
      <c r="I1613" s="131"/>
      <c r="J1613" s="132"/>
      <c r="K1613" s="131"/>
    </row>
    <row r="1614" spans="7:11" x14ac:dyDescent="0.2">
      <c r="G1614" s="131"/>
      <c r="H1614" s="131"/>
      <c r="I1614" s="131"/>
      <c r="J1614" s="132"/>
      <c r="K1614" s="131"/>
    </row>
    <row r="1615" spans="7:11" x14ac:dyDescent="0.2">
      <c r="G1615" s="131"/>
      <c r="H1615" s="131"/>
      <c r="I1615" s="131"/>
      <c r="J1615" s="132"/>
      <c r="K1615" s="131"/>
    </row>
    <row r="1616" spans="7:11" x14ac:dyDescent="0.2">
      <c r="G1616" s="131"/>
      <c r="H1616" s="131"/>
      <c r="I1616" s="131"/>
      <c r="J1616" s="132"/>
      <c r="K1616" s="131"/>
    </row>
    <row r="1617" spans="7:11" x14ac:dyDescent="0.2">
      <c r="G1617" s="131"/>
      <c r="H1617" s="131"/>
      <c r="I1617" s="131"/>
      <c r="J1617" s="132"/>
      <c r="K1617" s="131"/>
    </row>
    <row r="1618" spans="7:11" x14ac:dyDescent="0.2">
      <c r="G1618" s="131"/>
      <c r="H1618" s="131"/>
      <c r="I1618" s="131"/>
      <c r="J1618" s="132"/>
      <c r="K1618" s="131"/>
    </row>
    <row r="1619" spans="7:11" x14ac:dyDescent="0.2">
      <c r="G1619" s="131"/>
      <c r="H1619" s="131"/>
      <c r="I1619" s="131"/>
      <c r="J1619" s="132"/>
      <c r="K1619" s="131"/>
    </row>
    <row r="1620" spans="7:11" x14ac:dyDescent="0.2">
      <c r="G1620" s="131"/>
      <c r="H1620" s="131"/>
      <c r="I1620" s="131"/>
      <c r="J1620" s="132"/>
      <c r="K1620" s="131"/>
    </row>
    <row r="1621" spans="7:11" x14ac:dyDescent="0.2">
      <c r="G1621" s="131"/>
      <c r="H1621" s="131"/>
      <c r="I1621" s="131"/>
      <c r="J1621" s="132"/>
      <c r="K1621" s="131"/>
    </row>
    <row r="1622" spans="7:11" x14ac:dyDescent="0.2">
      <c r="G1622" s="131"/>
      <c r="H1622" s="131"/>
      <c r="I1622" s="131"/>
      <c r="J1622" s="132"/>
      <c r="K1622" s="131"/>
    </row>
    <row r="1623" spans="7:11" x14ac:dyDescent="0.2">
      <c r="G1623" s="131"/>
      <c r="H1623" s="131"/>
      <c r="I1623" s="131"/>
      <c r="J1623" s="132"/>
      <c r="K1623" s="131"/>
    </row>
    <row r="1624" spans="7:11" x14ac:dyDescent="0.2">
      <c r="G1624" s="131"/>
      <c r="H1624" s="131"/>
      <c r="I1624" s="131"/>
      <c r="J1624" s="132"/>
      <c r="K1624" s="131"/>
    </row>
    <row r="1625" spans="7:11" x14ac:dyDescent="0.2">
      <c r="G1625" s="131"/>
      <c r="H1625" s="131"/>
      <c r="I1625" s="131"/>
      <c r="J1625" s="132"/>
      <c r="K1625" s="131"/>
    </row>
    <row r="1626" spans="7:11" x14ac:dyDescent="0.2">
      <c r="G1626" s="131"/>
      <c r="H1626" s="131"/>
      <c r="I1626" s="131"/>
      <c r="J1626" s="132"/>
      <c r="K1626" s="131"/>
    </row>
    <row r="1627" spans="7:11" x14ac:dyDescent="0.2">
      <c r="G1627" s="131"/>
      <c r="H1627" s="131"/>
      <c r="I1627" s="131"/>
      <c r="J1627" s="132"/>
      <c r="K1627" s="131"/>
    </row>
    <row r="1628" spans="7:11" x14ac:dyDescent="0.2">
      <c r="G1628" s="131"/>
      <c r="H1628" s="131"/>
      <c r="I1628" s="131"/>
      <c r="J1628" s="132"/>
      <c r="K1628" s="131"/>
    </row>
    <row r="1629" spans="7:11" x14ac:dyDescent="0.2">
      <c r="G1629" s="131"/>
      <c r="H1629" s="131"/>
      <c r="I1629" s="131"/>
      <c r="J1629" s="132"/>
      <c r="K1629" s="131"/>
    </row>
    <row r="1630" spans="7:11" x14ac:dyDescent="0.2">
      <c r="G1630" s="131"/>
      <c r="H1630" s="131"/>
      <c r="I1630" s="131"/>
      <c r="J1630" s="132"/>
      <c r="K1630" s="131"/>
    </row>
    <row r="1631" spans="7:11" x14ac:dyDescent="0.2">
      <c r="G1631" s="131"/>
      <c r="H1631" s="131"/>
      <c r="I1631" s="131"/>
      <c r="J1631" s="132"/>
      <c r="K1631" s="131"/>
    </row>
    <row r="1632" spans="7:11" x14ac:dyDescent="0.2">
      <c r="G1632" s="131"/>
      <c r="H1632" s="131"/>
      <c r="I1632" s="131"/>
      <c r="J1632" s="132"/>
      <c r="K1632" s="131"/>
    </row>
    <row r="1633" spans="7:11" x14ac:dyDescent="0.2">
      <c r="G1633" s="131"/>
      <c r="H1633" s="131"/>
      <c r="I1633" s="131"/>
      <c r="J1633" s="132"/>
      <c r="K1633" s="131"/>
    </row>
    <row r="1634" spans="7:11" x14ac:dyDescent="0.2">
      <c r="G1634" s="131"/>
      <c r="H1634" s="131"/>
      <c r="I1634" s="131"/>
      <c r="J1634" s="132"/>
      <c r="K1634" s="131"/>
    </row>
    <row r="1635" spans="7:11" x14ac:dyDescent="0.2">
      <c r="G1635" s="131"/>
      <c r="H1635" s="131"/>
      <c r="I1635" s="131"/>
      <c r="J1635" s="132"/>
      <c r="K1635" s="131"/>
    </row>
    <row r="1636" spans="7:11" x14ac:dyDescent="0.2">
      <c r="G1636" s="131"/>
      <c r="H1636" s="131"/>
      <c r="I1636" s="131"/>
      <c r="J1636" s="132"/>
      <c r="K1636" s="131"/>
    </row>
    <row r="1637" spans="7:11" x14ac:dyDescent="0.2">
      <c r="G1637" s="131"/>
      <c r="H1637" s="131"/>
      <c r="I1637" s="131"/>
      <c r="J1637" s="132"/>
      <c r="K1637" s="131"/>
    </row>
    <row r="1638" spans="7:11" x14ac:dyDescent="0.2">
      <c r="G1638" s="131"/>
      <c r="H1638" s="131"/>
      <c r="I1638" s="131"/>
      <c r="J1638" s="132"/>
      <c r="K1638" s="131"/>
    </row>
    <row r="1639" spans="7:11" x14ac:dyDescent="0.2">
      <c r="G1639" s="131"/>
      <c r="H1639" s="131"/>
      <c r="I1639" s="131"/>
      <c r="J1639" s="132"/>
      <c r="K1639" s="131"/>
    </row>
    <row r="1640" spans="7:11" x14ac:dyDescent="0.2">
      <c r="G1640" s="131"/>
      <c r="H1640" s="131"/>
      <c r="I1640" s="131"/>
      <c r="J1640" s="132"/>
      <c r="K1640" s="131"/>
    </row>
    <row r="1641" spans="7:11" x14ac:dyDescent="0.2">
      <c r="G1641" s="131"/>
      <c r="H1641" s="131"/>
      <c r="I1641" s="131"/>
      <c r="J1641" s="132"/>
      <c r="K1641" s="131"/>
    </row>
    <row r="1642" spans="7:11" x14ac:dyDescent="0.2">
      <c r="G1642" s="131"/>
      <c r="H1642" s="131"/>
      <c r="I1642" s="131"/>
      <c r="J1642" s="132"/>
      <c r="K1642" s="131"/>
    </row>
    <row r="1643" spans="7:11" x14ac:dyDescent="0.2">
      <c r="G1643" s="131"/>
      <c r="H1643" s="131"/>
      <c r="I1643" s="131"/>
      <c r="J1643" s="132"/>
      <c r="K1643" s="131"/>
    </row>
    <row r="1644" spans="7:11" x14ac:dyDescent="0.2">
      <c r="G1644" s="131"/>
      <c r="H1644" s="131"/>
      <c r="I1644" s="131"/>
      <c r="J1644" s="132"/>
      <c r="K1644" s="131"/>
    </row>
    <row r="1645" spans="7:11" x14ac:dyDescent="0.2">
      <c r="G1645" s="131"/>
      <c r="H1645" s="131"/>
      <c r="I1645" s="131"/>
      <c r="J1645" s="132"/>
      <c r="K1645" s="131"/>
    </row>
    <row r="1646" spans="7:11" x14ac:dyDescent="0.2">
      <c r="G1646" s="131"/>
      <c r="H1646" s="131"/>
      <c r="I1646" s="131"/>
      <c r="J1646" s="132"/>
      <c r="K1646" s="131"/>
    </row>
    <row r="1647" spans="7:11" x14ac:dyDescent="0.2">
      <c r="G1647" s="131"/>
      <c r="H1647" s="131"/>
      <c r="I1647" s="131"/>
      <c r="J1647" s="132"/>
      <c r="K1647" s="131"/>
    </row>
    <row r="1648" spans="7:11" x14ac:dyDescent="0.2">
      <c r="G1648" s="131"/>
      <c r="H1648" s="131"/>
      <c r="I1648" s="131"/>
      <c r="J1648" s="132"/>
      <c r="K1648" s="131"/>
    </row>
    <row r="1649" spans="7:11" x14ac:dyDescent="0.2">
      <c r="G1649" s="131"/>
      <c r="H1649" s="131"/>
      <c r="I1649" s="131"/>
      <c r="J1649" s="132"/>
      <c r="K1649" s="131"/>
    </row>
    <row r="1650" spans="7:11" x14ac:dyDescent="0.2">
      <c r="G1650" s="131"/>
      <c r="H1650" s="131"/>
      <c r="I1650" s="131"/>
      <c r="J1650" s="132"/>
      <c r="K1650" s="131"/>
    </row>
    <row r="1651" spans="7:11" x14ac:dyDescent="0.2">
      <c r="G1651" s="131"/>
      <c r="H1651" s="131"/>
      <c r="I1651" s="131"/>
      <c r="J1651" s="132"/>
      <c r="K1651" s="131"/>
    </row>
    <row r="1652" spans="7:11" x14ac:dyDescent="0.2">
      <c r="G1652" s="131"/>
      <c r="H1652" s="131"/>
      <c r="I1652" s="131"/>
      <c r="J1652" s="132"/>
      <c r="K1652" s="131"/>
    </row>
    <row r="1653" spans="7:11" x14ac:dyDescent="0.2">
      <c r="G1653" s="131"/>
      <c r="H1653" s="131"/>
      <c r="I1653" s="131"/>
      <c r="J1653" s="132"/>
      <c r="K1653" s="131"/>
    </row>
    <row r="1654" spans="7:11" x14ac:dyDescent="0.2">
      <c r="G1654" s="131"/>
      <c r="H1654" s="131"/>
      <c r="I1654" s="131"/>
      <c r="J1654" s="132"/>
      <c r="K1654" s="131"/>
    </row>
    <row r="1655" spans="7:11" x14ac:dyDescent="0.2">
      <c r="G1655" s="131"/>
      <c r="H1655" s="131"/>
      <c r="I1655" s="131"/>
      <c r="J1655" s="132"/>
      <c r="K1655" s="131"/>
    </row>
    <row r="1656" spans="7:11" x14ac:dyDescent="0.2">
      <c r="G1656" s="131"/>
      <c r="H1656" s="131"/>
      <c r="I1656" s="131"/>
      <c r="J1656" s="132"/>
      <c r="K1656" s="131"/>
    </row>
    <row r="1657" spans="7:11" x14ac:dyDescent="0.2">
      <c r="G1657" s="131"/>
      <c r="H1657" s="131"/>
      <c r="I1657" s="131"/>
      <c r="J1657" s="132"/>
      <c r="K1657" s="131"/>
    </row>
    <row r="1658" spans="7:11" x14ac:dyDescent="0.2">
      <c r="G1658" s="131"/>
      <c r="H1658" s="131"/>
      <c r="I1658" s="131"/>
      <c r="J1658" s="132"/>
      <c r="K1658" s="131"/>
    </row>
    <row r="1659" spans="7:11" x14ac:dyDescent="0.2">
      <c r="G1659" s="131"/>
      <c r="H1659" s="131"/>
      <c r="I1659" s="131"/>
      <c r="J1659" s="132"/>
      <c r="K1659" s="131"/>
    </row>
    <row r="1660" spans="7:11" x14ac:dyDescent="0.2">
      <c r="G1660" s="131"/>
      <c r="H1660" s="131"/>
      <c r="I1660" s="131"/>
      <c r="J1660" s="132"/>
      <c r="K1660" s="131"/>
    </row>
    <row r="1661" spans="7:11" x14ac:dyDescent="0.2">
      <c r="G1661" s="131"/>
      <c r="H1661" s="131"/>
      <c r="I1661" s="131"/>
      <c r="J1661" s="132"/>
      <c r="K1661" s="131"/>
    </row>
    <row r="1662" spans="7:11" x14ac:dyDescent="0.2">
      <c r="G1662" s="131"/>
      <c r="H1662" s="131"/>
      <c r="I1662" s="131"/>
      <c r="J1662" s="132"/>
      <c r="K1662" s="131"/>
    </row>
    <row r="1663" spans="7:11" x14ac:dyDescent="0.2">
      <c r="G1663" s="131"/>
      <c r="H1663" s="131"/>
      <c r="I1663" s="131"/>
      <c r="J1663" s="132"/>
      <c r="K1663" s="131"/>
    </row>
    <row r="1664" spans="7:11" x14ac:dyDescent="0.2">
      <c r="G1664" s="131"/>
      <c r="H1664" s="131"/>
      <c r="I1664" s="131"/>
      <c r="J1664" s="132"/>
      <c r="K1664" s="131"/>
    </row>
    <row r="1665" spans="7:11" x14ac:dyDescent="0.2">
      <c r="G1665" s="131"/>
      <c r="H1665" s="131"/>
      <c r="I1665" s="131"/>
      <c r="J1665" s="132"/>
      <c r="K1665" s="131"/>
    </row>
    <row r="1666" spans="7:11" x14ac:dyDescent="0.2">
      <c r="G1666" s="131"/>
      <c r="H1666" s="131"/>
      <c r="I1666" s="131"/>
      <c r="J1666" s="132"/>
      <c r="K1666" s="131"/>
    </row>
    <row r="1667" spans="7:11" x14ac:dyDescent="0.2">
      <c r="G1667" s="131"/>
      <c r="H1667" s="131"/>
      <c r="I1667" s="131"/>
      <c r="J1667" s="132"/>
      <c r="K1667" s="131"/>
    </row>
    <row r="1668" spans="7:11" x14ac:dyDescent="0.2">
      <c r="G1668" s="131"/>
      <c r="H1668" s="131"/>
      <c r="I1668" s="131"/>
      <c r="J1668" s="132"/>
      <c r="K1668" s="131"/>
    </row>
    <row r="1669" spans="7:11" x14ac:dyDescent="0.2">
      <c r="G1669" s="131"/>
      <c r="H1669" s="131"/>
      <c r="I1669" s="131"/>
      <c r="J1669" s="132"/>
      <c r="K1669" s="131"/>
    </row>
    <row r="1670" spans="7:11" x14ac:dyDescent="0.2">
      <c r="G1670" s="131"/>
      <c r="H1670" s="131"/>
      <c r="I1670" s="131"/>
      <c r="J1670" s="132"/>
      <c r="K1670" s="131"/>
    </row>
    <row r="1671" spans="7:11" x14ac:dyDescent="0.2">
      <c r="G1671" s="131"/>
      <c r="H1671" s="131"/>
      <c r="I1671" s="131"/>
      <c r="J1671" s="132"/>
      <c r="K1671" s="131"/>
    </row>
    <row r="1672" spans="7:11" x14ac:dyDescent="0.2">
      <c r="G1672" s="131"/>
      <c r="H1672" s="131"/>
      <c r="I1672" s="131"/>
      <c r="J1672" s="132"/>
      <c r="K1672" s="131"/>
    </row>
    <row r="1673" spans="7:11" x14ac:dyDescent="0.2">
      <c r="G1673" s="131"/>
      <c r="H1673" s="131"/>
      <c r="I1673" s="131"/>
      <c r="J1673" s="132"/>
      <c r="K1673" s="131"/>
    </row>
    <row r="1674" spans="7:11" x14ac:dyDescent="0.2">
      <c r="G1674" s="131"/>
      <c r="H1674" s="131"/>
      <c r="I1674" s="131"/>
      <c r="J1674" s="132"/>
      <c r="K1674" s="131"/>
    </row>
    <row r="1675" spans="7:11" x14ac:dyDescent="0.2">
      <c r="G1675" s="131"/>
      <c r="H1675" s="131"/>
      <c r="I1675" s="131"/>
      <c r="J1675" s="132"/>
      <c r="K1675" s="131"/>
    </row>
    <row r="1676" spans="7:11" x14ac:dyDescent="0.2">
      <c r="G1676" s="131"/>
      <c r="H1676" s="131"/>
      <c r="I1676" s="131"/>
      <c r="J1676" s="132"/>
      <c r="K1676" s="131"/>
    </row>
    <row r="1677" spans="7:11" x14ac:dyDescent="0.2">
      <c r="G1677" s="131"/>
      <c r="H1677" s="131"/>
      <c r="I1677" s="131"/>
      <c r="J1677" s="132"/>
      <c r="K1677" s="131"/>
    </row>
    <row r="1678" spans="7:11" x14ac:dyDescent="0.2">
      <c r="G1678" s="131"/>
      <c r="H1678" s="131"/>
      <c r="I1678" s="131"/>
      <c r="J1678" s="132"/>
      <c r="K1678" s="131"/>
    </row>
    <row r="1679" spans="7:11" x14ac:dyDescent="0.2">
      <c r="G1679" s="131"/>
      <c r="H1679" s="131"/>
      <c r="I1679" s="131"/>
      <c r="J1679" s="132"/>
      <c r="K1679" s="131"/>
    </row>
    <row r="1680" spans="7:11" x14ac:dyDescent="0.2">
      <c r="G1680" s="131"/>
      <c r="H1680" s="131"/>
      <c r="I1680" s="131"/>
      <c r="J1680" s="132"/>
      <c r="K1680" s="131"/>
    </row>
    <row r="1681" spans="7:11" x14ac:dyDescent="0.2">
      <c r="G1681" s="131"/>
      <c r="H1681" s="131"/>
      <c r="I1681" s="131"/>
      <c r="J1681" s="132"/>
      <c r="K1681" s="131"/>
    </row>
    <row r="1682" spans="7:11" x14ac:dyDescent="0.2">
      <c r="G1682" s="131"/>
      <c r="H1682" s="131"/>
      <c r="I1682" s="131"/>
      <c r="J1682" s="132"/>
      <c r="K1682" s="131"/>
    </row>
    <row r="1683" spans="7:11" x14ac:dyDescent="0.2">
      <c r="G1683" s="131"/>
      <c r="H1683" s="131"/>
      <c r="I1683" s="131"/>
      <c r="J1683" s="132"/>
      <c r="K1683" s="131"/>
    </row>
    <row r="1684" spans="7:11" x14ac:dyDescent="0.2">
      <c r="G1684" s="131"/>
      <c r="H1684" s="131"/>
      <c r="I1684" s="131"/>
      <c r="J1684" s="132"/>
      <c r="K1684" s="131"/>
    </row>
    <row r="1685" spans="7:11" x14ac:dyDescent="0.2">
      <c r="G1685" s="131"/>
      <c r="H1685" s="131"/>
      <c r="I1685" s="131"/>
      <c r="J1685" s="132"/>
      <c r="K1685" s="131"/>
    </row>
    <row r="1686" spans="7:11" x14ac:dyDescent="0.2">
      <c r="G1686" s="131"/>
      <c r="H1686" s="131"/>
      <c r="I1686" s="131"/>
      <c r="J1686" s="132"/>
      <c r="K1686" s="131"/>
    </row>
    <row r="1687" spans="7:11" x14ac:dyDescent="0.2">
      <c r="G1687" s="131"/>
      <c r="H1687" s="131"/>
      <c r="I1687" s="131"/>
      <c r="J1687" s="132"/>
      <c r="K1687" s="131"/>
    </row>
    <row r="1688" spans="7:11" x14ac:dyDescent="0.2">
      <c r="G1688" s="131"/>
      <c r="H1688" s="131"/>
      <c r="I1688" s="131"/>
      <c r="J1688" s="132"/>
      <c r="K1688" s="131"/>
    </row>
    <row r="1689" spans="7:11" x14ac:dyDescent="0.2">
      <c r="G1689" s="131"/>
      <c r="H1689" s="131"/>
      <c r="I1689" s="131"/>
      <c r="J1689" s="132"/>
      <c r="K1689" s="131"/>
    </row>
    <row r="1690" spans="7:11" x14ac:dyDescent="0.2">
      <c r="G1690" s="131"/>
      <c r="H1690" s="131"/>
      <c r="I1690" s="131"/>
      <c r="J1690" s="132"/>
      <c r="K1690" s="131"/>
    </row>
    <row r="1691" spans="7:11" x14ac:dyDescent="0.2">
      <c r="G1691" s="131"/>
      <c r="H1691" s="131"/>
      <c r="I1691" s="131"/>
      <c r="J1691" s="132"/>
      <c r="K1691" s="131"/>
    </row>
    <row r="1692" spans="7:11" x14ac:dyDescent="0.2">
      <c r="G1692" s="131"/>
      <c r="H1692" s="131"/>
      <c r="I1692" s="131"/>
      <c r="J1692" s="132"/>
      <c r="K1692" s="131"/>
    </row>
    <row r="1693" spans="7:11" x14ac:dyDescent="0.2">
      <c r="G1693" s="131"/>
      <c r="H1693" s="131"/>
      <c r="I1693" s="131"/>
      <c r="J1693" s="132"/>
      <c r="K1693" s="131"/>
    </row>
    <row r="1694" spans="7:11" x14ac:dyDescent="0.2">
      <c r="G1694" s="131"/>
      <c r="H1694" s="131"/>
      <c r="I1694" s="131"/>
      <c r="J1694" s="132"/>
      <c r="K1694" s="131"/>
    </row>
    <row r="1695" spans="7:11" x14ac:dyDescent="0.2">
      <c r="G1695" s="131"/>
      <c r="H1695" s="131"/>
      <c r="I1695" s="131"/>
      <c r="J1695" s="132"/>
      <c r="K1695" s="131"/>
    </row>
    <row r="1696" spans="7:11" x14ac:dyDescent="0.2">
      <c r="G1696" s="131"/>
      <c r="H1696" s="131"/>
      <c r="I1696" s="131"/>
      <c r="J1696" s="132"/>
      <c r="K1696" s="131"/>
    </row>
    <row r="1697" spans="7:11" x14ac:dyDescent="0.2">
      <c r="G1697" s="131"/>
      <c r="H1697" s="131"/>
      <c r="I1697" s="131"/>
      <c r="J1697" s="132"/>
      <c r="K1697" s="131"/>
    </row>
    <row r="1698" spans="7:11" x14ac:dyDescent="0.2">
      <c r="G1698" s="131"/>
      <c r="H1698" s="131"/>
      <c r="I1698" s="131"/>
      <c r="J1698" s="132"/>
      <c r="K1698" s="131"/>
    </row>
    <row r="1699" spans="7:11" x14ac:dyDescent="0.2">
      <c r="G1699" s="131"/>
      <c r="H1699" s="131"/>
      <c r="I1699" s="131"/>
      <c r="J1699" s="132"/>
      <c r="K1699" s="131"/>
    </row>
    <row r="1700" spans="7:11" x14ac:dyDescent="0.2">
      <c r="G1700" s="131"/>
      <c r="H1700" s="131"/>
      <c r="I1700" s="131"/>
      <c r="J1700" s="132"/>
      <c r="K1700" s="131"/>
    </row>
    <row r="1701" spans="7:11" x14ac:dyDescent="0.2">
      <c r="G1701" s="131"/>
      <c r="H1701" s="131"/>
      <c r="I1701" s="131"/>
      <c r="J1701" s="132"/>
      <c r="K1701" s="131"/>
    </row>
    <row r="1702" spans="7:11" x14ac:dyDescent="0.2">
      <c r="G1702" s="131"/>
      <c r="H1702" s="131"/>
      <c r="I1702" s="131"/>
      <c r="J1702" s="132"/>
      <c r="K1702" s="131"/>
    </row>
    <row r="1703" spans="7:11" x14ac:dyDescent="0.2">
      <c r="G1703" s="131"/>
      <c r="H1703" s="131"/>
      <c r="I1703" s="131"/>
      <c r="J1703" s="132"/>
      <c r="K1703" s="131"/>
    </row>
    <row r="1704" spans="7:11" x14ac:dyDescent="0.2">
      <c r="G1704" s="131"/>
      <c r="H1704" s="131"/>
      <c r="I1704" s="131"/>
      <c r="J1704" s="132"/>
      <c r="K1704" s="131"/>
    </row>
    <row r="1705" spans="7:11" x14ac:dyDescent="0.2">
      <c r="G1705" s="131"/>
      <c r="H1705" s="131"/>
      <c r="I1705" s="131"/>
      <c r="J1705" s="132"/>
      <c r="K1705" s="131"/>
    </row>
    <row r="1706" spans="7:11" x14ac:dyDescent="0.2">
      <c r="G1706" s="131"/>
      <c r="H1706" s="131"/>
      <c r="I1706" s="131"/>
      <c r="J1706" s="132"/>
      <c r="K1706" s="131"/>
    </row>
    <row r="1707" spans="7:11" x14ac:dyDescent="0.2">
      <c r="G1707" s="131"/>
      <c r="H1707" s="131"/>
      <c r="I1707" s="131"/>
      <c r="J1707" s="132"/>
      <c r="K1707" s="131"/>
    </row>
    <row r="1708" spans="7:11" x14ac:dyDescent="0.2">
      <c r="G1708" s="131"/>
      <c r="H1708" s="131"/>
      <c r="I1708" s="131"/>
      <c r="J1708" s="132"/>
      <c r="K1708" s="131"/>
    </row>
    <row r="1709" spans="7:11" x14ac:dyDescent="0.2">
      <c r="G1709" s="131"/>
      <c r="H1709" s="131"/>
      <c r="I1709" s="131"/>
      <c r="J1709" s="132"/>
      <c r="K1709" s="131"/>
    </row>
    <row r="1710" spans="7:11" x14ac:dyDescent="0.2">
      <c r="G1710" s="131"/>
      <c r="H1710" s="131"/>
      <c r="I1710" s="131"/>
      <c r="J1710" s="132"/>
      <c r="K1710" s="131"/>
    </row>
    <row r="1711" spans="7:11" x14ac:dyDescent="0.2">
      <c r="G1711" s="131"/>
      <c r="H1711" s="131"/>
      <c r="I1711" s="131"/>
      <c r="J1711" s="132"/>
      <c r="K1711" s="131"/>
    </row>
    <row r="1712" spans="7:11" x14ac:dyDescent="0.2">
      <c r="G1712" s="131"/>
      <c r="H1712" s="131"/>
      <c r="I1712" s="131"/>
      <c r="J1712" s="132"/>
      <c r="K1712" s="131"/>
    </row>
    <row r="1713" spans="7:11" x14ac:dyDescent="0.2">
      <c r="G1713" s="131"/>
      <c r="H1713" s="131"/>
      <c r="I1713" s="131"/>
      <c r="J1713" s="132"/>
      <c r="K1713" s="131"/>
    </row>
    <row r="1714" spans="7:11" x14ac:dyDescent="0.2">
      <c r="G1714" s="131"/>
      <c r="H1714" s="131"/>
      <c r="I1714" s="131"/>
      <c r="J1714" s="132"/>
      <c r="K1714" s="131"/>
    </row>
    <row r="1715" spans="7:11" x14ac:dyDescent="0.2">
      <c r="G1715" s="131"/>
      <c r="H1715" s="131"/>
      <c r="I1715" s="131"/>
      <c r="J1715" s="132"/>
      <c r="K1715" s="131"/>
    </row>
    <row r="1716" spans="7:11" x14ac:dyDescent="0.2">
      <c r="G1716" s="131"/>
      <c r="H1716" s="131"/>
      <c r="I1716" s="131"/>
      <c r="J1716" s="132"/>
      <c r="K1716" s="131"/>
    </row>
    <row r="1717" spans="7:11" x14ac:dyDescent="0.2">
      <c r="G1717" s="131"/>
      <c r="H1717" s="131"/>
      <c r="I1717" s="131"/>
      <c r="J1717" s="132"/>
      <c r="K1717" s="131"/>
    </row>
    <row r="1718" spans="7:11" x14ac:dyDescent="0.2">
      <c r="G1718" s="131"/>
      <c r="H1718" s="131"/>
      <c r="I1718" s="131"/>
      <c r="J1718" s="132"/>
      <c r="K1718" s="131"/>
    </row>
    <row r="1719" spans="7:11" x14ac:dyDescent="0.2">
      <c r="G1719" s="131"/>
      <c r="H1719" s="131"/>
      <c r="I1719" s="131"/>
      <c r="J1719" s="132"/>
      <c r="K1719" s="131"/>
    </row>
    <row r="1720" spans="7:11" x14ac:dyDescent="0.2">
      <c r="G1720" s="131"/>
      <c r="H1720" s="131"/>
      <c r="I1720" s="131"/>
      <c r="J1720" s="132"/>
      <c r="K1720" s="131"/>
    </row>
    <row r="1721" spans="7:11" x14ac:dyDescent="0.2">
      <c r="G1721" s="131"/>
      <c r="H1721" s="131"/>
      <c r="I1721" s="131"/>
      <c r="J1721" s="132"/>
      <c r="K1721" s="131"/>
    </row>
    <row r="1722" spans="7:11" x14ac:dyDescent="0.2">
      <c r="G1722" s="131"/>
      <c r="H1722" s="131"/>
      <c r="I1722" s="131"/>
      <c r="J1722" s="132"/>
      <c r="K1722" s="131"/>
    </row>
    <row r="1723" spans="7:11" x14ac:dyDescent="0.2">
      <c r="G1723" s="131"/>
      <c r="H1723" s="131"/>
      <c r="I1723" s="131"/>
      <c r="J1723" s="132"/>
      <c r="K1723" s="131"/>
    </row>
    <row r="1724" spans="7:11" x14ac:dyDescent="0.2">
      <c r="G1724" s="131"/>
      <c r="H1724" s="131"/>
      <c r="I1724" s="131"/>
      <c r="J1724" s="132"/>
      <c r="K1724" s="131"/>
    </row>
    <row r="1725" spans="7:11" x14ac:dyDescent="0.2">
      <c r="G1725" s="131"/>
      <c r="H1725" s="131"/>
      <c r="I1725" s="131"/>
      <c r="J1725" s="132"/>
      <c r="K1725" s="131"/>
    </row>
    <row r="1726" spans="7:11" x14ac:dyDescent="0.2">
      <c r="G1726" s="131"/>
      <c r="H1726" s="131"/>
      <c r="I1726" s="131"/>
      <c r="J1726" s="132"/>
      <c r="K1726" s="131"/>
    </row>
    <row r="1727" spans="7:11" x14ac:dyDescent="0.2">
      <c r="G1727" s="131"/>
      <c r="H1727" s="131"/>
      <c r="I1727" s="131"/>
      <c r="J1727" s="132"/>
      <c r="K1727" s="131"/>
    </row>
    <row r="1728" spans="7:11" x14ac:dyDescent="0.2">
      <c r="G1728" s="131"/>
      <c r="H1728" s="131"/>
      <c r="I1728" s="131"/>
      <c r="J1728" s="132"/>
      <c r="K1728" s="131"/>
    </row>
    <row r="1729" spans="7:11" x14ac:dyDescent="0.2">
      <c r="G1729" s="131"/>
      <c r="H1729" s="131"/>
      <c r="I1729" s="131"/>
      <c r="J1729" s="132"/>
      <c r="K1729" s="131"/>
    </row>
    <row r="1730" spans="7:11" x14ac:dyDescent="0.2">
      <c r="G1730" s="131"/>
      <c r="H1730" s="131"/>
      <c r="I1730" s="131"/>
      <c r="J1730" s="132"/>
      <c r="K1730" s="131"/>
    </row>
    <row r="1731" spans="7:11" x14ac:dyDescent="0.2">
      <c r="G1731" s="131"/>
      <c r="H1731" s="131"/>
      <c r="I1731" s="131"/>
      <c r="J1731" s="132"/>
      <c r="K1731" s="131"/>
    </row>
    <row r="1732" spans="7:11" x14ac:dyDescent="0.2">
      <c r="G1732" s="131"/>
      <c r="H1732" s="131"/>
      <c r="I1732" s="131"/>
      <c r="J1732" s="132"/>
      <c r="K1732" s="131"/>
    </row>
    <row r="1733" spans="7:11" x14ac:dyDescent="0.2">
      <c r="G1733" s="131"/>
      <c r="H1733" s="131"/>
      <c r="I1733" s="131"/>
      <c r="J1733" s="132"/>
      <c r="K1733" s="131"/>
    </row>
    <row r="1734" spans="7:11" x14ac:dyDescent="0.2">
      <c r="G1734" s="131"/>
      <c r="H1734" s="131"/>
      <c r="I1734" s="131"/>
      <c r="J1734" s="132"/>
      <c r="K1734" s="131"/>
    </row>
    <row r="1735" spans="7:11" x14ac:dyDescent="0.2">
      <c r="G1735" s="131"/>
      <c r="H1735" s="131"/>
      <c r="I1735" s="131"/>
      <c r="J1735" s="132"/>
      <c r="K1735" s="131"/>
    </row>
    <row r="1736" spans="7:11" x14ac:dyDescent="0.2">
      <c r="G1736" s="131"/>
      <c r="H1736" s="131"/>
      <c r="I1736" s="131"/>
      <c r="J1736" s="132"/>
      <c r="K1736" s="131"/>
    </row>
    <row r="1737" spans="7:11" x14ac:dyDescent="0.2">
      <c r="G1737" s="131"/>
      <c r="H1737" s="131"/>
      <c r="I1737" s="131"/>
      <c r="J1737" s="132"/>
      <c r="K1737" s="131"/>
    </row>
    <row r="1738" spans="7:11" x14ac:dyDescent="0.2">
      <c r="G1738" s="131"/>
      <c r="H1738" s="131"/>
      <c r="I1738" s="131"/>
      <c r="J1738" s="132"/>
      <c r="K1738" s="131"/>
    </row>
    <row r="1739" spans="7:11" x14ac:dyDescent="0.2">
      <c r="G1739" s="131"/>
      <c r="H1739" s="131"/>
      <c r="I1739" s="131"/>
      <c r="J1739" s="132"/>
      <c r="K1739" s="131"/>
    </row>
    <row r="1740" spans="7:11" x14ac:dyDescent="0.2">
      <c r="G1740" s="131"/>
      <c r="H1740" s="131"/>
      <c r="I1740" s="131"/>
      <c r="J1740" s="132"/>
      <c r="K1740" s="131"/>
    </row>
    <row r="1741" spans="7:11" x14ac:dyDescent="0.2">
      <c r="G1741" s="131"/>
      <c r="H1741" s="131"/>
      <c r="I1741" s="131"/>
      <c r="J1741" s="132"/>
      <c r="K1741" s="131"/>
    </row>
    <row r="1742" spans="7:11" x14ac:dyDescent="0.2">
      <c r="G1742" s="131"/>
      <c r="H1742" s="131"/>
      <c r="I1742" s="131"/>
      <c r="J1742" s="132"/>
      <c r="K1742" s="131"/>
    </row>
    <row r="1743" spans="7:11" x14ac:dyDescent="0.2">
      <c r="G1743" s="131"/>
      <c r="H1743" s="131"/>
      <c r="I1743" s="131"/>
      <c r="J1743" s="132"/>
      <c r="K1743" s="131"/>
    </row>
    <row r="1744" spans="7:11" x14ac:dyDescent="0.2">
      <c r="G1744" s="131"/>
      <c r="H1744" s="131"/>
      <c r="I1744" s="131"/>
      <c r="J1744" s="132"/>
      <c r="K1744" s="131"/>
    </row>
    <row r="1745" spans="7:11" x14ac:dyDescent="0.2">
      <c r="G1745" s="131"/>
      <c r="H1745" s="131"/>
      <c r="I1745" s="131"/>
      <c r="J1745" s="132"/>
      <c r="K1745" s="131"/>
    </row>
    <row r="1746" spans="7:11" x14ac:dyDescent="0.2">
      <c r="G1746" s="131"/>
      <c r="H1746" s="131"/>
      <c r="I1746" s="131"/>
      <c r="J1746" s="132"/>
      <c r="K1746" s="131"/>
    </row>
    <row r="1747" spans="7:11" x14ac:dyDescent="0.2">
      <c r="G1747" s="131"/>
      <c r="H1747" s="131"/>
      <c r="I1747" s="131"/>
      <c r="J1747" s="132"/>
      <c r="K1747" s="131"/>
    </row>
    <row r="1748" spans="7:11" x14ac:dyDescent="0.2">
      <c r="G1748" s="131"/>
      <c r="H1748" s="131"/>
      <c r="I1748" s="131"/>
      <c r="J1748" s="132"/>
      <c r="K1748" s="131"/>
    </row>
    <row r="1749" spans="7:11" x14ac:dyDescent="0.2">
      <c r="G1749" s="131"/>
      <c r="H1749" s="131"/>
      <c r="I1749" s="131"/>
      <c r="J1749" s="132"/>
      <c r="K1749" s="131"/>
    </row>
    <row r="1750" spans="7:11" x14ac:dyDescent="0.2">
      <c r="G1750" s="131"/>
      <c r="H1750" s="131"/>
      <c r="I1750" s="131"/>
      <c r="J1750" s="132"/>
      <c r="K1750" s="131"/>
    </row>
    <row r="1751" spans="7:11" x14ac:dyDescent="0.2">
      <c r="G1751" s="131"/>
      <c r="H1751" s="131"/>
      <c r="I1751" s="131"/>
      <c r="J1751" s="132"/>
      <c r="K1751" s="131"/>
    </row>
    <row r="1752" spans="7:11" x14ac:dyDescent="0.2">
      <c r="G1752" s="131"/>
      <c r="H1752" s="131"/>
      <c r="I1752" s="131"/>
      <c r="J1752" s="132"/>
      <c r="K1752" s="131"/>
    </row>
    <row r="1753" spans="7:11" x14ac:dyDescent="0.2">
      <c r="G1753" s="131"/>
      <c r="H1753" s="131"/>
      <c r="I1753" s="131"/>
      <c r="J1753" s="132"/>
      <c r="K1753" s="131"/>
    </row>
    <row r="1754" spans="7:11" x14ac:dyDescent="0.2">
      <c r="G1754" s="131"/>
      <c r="H1754" s="131"/>
      <c r="I1754" s="131"/>
      <c r="J1754" s="132"/>
      <c r="K1754" s="131"/>
    </row>
    <row r="1755" spans="7:11" x14ac:dyDescent="0.2">
      <c r="G1755" s="131"/>
      <c r="H1755" s="131"/>
      <c r="I1755" s="131"/>
      <c r="J1755" s="132"/>
      <c r="K1755" s="131"/>
    </row>
    <row r="1756" spans="7:11" x14ac:dyDescent="0.2">
      <c r="G1756" s="131"/>
      <c r="H1756" s="131"/>
      <c r="I1756" s="131"/>
      <c r="J1756" s="132"/>
      <c r="K1756" s="131"/>
    </row>
    <row r="1757" spans="7:11" x14ac:dyDescent="0.2">
      <c r="G1757" s="131"/>
      <c r="H1757" s="131"/>
      <c r="I1757" s="131"/>
      <c r="J1757" s="132"/>
      <c r="K1757" s="131"/>
    </row>
    <row r="1758" spans="7:11" x14ac:dyDescent="0.2">
      <c r="G1758" s="131"/>
      <c r="H1758" s="131"/>
      <c r="I1758" s="131"/>
      <c r="J1758" s="132"/>
      <c r="K1758" s="131"/>
    </row>
    <row r="1759" spans="7:11" x14ac:dyDescent="0.2">
      <c r="G1759" s="131"/>
      <c r="H1759" s="131"/>
      <c r="I1759" s="131"/>
      <c r="J1759" s="132"/>
      <c r="K1759" s="131"/>
    </row>
    <row r="1760" spans="7:11" x14ac:dyDescent="0.2">
      <c r="G1760" s="131"/>
      <c r="H1760" s="131"/>
      <c r="I1760" s="131"/>
      <c r="J1760" s="132"/>
      <c r="K1760" s="131"/>
    </row>
    <row r="1761" spans="7:11" x14ac:dyDescent="0.2">
      <c r="G1761" s="131"/>
      <c r="H1761" s="131"/>
      <c r="I1761" s="131"/>
      <c r="J1761" s="132"/>
      <c r="K1761" s="131"/>
    </row>
    <row r="1762" spans="7:11" x14ac:dyDescent="0.2">
      <c r="G1762" s="131"/>
      <c r="H1762" s="131"/>
      <c r="I1762" s="131"/>
      <c r="J1762" s="132"/>
      <c r="K1762" s="131"/>
    </row>
    <row r="1763" spans="7:11" x14ac:dyDescent="0.2">
      <c r="G1763" s="131"/>
      <c r="H1763" s="131"/>
      <c r="I1763" s="131"/>
      <c r="J1763" s="132"/>
      <c r="K1763" s="131"/>
    </row>
    <row r="1764" spans="7:11" x14ac:dyDescent="0.2">
      <c r="G1764" s="131"/>
      <c r="H1764" s="131"/>
      <c r="I1764" s="131"/>
      <c r="J1764" s="132"/>
      <c r="K1764" s="131"/>
    </row>
    <row r="1765" spans="7:11" x14ac:dyDescent="0.2">
      <c r="G1765" s="131"/>
      <c r="H1765" s="131"/>
      <c r="I1765" s="131"/>
      <c r="J1765" s="132"/>
      <c r="K1765" s="131"/>
    </row>
    <row r="1766" spans="7:11" x14ac:dyDescent="0.2">
      <c r="G1766" s="131"/>
      <c r="H1766" s="131"/>
      <c r="I1766" s="131"/>
      <c r="J1766" s="132"/>
      <c r="K1766" s="131"/>
    </row>
    <row r="1767" spans="7:11" x14ac:dyDescent="0.2">
      <c r="G1767" s="131"/>
      <c r="H1767" s="131"/>
      <c r="I1767" s="131"/>
      <c r="J1767" s="132"/>
      <c r="K1767" s="131"/>
    </row>
    <row r="1768" spans="7:11" x14ac:dyDescent="0.2">
      <c r="G1768" s="131"/>
      <c r="H1768" s="131"/>
      <c r="I1768" s="131"/>
      <c r="J1768" s="132"/>
      <c r="K1768" s="131"/>
    </row>
    <row r="1769" spans="7:11" x14ac:dyDescent="0.2">
      <c r="G1769" s="131"/>
      <c r="H1769" s="131"/>
      <c r="I1769" s="131"/>
      <c r="J1769" s="132"/>
      <c r="K1769" s="131"/>
    </row>
    <row r="1770" spans="7:11" x14ac:dyDescent="0.2">
      <c r="G1770" s="131"/>
      <c r="H1770" s="131"/>
      <c r="I1770" s="131"/>
      <c r="J1770" s="132"/>
      <c r="K1770" s="131"/>
    </row>
    <row r="1771" spans="7:11" x14ac:dyDescent="0.2">
      <c r="G1771" s="131"/>
      <c r="H1771" s="131"/>
      <c r="I1771" s="131"/>
      <c r="J1771" s="132"/>
      <c r="K1771" s="131"/>
    </row>
    <row r="1772" spans="7:11" x14ac:dyDescent="0.2">
      <c r="G1772" s="131"/>
      <c r="H1772" s="131"/>
      <c r="I1772" s="131"/>
      <c r="J1772" s="132"/>
      <c r="K1772" s="131"/>
    </row>
    <row r="1773" spans="7:11" x14ac:dyDescent="0.2">
      <c r="G1773" s="131"/>
      <c r="H1773" s="131"/>
      <c r="I1773" s="131"/>
      <c r="J1773" s="132"/>
      <c r="K1773" s="131"/>
    </row>
    <row r="1774" spans="7:11" x14ac:dyDescent="0.2">
      <c r="G1774" s="131"/>
      <c r="H1774" s="131"/>
      <c r="I1774" s="131"/>
      <c r="J1774" s="132"/>
      <c r="K1774" s="131"/>
    </row>
    <row r="1775" spans="7:11" x14ac:dyDescent="0.2">
      <c r="G1775" s="131"/>
      <c r="H1775" s="131"/>
      <c r="I1775" s="131"/>
      <c r="J1775" s="132"/>
      <c r="K1775" s="131"/>
    </row>
    <row r="1776" spans="7:11" x14ac:dyDescent="0.2">
      <c r="G1776" s="131"/>
      <c r="H1776" s="131"/>
      <c r="I1776" s="131"/>
      <c r="J1776" s="132"/>
      <c r="K1776" s="131"/>
    </row>
    <row r="1777" spans="7:11" x14ac:dyDescent="0.2">
      <c r="G1777" s="131"/>
      <c r="H1777" s="131"/>
      <c r="I1777" s="131"/>
      <c r="J1777" s="132"/>
      <c r="K1777" s="131"/>
    </row>
    <row r="1778" spans="7:11" x14ac:dyDescent="0.2">
      <c r="G1778" s="131"/>
      <c r="H1778" s="131"/>
      <c r="I1778" s="131"/>
      <c r="J1778" s="132"/>
      <c r="K1778" s="131"/>
    </row>
    <row r="1779" spans="7:11" x14ac:dyDescent="0.2">
      <c r="G1779" s="131"/>
      <c r="H1779" s="131"/>
      <c r="I1779" s="131"/>
      <c r="J1779" s="132"/>
      <c r="K1779" s="131"/>
    </row>
    <row r="1780" spans="7:11" x14ac:dyDescent="0.2">
      <c r="G1780" s="131"/>
      <c r="H1780" s="131"/>
      <c r="I1780" s="131"/>
      <c r="J1780" s="132"/>
      <c r="K1780" s="131"/>
    </row>
    <row r="1781" spans="7:11" x14ac:dyDescent="0.2">
      <c r="G1781" s="131"/>
      <c r="H1781" s="131"/>
      <c r="I1781" s="131"/>
      <c r="J1781" s="132"/>
      <c r="K1781" s="131"/>
    </row>
    <row r="1782" spans="7:11" x14ac:dyDescent="0.2">
      <c r="G1782" s="131"/>
      <c r="H1782" s="131"/>
      <c r="I1782" s="131"/>
      <c r="J1782" s="132"/>
      <c r="K1782" s="131"/>
    </row>
    <row r="1783" spans="7:11" x14ac:dyDescent="0.2">
      <c r="G1783" s="131"/>
      <c r="H1783" s="131"/>
      <c r="I1783" s="131"/>
      <c r="J1783" s="132"/>
      <c r="K1783" s="131"/>
    </row>
    <row r="1784" spans="7:11" x14ac:dyDescent="0.2">
      <c r="G1784" s="131"/>
      <c r="H1784" s="131"/>
      <c r="I1784" s="131"/>
      <c r="J1784" s="132"/>
      <c r="K1784" s="131"/>
    </row>
    <row r="1785" spans="7:11" x14ac:dyDescent="0.2">
      <c r="G1785" s="131"/>
      <c r="H1785" s="131"/>
      <c r="I1785" s="131"/>
      <c r="J1785" s="132"/>
      <c r="K1785" s="131"/>
    </row>
    <row r="1786" spans="7:11" x14ac:dyDescent="0.2">
      <c r="G1786" s="131"/>
      <c r="H1786" s="131"/>
      <c r="I1786" s="131"/>
      <c r="J1786" s="132"/>
      <c r="K1786" s="131"/>
    </row>
    <row r="1787" spans="7:11" x14ac:dyDescent="0.2">
      <c r="G1787" s="131"/>
      <c r="H1787" s="131"/>
      <c r="I1787" s="131"/>
      <c r="J1787" s="132"/>
      <c r="K1787" s="131"/>
    </row>
    <row r="1788" spans="7:11" x14ac:dyDescent="0.2">
      <c r="G1788" s="131"/>
      <c r="H1788" s="131"/>
      <c r="I1788" s="131"/>
      <c r="J1788" s="132"/>
      <c r="K1788" s="131"/>
    </row>
    <row r="1789" spans="7:11" x14ac:dyDescent="0.2">
      <c r="G1789" s="131"/>
      <c r="H1789" s="131"/>
      <c r="I1789" s="131"/>
      <c r="J1789" s="132"/>
      <c r="K1789" s="131"/>
    </row>
    <row r="1790" spans="7:11" x14ac:dyDescent="0.2">
      <c r="G1790" s="131"/>
      <c r="H1790" s="131"/>
      <c r="I1790" s="131"/>
      <c r="J1790" s="132"/>
      <c r="K1790" s="131"/>
    </row>
    <row r="1791" spans="7:11" x14ac:dyDescent="0.2">
      <c r="G1791" s="131"/>
      <c r="H1791" s="131"/>
      <c r="I1791" s="131"/>
      <c r="J1791" s="132"/>
      <c r="K1791" s="131"/>
    </row>
    <row r="1792" spans="7:11" x14ac:dyDescent="0.2">
      <c r="G1792" s="131"/>
      <c r="H1792" s="131"/>
      <c r="I1792" s="131"/>
      <c r="J1792" s="132"/>
      <c r="K1792" s="131"/>
    </row>
    <row r="1793" spans="7:11" x14ac:dyDescent="0.2">
      <c r="G1793" s="131"/>
      <c r="H1793" s="131"/>
      <c r="I1793" s="131"/>
      <c r="J1793" s="132"/>
      <c r="K1793" s="131"/>
    </row>
    <row r="1794" spans="7:11" x14ac:dyDescent="0.2">
      <c r="G1794" s="131"/>
      <c r="H1794" s="131"/>
      <c r="I1794" s="131"/>
      <c r="J1794" s="132"/>
      <c r="K1794" s="131"/>
    </row>
    <row r="1795" spans="7:11" x14ac:dyDescent="0.2">
      <c r="G1795" s="131"/>
      <c r="H1795" s="131"/>
      <c r="I1795" s="131"/>
      <c r="J1795" s="132"/>
      <c r="K1795" s="131"/>
    </row>
    <row r="1796" spans="7:11" x14ac:dyDescent="0.2">
      <c r="G1796" s="131"/>
      <c r="H1796" s="131"/>
      <c r="I1796" s="131"/>
      <c r="J1796" s="132"/>
      <c r="K1796" s="131"/>
    </row>
    <row r="1797" spans="7:11" x14ac:dyDescent="0.2">
      <c r="G1797" s="131"/>
      <c r="H1797" s="131"/>
      <c r="I1797" s="131"/>
      <c r="J1797" s="132"/>
      <c r="K1797" s="131"/>
    </row>
    <row r="1798" spans="7:11" x14ac:dyDescent="0.2">
      <c r="G1798" s="131"/>
      <c r="H1798" s="131"/>
      <c r="I1798" s="131"/>
      <c r="J1798" s="132"/>
      <c r="K1798" s="131"/>
    </row>
    <row r="1799" spans="7:11" x14ac:dyDescent="0.2">
      <c r="G1799" s="131"/>
      <c r="H1799" s="131"/>
      <c r="I1799" s="131"/>
      <c r="J1799" s="132"/>
      <c r="K1799" s="131"/>
    </row>
    <row r="1800" spans="7:11" x14ac:dyDescent="0.2">
      <c r="G1800" s="131"/>
      <c r="H1800" s="131"/>
      <c r="I1800" s="131"/>
      <c r="J1800" s="132"/>
      <c r="K1800" s="131"/>
    </row>
    <row r="1801" spans="7:11" x14ac:dyDescent="0.2">
      <c r="G1801" s="131"/>
      <c r="H1801" s="131"/>
      <c r="I1801" s="131"/>
      <c r="J1801" s="132"/>
      <c r="K1801" s="131"/>
    </row>
    <row r="1802" spans="7:11" x14ac:dyDescent="0.2">
      <c r="G1802" s="131"/>
      <c r="H1802" s="131"/>
      <c r="I1802" s="131"/>
      <c r="J1802" s="132"/>
      <c r="K1802" s="131"/>
    </row>
    <row r="1803" spans="7:11" x14ac:dyDescent="0.2">
      <c r="G1803" s="131"/>
      <c r="H1803" s="131"/>
      <c r="I1803" s="131"/>
      <c r="J1803" s="132"/>
      <c r="K1803" s="131"/>
    </row>
    <row r="1804" spans="7:11" x14ac:dyDescent="0.2">
      <c r="G1804" s="131"/>
      <c r="H1804" s="131"/>
      <c r="I1804" s="131"/>
      <c r="J1804" s="132"/>
      <c r="K1804" s="131"/>
    </row>
    <row r="1805" spans="7:11" x14ac:dyDescent="0.2">
      <c r="G1805" s="131"/>
      <c r="H1805" s="131"/>
      <c r="I1805" s="131"/>
      <c r="J1805" s="132"/>
      <c r="K1805" s="131"/>
    </row>
    <row r="1806" spans="7:11" x14ac:dyDescent="0.2">
      <c r="G1806" s="131"/>
      <c r="H1806" s="131"/>
      <c r="I1806" s="131"/>
      <c r="J1806" s="132"/>
      <c r="K1806" s="131"/>
    </row>
    <row r="1807" spans="7:11" x14ac:dyDescent="0.2">
      <c r="G1807" s="131"/>
      <c r="H1807" s="131"/>
      <c r="I1807" s="131"/>
      <c r="J1807" s="132"/>
      <c r="K1807" s="131"/>
    </row>
    <row r="1808" spans="7:11" x14ac:dyDescent="0.2">
      <c r="G1808" s="131"/>
      <c r="H1808" s="131"/>
      <c r="I1808" s="131"/>
      <c r="J1808" s="132"/>
      <c r="K1808" s="131"/>
    </row>
    <row r="1809" spans="7:11" x14ac:dyDescent="0.2">
      <c r="G1809" s="131"/>
      <c r="H1809" s="131"/>
      <c r="I1809" s="131"/>
      <c r="J1809" s="132"/>
      <c r="K1809" s="131"/>
    </row>
    <row r="1810" spans="7:11" x14ac:dyDescent="0.2">
      <c r="G1810" s="131"/>
      <c r="H1810" s="131"/>
      <c r="I1810" s="131"/>
      <c r="J1810" s="132"/>
      <c r="K1810" s="131"/>
    </row>
    <row r="1811" spans="7:11" x14ac:dyDescent="0.2">
      <c r="G1811" s="131"/>
      <c r="H1811" s="131"/>
      <c r="I1811" s="131"/>
      <c r="J1811" s="132"/>
      <c r="K1811" s="131"/>
    </row>
    <row r="1812" spans="7:11" x14ac:dyDescent="0.2">
      <c r="G1812" s="131"/>
      <c r="H1812" s="131"/>
      <c r="I1812" s="131"/>
      <c r="J1812" s="132"/>
      <c r="K1812" s="131"/>
    </row>
    <row r="1813" spans="7:11" x14ac:dyDescent="0.2">
      <c r="G1813" s="131"/>
      <c r="H1813" s="131"/>
      <c r="I1813" s="131"/>
      <c r="J1813" s="132"/>
      <c r="K1813" s="131"/>
    </row>
    <row r="1814" spans="7:11" x14ac:dyDescent="0.2">
      <c r="G1814" s="131"/>
      <c r="H1814" s="131"/>
      <c r="I1814" s="131"/>
      <c r="J1814" s="132"/>
      <c r="K1814" s="131"/>
    </row>
    <row r="1815" spans="7:11" x14ac:dyDescent="0.2">
      <c r="G1815" s="131"/>
      <c r="H1815" s="131"/>
      <c r="I1815" s="131"/>
      <c r="J1815" s="132"/>
      <c r="K1815" s="131"/>
    </row>
    <row r="1816" spans="7:11" x14ac:dyDescent="0.2">
      <c r="G1816" s="131"/>
      <c r="H1816" s="131"/>
      <c r="I1816" s="131"/>
      <c r="J1816" s="132"/>
      <c r="K1816" s="131"/>
    </row>
    <row r="1817" spans="7:11" x14ac:dyDescent="0.2">
      <c r="G1817" s="131"/>
      <c r="H1817" s="131"/>
      <c r="I1817" s="131"/>
      <c r="J1817" s="132"/>
      <c r="K1817" s="131"/>
    </row>
    <row r="1818" spans="7:11" x14ac:dyDescent="0.2">
      <c r="G1818" s="131"/>
      <c r="H1818" s="131"/>
      <c r="I1818" s="131"/>
      <c r="J1818" s="132"/>
      <c r="K1818" s="131"/>
    </row>
    <row r="1819" spans="7:11" x14ac:dyDescent="0.2">
      <c r="G1819" s="131"/>
      <c r="H1819" s="131"/>
      <c r="I1819" s="131"/>
      <c r="J1819" s="132"/>
      <c r="K1819" s="131"/>
    </row>
    <row r="1820" spans="7:11" x14ac:dyDescent="0.2">
      <c r="G1820" s="131"/>
      <c r="H1820" s="131"/>
      <c r="I1820" s="131"/>
      <c r="J1820" s="132"/>
      <c r="K1820" s="131"/>
    </row>
    <row r="1821" spans="7:11" x14ac:dyDescent="0.2">
      <c r="G1821" s="131"/>
      <c r="H1821" s="131"/>
      <c r="I1821" s="131"/>
      <c r="J1821" s="132"/>
      <c r="K1821" s="131"/>
    </row>
    <row r="1822" spans="7:11" x14ac:dyDescent="0.2">
      <c r="G1822" s="131"/>
      <c r="H1822" s="131"/>
      <c r="I1822" s="131"/>
      <c r="J1822" s="132"/>
      <c r="K1822" s="131"/>
    </row>
    <row r="1823" spans="7:11" x14ac:dyDescent="0.2">
      <c r="G1823" s="131"/>
      <c r="H1823" s="131"/>
      <c r="I1823" s="131"/>
      <c r="J1823" s="132"/>
      <c r="K1823" s="131"/>
    </row>
    <row r="1824" spans="7:11" x14ac:dyDescent="0.2">
      <c r="G1824" s="131"/>
      <c r="H1824" s="131"/>
      <c r="I1824" s="131"/>
      <c r="J1824" s="132"/>
      <c r="K1824" s="131"/>
    </row>
    <row r="1825" spans="7:11" x14ac:dyDescent="0.2">
      <c r="G1825" s="131"/>
      <c r="H1825" s="131"/>
      <c r="I1825" s="131"/>
      <c r="J1825" s="132"/>
      <c r="K1825" s="131"/>
    </row>
    <row r="1826" spans="7:11" x14ac:dyDescent="0.2">
      <c r="G1826" s="131"/>
      <c r="H1826" s="131"/>
      <c r="I1826" s="131"/>
      <c r="J1826" s="132"/>
      <c r="K1826" s="131"/>
    </row>
    <row r="1827" spans="7:11" x14ac:dyDescent="0.2">
      <c r="G1827" s="131"/>
      <c r="H1827" s="131"/>
      <c r="I1827" s="131"/>
      <c r="J1827" s="132"/>
      <c r="K1827" s="131"/>
    </row>
    <row r="1828" spans="7:11" x14ac:dyDescent="0.2">
      <c r="G1828" s="131"/>
      <c r="H1828" s="131"/>
      <c r="I1828" s="131"/>
      <c r="J1828" s="132"/>
      <c r="K1828" s="131"/>
    </row>
    <row r="1829" spans="7:11" x14ac:dyDescent="0.2">
      <c r="G1829" s="131"/>
      <c r="H1829" s="131"/>
      <c r="I1829" s="131"/>
      <c r="J1829" s="132"/>
      <c r="K1829" s="131"/>
    </row>
    <row r="1830" spans="7:11" x14ac:dyDescent="0.2">
      <c r="G1830" s="131"/>
      <c r="H1830" s="131"/>
      <c r="I1830" s="131"/>
      <c r="J1830" s="132"/>
      <c r="K1830" s="131"/>
    </row>
    <row r="1831" spans="7:11" x14ac:dyDescent="0.2">
      <c r="G1831" s="131"/>
      <c r="H1831" s="131"/>
      <c r="I1831" s="131"/>
      <c r="J1831" s="132"/>
      <c r="K1831" s="131"/>
    </row>
    <row r="1832" spans="7:11" x14ac:dyDescent="0.2">
      <c r="G1832" s="131"/>
      <c r="H1832" s="131"/>
      <c r="I1832" s="131"/>
      <c r="J1832" s="132"/>
      <c r="K1832" s="131"/>
    </row>
    <row r="1833" spans="7:11" x14ac:dyDescent="0.2">
      <c r="G1833" s="131"/>
      <c r="H1833" s="131"/>
      <c r="I1833" s="131"/>
      <c r="J1833" s="132"/>
      <c r="K1833" s="131"/>
    </row>
    <row r="1834" spans="7:11" x14ac:dyDescent="0.2">
      <c r="G1834" s="131"/>
      <c r="H1834" s="131"/>
      <c r="I1834" s="131"/>
      <c r="J1834" s="132"/>
      <c r="K1834" s="131"/>
    </row>
    <row r="1835" spans="7:11" x14ac:dyDescent="0.2">
      <c r="G1835" s="131"/>
      <c r="H1835" s="131"/>
      <c r="I1835" s="131"/>
      <c r="J1835" s="132"/>
      <c r="K1835" s="131"/>
    </row>
    <row r="1836" spans="7:11" x14ac:dyDescent="0.2">
      <c r="G1836" s="131"/>
      <c r="H1836" s="131"/>
      <c r="I1836" s="131"/>
      <c r="J1836" s="132"/>
      <c r="K1836" s="131"/>
    </row>
    <row r="1837" spans="7:11" x14ac:dyDescent="0.2">
      <c r="G1837" s="131"/>
      <c r="H1837" s="131"/>
      <c r="I1837" s="131"/>
      <c r="J1837" s="132"/>
      <c r="K1837" s="131"/>
    </row>
    <row r="1838" spans="7:11" x14ac:dyDescent="0.2">
      <c r="G1838" s="131"/>
      <c r="H1838" s="131"/>
      <c r="I1838" s="131"/>
      <c r="J1838" s="132"/>
      <c r="K1838" s="131"/>
    </row>
    <row r="1839" spans="7:11" x14ac:dyDescent="0.2">
      <c r="G1839" s="131"/>
      <c r="H1839" s="131"/>
      <c r="I1839" s="131"/>
      <c r="J1839" s="132"/>
      <c r="K1839" s="131"/>
    </row>
    <row r="1840" spans="7:11" x14ac:dyDescent="0.2">
      <c r="G1840" s="131"/>
      <c r="H1840" s="131"/>
      <c r="I1840" s="131"/>
      <c r="J1840" s="132"/>
      <c r="K1840" s="131"/>
    </row>
    <row r="1841" spans="7:11" x14ac:dyDescent="0.2">
      <c r="G1841" s="131"/>
      <c r="H1841" s="131"/>
      <c r="I1841" s="131"/>
      <c r="J1841" s="132"/>
      <c r="K1841" s="131"/>
    </row>
    <row r="1842" spans="7:11" x14ac:dyDescent="0.2">
      <c r="G1842" s="131"/>
      <c r="H1842" s="131"/>
      <c r="I1842" s="131"/>
      <c r="J1842" s="132"/>
      <c r="K1842" s="131"/>
    </row>
    <row r="1843" spans="7:11" x14ac:dyDescent="0.2">
      <c r="G1843" s="131"/>
      <c r="H1843" s="131"/>
      <c r="I1843" s="131"/>
      <c r="J1843" s="132"/>
      <c r="K1843" s="131"/>
    </row>
    <row r="1844" spans="7:11" x14ac:dyDescent="0.2">
      <c r="G1844" s="131"/>
      <c r="H1844" s="131"/>
      <c r="I1844" s="131"/>
      <c r="J1844" s="132"/>
      <c r="K1844" s="131"/>
    </row>
    <row r="1845" spans="7:11" x14ac:dyDescent="0.2">
      <c r="G1845" s="131"/>
      <c r="H1845" s="131"/>
      <c r="I1845" s="131"/>
      <c r="J1845" s="132"/>
      <c r="K1845" s="131"/>
    </row>
    <row r="1846" spans="7:11" x14ac:dyDescent="0.2">
      <c r="G1846" s="131"/>
      <c r="H1846" s="131"/>
      <c r="I1846" s="131"/>
      <c r="J1846" s="132"/>
      <c r="K1846" s="131"/>
    </row>
    <row r="1847" spans="7:11" x14ac:dyDescent="0.2">
      <c r="G1847" s="131"/>
      <c r="H1847" s="131"/>
      <c r="I1847" s="131"/>
      <c r="J1847" s="132"/>
      <c r="K1847" s="131"/>
    </row>
    <row r="1848" spans="7:11" x14ac:dyDescent="0.2">
      <c r="G1848" s="131"/>
      <c r="H1848" s="131"/>
      <c r="I1848" s="131"/>
      <c r="J1848" s="132"/>
      <c r="K1848" s="131"/>
    </row>
    <row r="1849" spans="7:11" x14ac:dyDescent="0.2">
      <c r="G1849" s="131"/>
      <c r="H1849" s="131"/>
      <c r="I1849" s="131"/>
      <c r="J1849" s="132"/>
      <c r="K1849" s="131"/>
    </row>
    <row r="1850" spans="7:11" x14ac:dyDescent="0.2">
      <c r="G1850" s="131"/>
      <c r="H1850" s="131"/>
      <c r="I1850" s="131"/>
      <c r="J1850" s="132"/>
      <c r="K1850" s="131"/>
    </row>
    <row r="1851" spans="7:11" x14ac:dyDescent="0.2">
      <c r="G1851" s="131"/>
      <c r="H1851" s="131"/>
      <c r="I1851" s="131"/>
      <c r="J1851" s="132"/>
      <c r="K1851" s="131"/>
    </row>
    <row r="1852" spans="7:11" x14ac:dyDescent="0.2">
      <c r="G1852" s="131"/>
      <c r="H1852" s="131"/>
      <c r="I1852" s="131"/>
      <c r="J1852" s="132"/>
      <c r="K1852" s="131"/>
    </row>
    <row r="1853" spans="7:11" x14ac:dyDescent="0.2">
      <c r="G1853" s="131"/>
      <c r="H1853" s="131"/>
      <c r="I1853" s="131"/>
      <c r="J1853" s="132"/>
      <c r="K1853" s="131"/>
    </row>
    <row r="1854" spans="7:11" x14ac:dyDescent="0.2">
      <c r="G1854" s="131"/>
      <c r="H1854" s="131"/>
      <c r="I1854" s="131"/>
      <c r="J1854" s="132"/>
      <c r="K1854" s="131"/>
    </row>
    <row r="1855" spans="7:11" x14ac:dyDescent="0.2">
      <c r="G1855" s="131"/>
      <c r="H1855" s="131"/>
      <c r="I1855" s="131"/>
      <c r="J1855" s="132"/>
      <c r="K1855" s="131"/>
    </row>
    <row r="1856" spans="7:11" x14ac:dyDescent="0.2">
      <c r="G1856" s="131"/>
      <c r="H1856" s="131"/>
      <c r="I1856" s="131"/>
      <c r="J1856" s="132"/>
      <c r="K1856" s="131"/>
    </row>
    <row r="1857" spans="7:11" x14ac:dyDescent="0.2">
      <c r="G1857" s="131"/>
      <c r="H1857" s="131"/>
      <c r="I1857" s="131"/>
      <c r="J1857" s="132"/>
      <c r="K1857" s="131"/>
    </row>
    <row r="1858" spans="7:11" x14ac:dyDescent="0.2">
      <c r="G1858" s="131"/>
      <c r="H1858" s="131"/>
      <c r="I1858" s="131"/>
      <c r="J1858" s="132"/>
      <c r="K1858" s="131"/>
    </row>
    <row r="1859" spans="7:11" x14ac:dyDescent="0.2">
      <c r="G1859" s="131"/>
      <c r="H1859" s="131"/>
      <c r="I1859" s="131"/>
      <c r="J1859" s="132"/>
      <c r="K1859" s="131"/>
    </row>
    <row r="1860" spans="7:11" x14ac:dyDescent="0.2">
      <c r="G1860" s="131"/>
      <c r="H1860" s="131"/>
      <c r="I1860" s="131"/>
      <c r="J1860" s="132"/>
      <c r="K1860" s="131"/>
    </row>
    <row r="1861" spans="7:11" x14ac:dyDescent="0.2">
      <c r="G1861" s="131"/>
      <c r="H1861" s="131"/>
      <c r="I1861" s="131"/>
      <c r="J1861" s="132"/>
      <c r="K1861" s="131"/>
    </row>
    <row r="1862" spans="7:11" x14ac:dyDescent="0.2">
      <c r="G1862" s="131"/>
      <c r="H1862" s="131"/>
      <c r="I1862" s="131"/>
      <c r="J1862" s="132"/>
      <c r="K1862" s="131"/>
    </row>
    <row r="1863" spans="7:11" x14ac:dyDescent="0.2">
      <c r="G1863" s="131"/>
      <c r="H1863" s="131"/>
      <c r="I1863" s="131"/>
      <c r="J1863" s="132"/>
      <c r="K1863" s="131"/>
    </row>
    <row r="1864" spans="7:11" x14ac:dyDescent="0.2">
      <c r="G1864" s="131"/>
      <c r="H1864" s="131"/>
      <c r="I1864" s="131"/>
      <c r="J1864" s="132"/>
      <c r="K1864" s="131"/>
    </row>
    <row r="1865" spans="7:11" x14ac:dyDescent="0.2">
      <c r="G1865" s="131"/>
      <c r="H1865" s="131"/>
      <c r="I1865" s="131"/>
      <c r="J1865" s="132"/>
      <c r="K1865" s="131"/>
    </row>
    <row r="1866" spans="7:11" x14ac:dyDescent="0.2">
      <c r="G1866" s="131"/>
      <c r="H1866" s="131"/>
      <c r="I1866" s="131"/>
      <c r="J1866" s="132"/>
      <c r="K1866" s="131"/>
    </row>
    <row r="1867" spans="7:11" x14ac:dyDescent="0.2">
      <c r="G1867" s="131"/>
      <c r="H1867" s="131"/>
      <c r="I1867" s="131"/>
      <c r="J1867" s="132"/>
      <c r="K1867" s="131"/>
    </row>
    <row r="1868" spans="7:11" x14ac:dyDescent="0.2">
      <c r="G1868" s="131"/>
      <c r="H1868" s="131"/>
      <c r="I1868" s="131"/>
      <c r="J1868" s="132"/>
      <c r="K1868" s="131"/>
    </row>
    <row r="1869" spans="7:11" x14ac:dyDescent="0.2">
      <c r="G1869" s="131"/>
      <c r="H1869" s="131"/>
      <c r="I1869" s="131"/>
      <c r="J1869" s="132"/>
      <c r="K1869" s="131"/>
    </row>
    <row r="1870" spans="7:11" x14ac:dyDescent="0.2">
      <c r="G1870" s="131"/>
      <c r="H1870" s="131"/>
      <c r="I1870" s="131"/>
      <c r="J1870" s="132"/>
      <c r="K1870" s="131"/>
    </row>
    <row r="1871" spans="7:11" x14ac:dyDescent="0.2">
      <c r="G1871" s="131"/>
      <c r="H1871" s="131"/>
      <c r="I1871" s="131"/>
      <c r="J1871" s="132"/>
      <c r="K1871" s="131"/>
    </row>
    <row r="1872" spans="7:11" x14ac:dyDescent="0.2">
      <c r="G1872" s="131"/>
      <c r="H1872" s="131"/>
      <c r="I1872" s="131"/>
      <c r="J1872" s="132"/>
      <c r="K1872" s="131"/>
    </row>
    <row r="1873" spans="7:11" x14ac:dyDescent="0.2">
      <c r="G1873" s="131"/>
      <c r="H1873" s="131"/>
      <c r="I1873" s="131"/>
      <c r="J1873" s="132"/>
      <c r="K1873" s="131"/>
    </row>
    <row r="1874" spans="7:11" x14ac:dyDescent="0.2">
      <c r="G1874" s="131"/>
      <c r="H1874" s="131"/>
      <c r="I1874" s="131"/>
      <c r="J1874" s="132"/>
      <c r="K1874" s="131"/>
    </row>
    <row r="1875" spans="7:11" x14ac:dyDescent="0.2">
      <c r="G1875" s="131"/>
      <c r="H1875" s="131"/>
      <c r="I1875" s="131"/>
      <c r="J1875" s="132"/>
      <c r="K1875" s="131"/>
    </row>
    <row r="1876" spans="7:11" x14ac:dyDescent="0.2">
      <c r="G1876" s="131"/>
      <c r="H1876" s="131"/>
      <c r="I1876" s="131"/>
      <c r="J1876" s="132"/>
      <c r="K1876" s="131"/>
    </row>
    <row r="1877" spans="7:11" x14ac:dyDescent="0.2">
      <c r="G1877" s="131"/>
      <c r="H1877" s="131"/>
      <c r="I1877" s="131"/>
      <c r="J1877" s="132"/>
      <c r="K1877" s="131"/>
    </row>
    <row r="1878" spans="7:11" x14ac:dyDescent="0.2">
      <c r="G1878" s="131"/>
      <c r="H1878" s="131"/>
      <c r="I1878" s="131"/>
      <c r="J1878" s="132"/>
      <c r="K1878" s="131"/>
    </row>
    <row r="1879" spans="7:11" x14ac:dyDescent="0.2">
      <c r="G1879" s="131"/>
      <c r="H1879" s="131"/>
      <c r="I1879" s="131"/>
      <c r="J1879" s="132"/>
      <c r="K1879" s="131"/>
    </row>
    <row r="1880" spans="7:11" x14ac:dyDescent="0.2">
      <c r="G1880" s="131"/>
      <c r="H1880" s="131"/>
      <c r="I1880" s="131"/>
      <c r="J1880" s="132"/>
      <c r="K1880" s="131"/>
    </row>
    <row r="1881" spans="7:11" x14ac:dyDescent="0.2">
      <c r="G1881" s="131"/>
      <c r="H1881" s="131"/>
      <c r="I1881" s="131"/>
      <c r="J1881" s="132"/>
      <c r="K1881" s="131"/>
    </row>
    <row r="1882" spans="7:11" x14ac:dyDescent="0.2">
      <c r="G1882" s="131"/>
      <c r="H1882" s="131"/>
      <c r="I1882" s="131"/>
      <c r="J1882" s="132"/>
      <c r="K1882" s="131"/>
    </row>
    <row r="1883" spans="7:11" x14ac:dyDescent="0.2">
      <c r="G1883" s="131"/>
      <c r="H1883" s="131"/>
      <c r="I1883" s="131"/>
      <c r="J1883" s="132"/>
      <c r="K1883" s="131"/>
    </row>
    <row r="1884" spans="7:11" x14ac:dyDescent="0.2">
      <c r="G1884" s="131"/>
      <c r="H1884" s="131"/>
      <c r="I1884" s="131"/>
      <c r="J1884" s="132"/>
      <c r="K1884" s="131"/>
    </row>
    <row r="1885" spans="7:11" x14ac:dyDescent="0.2">
      <c r="G1885" s="131"/>
      <c r="H1885" s="131"/>
      <c r="I1885" s="131"/>
      <c r="J1885" s="132"/>
      <c r="K1885" s="131"/>
    </row>
    <row r="1886" spans="7:11" x14ac:dyDescent="0.2">
      <c r="G1886" s="131"/>
      <c r="H1886" s="131"/>
      <c r="I1886" s="131"/>
      <c r="J1886" s="132"/>
      <c r="K1886" s="131"/>
    </row>
    <row r="1887" spans="7:11" x14ac:dyDescent="0.2">
      <c r="G1887" s="131"/>
      <c r="H1887" s="131"/>
      <c r="I1887" s="131"/>
      <c r="J1887" s="132"/>
      <c r="K1887" s="131"/>
    </row>
    <row r="1888" spans="7:11" x14ac:dyDescent="0.2">
      <c r="G1888" s="131"/>
      <c r="H1888" s="131"/>
      <c r="I1888" s="131"/>
      <c r="J1888" s="132"/>
      <c r="K1888" s="131"/>
    </row>
    <row r="1889" spans="7:11" x14ac:dyDescent="0.2">
      <c r="G1889" s="131"/>
      <c r="H1889" s="131"/>
      <c r="I1889" s="131"/>
      <c r="J1889" s="132"/>
      <c r="K1889" s="131"/>
    </row>
    <row r="1890" spans="7:11" x14ac:dyDescent="0.2">
      <c r="G1890" s="131"/>
      <c r="H1890" s="131"/>
      <c r="I1890" s="131"/>
      <c r="J1890" s="132"/>
      <c r="K1890" s="131"/>
    </row>
    <row r="1891" spans="7:11" x14ac:dyDescent="0.2">
      <c r="G1891" s="131"/>
      <c r="H1891" s="131"/>
      <c r="I1891" s="131"/>
      <c r="J1891" s="132"/>
      <c r="K1891" s="131"/>
    </row>
    <row r="1892" spans="7:11" x14ac:dyDescent="0.2">
      <c r="G1892" s="131"/>
      <c r="H1892" s="131"/>
      <c r="I1892" s="131"/>
      <c r="J1892" s="132"/>
      <c r="K1892" s="131"/>
    </row>
    <row r="1893" spans="7:11" x14ac:dyDescent="0.2">
      <c r="G1893" s="131"/>
      <c r="H1893" s="131"/>
      <c r="I1893" s="131"/>
      <c r="J1893" s="132"/>
      <c r="K1893" s="131"/>
    </row>
    <row r="1894" spans="7:11" x14ac:dyDescent="0.2">
      <c r="G1894" s="131"/>
      <c r="H1894" s="131"/>
      <c r="I1894" s="131"/>
      <c r="J1894" s="132"/>
      <c r="K1894" s="131"/>
    </row>
    <row r="1895" spans="7:11" x14ac:dyDescent="0.2">
      <c r="G1895" s="131"/>
      <c r="H1895" s="131"/>
      <c r="I1895" s="131"/>
      <c r="J1895" s="132"/>
      <c r="K1895" s="131"/>
    </row>
    <row r="1896" spans="7:11" x14ac:dyDescent="0.2">
      <c r="G1896" s="131"/>
      <c r="H1896" s="131"/>
      <c r="I1896" s="131"/>
      <c r="J1896" s="132"/>
      <c r="K1896" s="131"/>
    </row>
    <row r="1897" spans="7:11" x14ac:dyDescent="0.2">
      <c r="G1897" s="131"/>
      <c r="H1897" s="131"/>
      <c r="I1897" s="131"/>
      <c r="J1897" s="132"/>
      <c r="K1897" s="131"/>
    </row>
    <row r="1898" spans="7:11" x14ac:dyDescent="0.2">
      <c r="G1898" s="131"/>
      <c r="H1898" s="131"/>
      <c r="I1898" s="131"/>
      <c r="J1898" s="132"/>
      <c r="K1898" s="131"/>
    </row>
    <row r="1899" spans="7:11" x14ac:dyDescent="0.2">
      <c r="G1899" s="131"/>
      <c r="H1899" s="131"/>
      <c r="I1899" s="131"/>
      <c r="J1899" s="132"/>
      <c r="K1899" s="131"/>
    </row>
    <row r="1900" spans="7:11" x14ac:dyDescent="0.2">
      <c r="G1900" s="131"/>
      <c r="H1900" s="131"/>
      <c r="I1900" s="131"/>
      <c r="J1900" s="132"/>
      <c r="K1900" s="131"/>
    </row>
    <row r="1901" spans="7:11" x14ac:dyDescent="0.2">
      <c r="G1901" s="131"/>
      <c r="H1901" s="131"/>
      <c r="I1901" s="131"/>
      <c r="J1901" s="132"/>
      <c r="K1901" s="131"/>
    </row>
    <row r="1902" spans="7:11" x14ac:dyDescent="0.2">
      <c r="G1902" s="131"/>
      <c r="H1902" s="131"/>
      <c r="I1902" s="131"/>
      <c r="J1902" s="132"/>
      <c r="K1902" s="131"/>
    </row>
    <row r="1903" spans="7:11" x14ac:dyDescent="0.2">
      <c r="G1903" s="131"/>
      <c r="H1903" s="131"/>
      <c r="I1903" s="131"/>
      <c r="J1903" s="132"/>
      <c r="K1903" s="131"/>
    </row>
    <row r="1904" spans="7:11" x14ac:dyDescent="0.2">
      <c r="G1904" s="131"/>
      <c r="H1904" s="131"/>
      <c r="I1904" s="131"/>
      <c r="J1904" s="132"/>
      <c r="K1904" s="131"/>
    </row>
    <row r="1905" spans="7:11" x14ac:dyDescent="0.2">
      <c r="G1905" s="131"/>
      <c r="H1905" s="131"/>
      <c r="I1905" s="131"/>
      <c r="J1905" s="132"/>
      <c r="K1905" s="131"/>
    </row>
    <row r="1906" spans="7:11" x14ac:dyDescent="0.2">
      <c r="G1906" s="131"/>
      <c r="H1906" s="131"/>
      <c r="I1906" s="131"/>
      <c r="J1906" s="132"/>
      <c r="K1906" s="131"/>
    </row>
    <row r="1907" spans="7:11" x14ac:dyDescent="0.2">
      <c r="G1907" s="131"/>
      <c r="H1907" s="131"/>
      <c r="I1907" s="131"/>
      <c r="J1907" s="132"/>
      <c r="K1907" s="131"/>
    </row>
    <row r="1908" spans="7:11" x14ac:dyDescent="0.2">
      <c r="G1908" s="131"/>
      <c r="H1908" s="131"/>
      <c r="I1908" s="131"/>
      <c r="J1908" s="132"/>
      <c r="K1908" s="131"/>
    </row>
    <row r="1909" spans="7:11" x14ac:dyDescent="0.2">
      <c r="G1909" s="131"/>
      <c r="H1909" s="131"/>
      <c r="I1909" s="131"/>
      <c r="J1909" s="132"/>
      <c r="K1909" s="131"/>
    </row>
    <row r="1910" spans="7:11" x14ac:dyDescent="0.2">
      <c r="G1910" s="131"/>
      <c r="H1910" s="131"/>
      <c r="I1910" s="131"/>
      <c r="J1910" s="132"/>
      <c r="K1910" s="131"/>
    </row>
    <row r="1911" spans="7:11" x14ac:dyDescent="0.2">
      <c r="G1911" s="131"/>
      <c r="H1911" s="131"/>
      <c r="I1911" s="131"/>
      <c r="J1911" s="132"/>
      <c r="K1911" s="131"/>
    </row>
    <row r="1912" spans="7:11" x14ac:dyDescent="0.2">
      <c r="G1912" s="131"/>
      <c r="H1912" s="131"/>
      <c r="I1912" s="131"/>
      <c r="J1912" s="132"/>
      <c r="K1912" s="131"/>
    </row>
    <row r="1913" spans="7:11" x14ac:dyDescent="0.2">
      <c r="G1913" s="131"/>
      <c r="H1913" s="131"/>
      <c r="I1913" s="131"/>
      <c r="J1913" s="132"/>
      <c r="K1913" s="131"/>
    </row>
    <row r="1914" spans="7:11" x14ac:dyDescent="0.2">
      <c r="G1914" s="131"/>
      <c r="H1914" s="131"/>
      <c r="I1914" s="131"/>
      <c r="J1914" s="132"/>
      <c r="K1914" s="131"/>
    </row>
    <row r="1915" spans="7:11" x14ac:dyDescent="0.2">
      <c r="G1915" s="131"/>
      <c r="H1915" s="131"/>
      <c r="I1915" s="131"/>
      <c r="J1915" s="132"/>
      <c r="K1915" s="131"/>
    </row>
    <row r="1916" spans="7:11" x14ac:dyDescent="0.2">
      <c r="G1916" s="131"/>
      <c r="H1916" s="131"/>
      <c r="I1916" s="131"/>
      <c r="J1916" s="132"/>
      <c r="K1916" s="131"/>
    </row>
    <row r="1917" spans="7:11" x14ac:dyDescent="0.2">
      <c r="G1917" s="131"/>
      <c r="H1917" s="131"/>
      <c r="I1917" s="131"/>
      <c r="J1917" s="132"/>
      <c r="K1917" s="131"/>
    </row>
    <row r="1918" spans="7:11" x14ac:dyDescent="0.2">
      <c r="G1918" s="131"/>
      <c r="H1918" s="131"/>
      <c r="I1918" s="131"/>
      <c r="J1918" s="132"/>
      <c r="K1918" s="131"/>
    </row>
    <row r="1919" spans="7:11" x14ac:dyDescent="0.2">
      <c r="G1919" s="131"/>
      <c r="H1919" s="131"/>
      <c r="I1919" s="131"/>
      <c r="J1919" s="132"/>
      <c r="K1919" s="131"/>
    </row>
    <row r="1920" spans="7:11" x14ac:dyDescent="0.2">
      <c r="G1920" s="131"/>
      <c r="H1920" s="131"/>
      <c r="I1920" s="131"/>
      <c r="J1920" s="132"/>
      <c r="K1920" s="131"/>
    </row>
    <row r="1921" spans="7:11" x14ac:dyDescent="0.2">
      <c r="G1921" s="131"/>
      <c r="H1921" s="131"/>
      <c r="I1921" s="131"/>
      <c r="J1921" s="132"/>
      <c r="K1921" s="131"/>
    </row>
    <row r="1922" spans="7:11" x14ac:dyDescent="0.2">
      <c r="G1922" s="131"/>
      <c r="H1922" s="131"/>
      <c r="I1922" s="131"/>
      <c r="J1922" s="132"/>
      <c r="K1922" s="131"/>
    </row>
    <row r="1923" spans="7:11" x14ac:dyDescent="0.2">
      <c r="G1923" s="131"/>
      <c r="H1923" s="131"/>
      <c r="I1923" s="131"/>
      <c r="J1923" s="132"/>
      <c r="K1923" s="131"/>
    </row>
    <row r="1924" spans="7:11" x14ac:dyDescent="0.2">
      <c r="G1924" s="131"/>
      <c r="H1924" s="131"/>
      <c r="I1924" s="131"/>
      <c r="J1924" s="132"/>
      <c r="K1924" s="131"/>
    </row>
    <row r="1925" spans="7:11" x14ac:dyDescent="0.2">
      <c r="G1925" s="131"/>
      <c r="H1925" s="131"/>
      <c r="I1925" s="131"/>
      <c r="J1925" s="132"/>
      <c r="K1925" s="131"/>
    </row>
    <row r="1926" spans="7:11" x14ac:dyDescent="0.2">
      <c r="G1926" s="131"/>
      <c r="H1926" s="131"/>
      <c r="I1926" s="131"/>
      <c r="J1926" s="132"/>
      <c r="K1926" s="131"/>
    </row>
    <row r="1927" spans="7:11" x14ac:dyDescent="0.2">
      <c r="G1927" s="131"/>
      <c r="H1927" s="131"/>
      <c r="I1927" s="131"/>
      <c r="J1927" s="132"/>
      <c r="K1927" s="131"/>
    </row>
    <row r="1928" spans="7:11" x14ac:dyDescent="0.2">
      <c r="G1928" s="131"/>
      <c r="H1928" s="131"/>
      <c r="I1928" s="131"/>
      <c r="J1928" s="132"/>
      <c r="K1928" s="131"/>
    </row>
    <row r="1929" spans="7:11" x14ac:dyDescent="0.2">
      <c r="G1929" s="131"/>
      <c r="H1929" s="131"/>
      <c r="I1929" s="131"/>
      <c r="J1929" s="132"/>
      <c r="K1929" s="131"/>
    </row>
    <row r="1930" spans="7:11" x14ac:dyDescent="0.2">
      <c r="G1930" s="131"/>
      <c r="H1930" s="131"/>
      <c r="I1930" s="131"/>
      <c r="J1930" s="132"/>
      <c r="K1930" s="131"/>
    </row>
    <row r="1931" spans="7:11" x14ac:dyDescent="0.2">
      <c r="G1931" s="131"/>
      <c r="H1931" s="131"/>
      <c r="I1931" s="131"/>
      <c r="J1931" s="132"/>
      <c r="K1931" s="131"/>
    </row>
    <row r="1932" spans="7:11" x14ac:dyDescent="0.2">
      <c r="G1932" s="131"/>
      <c r="H1932" s="131"/>
      <c r="I1932" s="131"/>
      <c r="J1932" s="132"/>
      <c r="K1932" s="131"/>
    </row>
    <row r="1933" spans="7:11" x14ac:dyDescent="0.2">
      <c r="G1933" s="131"/>
      <c r="H1933" s="131"/>
      <c r="I1933" s="131"/>
      <c r="J1933" s="132"/>
      <c r="K1933" s="131"/>
    </row>
    <row r="1934" spans="7:11" x14ac:dyDescent="0.2">
      <c r="G1934" s="131"/>
      <c r="H1934" s="131"/>
      <c r="I1934" s="131"/>
      <c r="J1934" s="132"/>
      <c r="K1934" s="131"/>
    </row>
    <row r="1935" spans="7:11" x14ac:dyDescent="0.2">
      <c r="G1935" s="131"/>
      <c r="H1935" s="131"/>
      <c r="I1935" s="131"/>
      <c r="J1935" s="132"/>
      <c r="K1935" s="131"/>
    </row>
    <row r="1936" spans="7:11" x14ac:dyDescent="0.2">
      <c r="G1936" s="131"/>
      <c r="H1936" s="131"/>
      <c r="I1936" s="131"/>
      <c r="J1936" s="132"/>
      <c r="K1936" s="131"/>
    </row>
    <row r="1937" spans="7:11" x14ac:dyDescent="0.2">
      <c r="G1937" s="131"/>
      <c r="H1937" s="131"/>
      <c r="I1937" s="131"/>
      <c r="J1937" s="132"/>
      <c r="K1937" s="131"/>
    </row>
    <row r="1938" spans="7:11" x14ac:dyDescent="0.2">
      <c r="G1938" s="131"/>
      <c r="H1938" s="131"/>
      <c r="I1938" s="131"/>
      <c r="J1938" s="132"/>
      <c r="K1938" s="131"/>
    </row>
    <row r="1939" spans="7:11" x14ac:dyDescent="0.2">
      <c r="G1939" s="131"/>
      <c r="H1939" s="131"/>
      <c r="I1939" s="131"/>
      <c r="J1939" s="132"/>
      <c r="K1939" s="131"/>
    </row>
    <row r="1940" spans="7:11" x14ac:dyDescent="0.2">
      <c r="G1940" s="131"/>
      <c r="H1940" s="131"/>
      <c r="I1940" s="131"/>
      <c r="J1940" s="132"/>
      <c r="K1940" s="131"/>
    </row>
    <row r="1941" spans="7:11" x14ac:dyDescent="0.2">
      <c r="G1941" s="131"/>
      <c r="H1941" s="131"/>
      <c r="I1941" s="131"/>
      <c r="J1941" s="132"/>
      <c r="K1941" s="131"/>
    </row>
    <row r="1942" spans="7:11" x14ac:dyDescent="0.2">
      <c r="G1942" s="131"/>
      <c r="H1942" s="131"/>
      <c r="I1942" s="131"/>
      <c r="J1942" s="132"/>
      <c r="K1942" s="131"/>
    </row>
    <row r="1943" spans="7:11" x14ac:dyDescent="0.2">
      <c r="G1943" s="131"/>
      <c r="H1943" s="131"/>
      <c r="I1943" s="131"/>
      <c r="J1943" s="132"/>
      <c r="K1943" s="131"/>
    </row>
    <row r="1944" spans="7:11" x14ac:dyDescent="0.2">
      <c r="G1944" s="131"/>
      <c r="H1944" s="131"/>
      <c r="I1944" s="131"/>
      <c r="J1944" s="132"/>
      <c r="K1944" s="131"/>
    </row>
    <row r="1945" spans="7:11" x14ac:dyDescent="0.2">
      <c r="G1945" s="131"/>
      <c r="H1945" s="131"/>
      <c r="I1945" s="131"/>
      <c r="J1945" s="132"/>
      <c r="K1945" s="131"/>
    </row>
    <row r="1946" spans="7:11" x14ac:dyDescent="0.2">
      <c r="G1946" s="131"/>
      <c r="H1946" s="131"/>
      <c r="I1946" s="131"/>
      <c r="J1946" s="132"/>
      <c r="K1946" s="131"/>
    </row>
    <row r="1947" spans="7:11" x14ac:dyDescent="0.2">
      <c r="G1947" s="131"/>
      <c r="H1947" s="131"/>
      <c r="I1947" s="131"/>
      <c r="J1947" s="132"/>
      <c r="K1947" s="131"/>
    </row>
    <row r="1948" spans="7:11" x14ac:dyDescent="0.2">
      <c r="G1948" s="131"/>
      <c r="H1948" s="131"/>
      <c r="I1948" s="131"/>
      <c r="J1948" s="132"/>
      <c r="K1948" s="131"/>
    </row>
    <row r="1949" spans="7:11" x14ac:dyDescent="0.2">
      <c r="G1949" s="131"/>
      <c r="H1949" s="131"/>
      <c r="I1949" s="131"/>
      <c r="J1949" s="132"/>
      <c r="K1949" s="131"/>
    </row>
    <row r="1950" spans="7:11" x14ac:dyDescent="0.2">
      <c r="G1950" s="131"/>
      <c r="H1950" s="131"/>
      <c r="I1950" s="131"/>
      <c r="J1950" s="132"/>
      <c r="K1950" s="131"/>
    </row>
    <row r="1951" spans="7:11" x14ac:dyDescent="0.2">
      <c r="G1951" s="131"/>
      <c r="H1951" s="131"/>
      <c r="I1951" s="131"/>
      <c r="J1951" s="132"/>
      <c r="K1951" s="131"/>
    </row>
    <row r="1952" spans="7:11" x14ac:dyDescent="0.2">
      <c r="G1952" s="131"/>
      <c r="H1952" s="131"/>
      <c r="I1952" s="131"/>
      <c r="J1952" s="132"/>
      <c r="K1952" s="131"/>
    </row>
    <row r="1953" spans="7:11" x14ac:dyDescent="0.2">
      <c r="G1953" s="131"/>
      <c r="H1953" s="131"/>
      <c r="I1953" s="131"/>
      <c r="J1953" s="132"/>
      <c r="K1953" s="131"/>
    </row>
    <row r="1954" spans="7:11" x14ac:dyDescent="0.2">
      <c r="G1954" s="131"/>
      <c r="H1954" s="131"/>
      <c r="I1954" s="131"/>
      <c r="J1954" s="132"/>
      <c r="K1954" s="131"/>
    </row>
    <row r="1955" spans="7:11" x14ac:dyDescent="0.2">
      <c r="G1955" s="131"/>
      <c r="H1955" s="131"/>
      <c r="I1955" s="131"/>
      <c r="J1955" s="132"/>
      <c r="K1955" s="131"/>
    </row>
    <row r="1956" spans="7:11" x14ac:dyDescent="0.2">
      <c r="G1956" s="131"/>
      <c r="H1956" s="131"/>
      <c r="I1956" s="131"/>
      <c r="J1956" s="132"/>
      <c r="K1956" s="131"/>
    </row>
    <row r="1957" spans="7:11" x14ac:dyDescent="0.2">
      <c r="G1957" s="131"/>
      <c r="H1957" s="131"/>
      <c r="I1957" s="131"/>
      <c r="J1957" s="132"/>
      <c r="K1957" s="131"/>
    </row>
    <row r="1958" spans="7:11" x14ac:dyDescent="0.2">
      <c r="G1958" s="131"/>
      <c r="H1958" s="131"/>
      <c r="I1958" s="131"/>
      <c r="J1958" s="132"/>
      <c r="K1958" s="131"/>
    </row>
    <row r="1959" spans="7:11" x14ac:dyDescent="0.2">
      <c r="G1959" s="131"/>
      <c r="H1959" s="131"/>
      <c r="I1959" s="131"/>
      <c r="J1959" s="132"/>
      <c r="K1959" s="131"/>
    </row>
    <row r="1960" spans="7:11" x14ac:dyDescent="0.2">
      <c r="G1960" s="131"/>
      <c r="H1960" s="131"/>
      <c r="I1960" s="131"/>
      <c r="J1960" s="132"/>
      <c r="K1960" s="131"/>
    </row>
    <row r="1961" spans="7:11" x14ac:dyDescent="0.2">
      <c r="G1961" s="131"/>
      <c r="H1961" s="131"/>
      <c r="I1961" s="131"/>
      <c r="J1961" s="132"/>
      <c r="K1961" s="131"/>
    </row>
    <row r="1962" spans="7:11" x14ac:dyDescent="0.2">
      <c r="G1962" s="131"/>
      <c r="H1962" s="131"/>
      <c r="I1962" s="131"/>
      <c r="J1962" s="132"/>
      <c r="K1962" s="131"/>
    </row>
    <row r="1963" spans="7:11" x14ac:dyDescent="0.2">
      <c r="G1963" s="131"/>
      <c r="H1963" s="131"/>
      <c r="I1963" s="131"/>
      <c r="J1963" s="132"/>
      <c r="K1963" s="131"/>
    </row>
    <row r="1964" spans="7:11" x14ac:dyDescent="0.2">
      <c r="G1964" s="131"/>
      <c r="H1964" s="131"/>
      <c r="I1964" s="131"/>
      <c r="J1964" s="132"/>
      <c r="K1964" s="131"/>
    </row>
    <row r="1965" spans="7:11" x14ac:dyDescent="0.2">
      <c r="G1965" s="131"/>
      <c r="H1965" s="131"/>
      <c r="I1965" s="131"/>
      <c r="J1965" s="132"/>
      <c r="K1965" s="131"/>
    </row>
    <row r="1966" spans="7:11" x14ac:dyDescent="0.2">
      <c r="G1966" s="131"/>
      <c r="H1966" s="131"/>
      <c r="I1966" s="131"/>
      <c r="J1966" s="132"/>
      <c r="K1966" s="131"/>
    </row>
    <row r="1967" spans="7:11" x14ac:dyDescent="0.2">
      <c r="G1967" s="131"/>
      <c r="H1967" s="131"/>
      <c r="I1967" s="131"/>
      <c r="J1967" s="132"/>
      <c r="K1967" s="131"/>
    </row>
    <row r="1968" spans="7:11" x14ac:dyDescent="0.2">
      <c r="G1968" s="131"/>
      <c r="H1968" s="131"/>
      <c r="I1968" s="131"/>
      <c r="J1968" s="132"/>
      <c r="K1968" s="131"/>
    </row>
    <row r="1969" spans="7:11" x14ac:dyDescent="0.2">
      <c r="G1969" s="131"/>
      <c r="H1969" s="131"/>
      <c r="I1969" s="131"/>
      <c r="J1969" s="132"/>
      <c r="K1969" s="131"/>
    </row>
    <row r="1970" spans="7:11" x14ac:dyDescent="0.2">
      <c r="G1970" s="131"/>
      <c r="H1970" s="131"/>
      <c r="I1970" s="131"/>
      <c r="J1970" s="132"/>
      <c r="K1970" s="131"/>
    </row>
    <row r="1971" spans="7:11" x14ac:dyDescent="0.2">
      <c r="G1971" s="131"/>
      <c r="H1971" s="131"/>
      <c r="I1971" s="131"/>
      <c r="J1971" s="132"/>
      <c r="K1971" s="131"/>
    </row>
    <row r="1972" spans="7:11" x14ac:dyDescent="0.2">
      <c r="G1972" s="131"/>
      <c r="H1972" s="131"/>
      <c r="I1972" s="131"/>
      <c r="J1972" s="132"/>
      <c r="K1972" s="131"/>
    </row>
    <row r="1973" spans="7:11" x14ac:dyDescent="0.2">
      <c r="G1973" s="131"/>
      <c r="H1973" s="131"/>
      <c r="I1973" s="131"/>
      <c r="J1973" s="132"/>
      <c r="K1973" s="131"/>
    </row>
    <row r="1974" spans="7:11" x14ac:dyDescent="0.2">
      <c r="G1974" s="131"/>
      <c r="H1974" s="131"/>
      <c r="I1974" s="131"/>
      <c r="J1974" s="132"/>
      <c r="K1974" s="131"/>
    </row>
    <row r="1975" spans="7:11" x14ac:dyDescent="0.2">
      <c r="G1975" s="131"/>
      <c r="H1975" s="131"/>
      <c r="I1975" s="131"/>
      <c r="J1975" s="132"/>
      <c r="K1975" s="131"/>
    </row>
    <row r="1976" spans="7:11" x14ac:dyDescent="0.2">
      <c r="G1976" s="131"/>
      <c r="H1976" s="131"/>
      <c r="I1976" s="131"/>
      <c r="J1976" s="132"/>
      <c r="K1976" s="131"/>
    </row>
    <row r="1977" spans="7:11" x14ac:dyDescent="0.2">
      <c r="G1977" s="131"/>
      <c r="H1977" s="131"/>
      <c r="I1977" s="131"/>
      <c r="J1977" s="132"/>
      <c r="K1977" s="131"/>
    </row>
    <row r="1978" spans="7:11" x14ac:dyDescent="0.2">
      <c r="G1978" s="131"/>
      <c r="H1978" s="131"/>
      <c r="I1978" s="131"/>
      <c r="J1978" s="132"/>
      <c r="K1978" s="131"/>
    </row>
    <row r="1979" spans="7:11" x14ac:dyDescent="0.2">
      <c r="G1979" s="131"/>
      <c r="H1979" s="131"/>
      <c r="I1979" s="131"/>
      <c r="J1979" s="132"/>
      <c r="K1979" s="131"/>
    </row>
    <row r="1980" spans="7:11" x14ac:dyDescent="0.2">
      <c r="G1980" s="131"/>
      <c r="H1980" s="131"/>
      <c r="I1980" s="131"/>
      <c r="J1980" s="132"/>
      <c r="K1980" s="131"/>
    </row>
    <row r="1981" spans="7:11" x14ac:dyDescent="0.2">
      <c r="G1981" s="131"/>
      <c r="H1981" s="131"/>
      <c r="I1981" s="131"/>
      <c r="J1981" s="132"/>
      <c r="K1981" s="131"/>
    </row>
    <row r="1982" spans="7:11" x14ac:dyDescent="0.2">
      <c r="G1982" s="131"/>
      <c r="H1982" s="131"/>
      <c r="I1982" s="131"/>
      <c r="J1982" s="132"/>
      <c r="K1982" s="131"/>
    </row>
    <row r="1983" spans="7:11" x14ac:dyDescent="0.2">
      <c r="G1983" s="131"/>
      <c r="H1983" s="131"/>
      <c r="I1983" s="131"/>
      <c r="J1983" s="132"/>
      <c r="K1983" s="131"/>
    </row>
    <row r="1984" spans="7:11" x14ac:dyDescent="0.2">
      <c r="G1984" s="131"/>
      <c r="H1984" s="131"/>
      <c r="I1984" s="131"/>
      <c r="J1984" s="132"/>
      <c r="K1984" s="131"/>
    </row>
    <row r="1985" spans="7:11" x14ac:dyDescent="0.2">
      <c r="G1985" s="131"/>
      <c r="H1985" s="131"/>
      <c r="I1985" s="131"/>
      <c r="J1985" s="132"/>
      <c r="K1985" s="131"/>
    </row>
    <row r="1986" spans="7:11" x14ac:dyDescent="0.2">
      <c r="G1986" s="131"/>
      <c r="H1986" s="131"/>
      <c r="I1986" s="131"/>
      <c r="J1986" s="132"/>
      <c r="K1986" s="131"/>
    </row>
    <row r="1987" spans="7:11" x14ac:dyDescent="0.2">
      <c r="G1987" s="131"/>
      <c r="H1987" s="131"/>
      <c r="I1987" s="131"/>
      <c r="J1987" s="132"/>
      <c r="K1987" s="131"/>
    </row>
    <row r="1988" spans="7:11" x14ac:dyDescent="0.2">
      <c r="G1988" s="131"/>
      <c r="H1988" s="131"/>
      <c r="I1988" s="131"/>
      <c r="J1988" s="132"/>
      <c r="K1988" s="131"/>
    </row>
    <row r="1989" spans="7:11" x14ac:dyDescent="0.2">
      <c r="G1989" s="131"/>
      <c r="H1989" s="131"/>
      <c r="I1989" s="131"/>
      <c r="J1989" s="132"/>
      <c r="K1989" s="131"/>
    </row>
    <row r="1990" spans="7:11" x14ac:dyDescent="0.2">
      <c r="G1990" s="131"/>
      <c r="H1990" s="131"/>
      <c r="I1990" s="131"/>
      <c r="J1990" s="132"/>
      <c r="K1990" s="131"/>
    </row>
    <row r="1991" spans="7:11" x14ac:dyDescent="0.2">
      <c r="G1991" s="131"/>
      <c r="H1991" s="131"/>
      <c r="I1991" s="131"/>
      <c r="J1991" s="132"/>
      <c r="K1991" s="131"/>
    </row>
    <row r="1992" spans="7:11" x14ac:dyDescent="0.2">
      <c r="G1992" s="131"/>
      <c r="H1992" s="131"/>
      <c r="I1992" s="131"/>
      <c r="J1992" s="132"/>
      <c r="K1992" s="131"/>
    </row>
    <row r="1993" spans="7:11" x14ac:dyDescent="0.2">
      <c r="G1993" s="131"/>
      <c r="H1993" s="131"/>
      <c r="I1993" s="131"/>
      <c r="J1993" s="132"/>
      <c r="K1993" s="131"/>
    </row>
    <row r="1994" spans="7:11" x14ac:dyDescent="0.2">
      <c r="G1994" s="131"/>
      <c r="H1994" s="131"/>
      <c r="I1994" s="131"/>
      <c r="J1994" s="132"/>
      <c r="K1994" s="131"/>
    </row>
    <row r="1995" spans="7:11" x14ac:dyDescent="0.2">
      <c r="G1995" s="131"/>
      <c r="H1995" s="131"/>
      <c r="I1995" s="131"/>
      <c r="J1995" s="132"/>
      <c r="K1995" s="131"/>
    </row>
    <row r="1996" spans="7:11" x14ac:dyDescent="0.2">
      <c r="G1996" s="131"/>
      <c r="H1996" s="131"/>
      <c r="I1996" s="131"/>
      <c r="J1996" s="132"/>
      <c r="K1996" s="131"/>
    </row>
    <row r="1997" spans="7:11" x14ac:dyDescent="0.2">
      <c r="G1997" s="131"/>
      <c r="H1997" s="131"/>
      <c r="I1997" s="131"/>
      <c r="J1997" s="132"/>
      <c r="K1997" s="131"/>
    </row>
    <row r="1998" spans="7:11" x14ac:dyDescent="0.2">
      <c r="G1998" s="131"/>
      <c r="H1998" s="131"/>
      <c r="I1998" s="131"/>
      <c r="J1998" s="132"/>
      <c r="K1998" s="131"/>
    </row>
    <row r="1999" spans="7:11" x14ac:dyDescent="0.2">
      <c r="G1999" s="131"/>
      <c r="H1999" s="131"/>
      <c r="I1999" s="131"/>
      <c r="J1999" s="132"/>
      <c r="K1999" s="131"/>
    </row>
    <row r="2000" spans="7:11" x14ac:dyDescent="0.2">
      <c r="G2000" s="131"/>
      <c r="H2000" s="131"/>
      <c r="I2000" s="131"/>
      <c r="J2000" s="132"/>
      <c r="K2000" s="131"/>
    </row>
    <row r="2001" spans="7:11" x14ac:dyDescent="0.2">
      <c r="G2001" s="131"/>
      <c r="H2001" s="131"/>
      <c r="I2001" s="131"/>
      <c r="J2001" s="132"/>
      <c r="K2001" s="131"/>
    </row>
    <row r="2002" spans="7:11" x14ac:dyDescent="0.2">
      <c r="G2002" s="131"/>
      <c r="H2002" s="131"/>
      <c r="I2002" s="131"/>
      <c r="J2002" s="132"/>
      <c r="K2002" s="131"/>
    </row>
    <row r="2003" spans="7:11" x14ac:dyDescent="0.2">
      <c r="G2003" s="131"/>
      <c r="H2003" s="131"/>
      <c r="I2003" s="131"/>
      <c r="J2003" s="132"/>
      <c r="K2003" s="131"/>
    </row>
    <row r="2004" spans="7:11" x14ac:dyDescent="0.2">
      <c r="G2004" s="131"/>
      <c r="H2004" s="131"/>
      <c r="I2004" s="131"/>
      <c r="J2004" s="132"/>
      <c r="K2004" s="131"/>
    </row>
    <row r="2005" spans="7:11" x14ac:dyDescent="0.2">
      <c r="G2005" s="131"/>
      <c r="H2005" s="131"/>
      <c r="I2005" s="131"/>
      <c r="J2005" s="132"/>
      <c r="K2005" s="131"/>
    </row>
    <row r="2006" spans="7:11" x14ac:dyDescent="0.2">
      <c r="G2006" s="131"/>
      <c r="H2006" s="131"/>
      <c r="I2006" s="131"/>
      <c r="J2006" s="132"/>
      <c r="K2006" s="131"/>
    </row>
    <row r="2007" spans="7:11" x14ac:dyDescent="0.2">
      <c r="G2007" s="131"/>
      <c r="H2007" s="131"/>
      <c r="I2007" s="131"/>
      <c r="J2007" s="132"/>
      <c r="K2007" s="131"/>
    </row>
    <row r="2008" spans="7:11" x14ac:dyDescent="0.2">
      <c r="G2008" s="131"/>
      <c r="H2008" s="131"/>
      <c r="I2008" s="131"/>
      <c r="J2008" s="132"/>
      <c r="K2008" s="131"/>
    </row>
    <row r="2009" spans="7:11" x14ac:dyDescent="0.2">
      <c r="G2009" s="131"/>
      <c r="H2009" s="131"/>
      <c r="I2009" s="131"/>
      <c r="J2009" s="132"/>
      <c r="K2009" s="131"/>
    </row>
    <row r="2010" spans="7:11" x14ac:dyDescent="0.2">
      <c r="G2010" s="131"/>
      <c r="H2010" s="131"/>
      <c r="I2010" s="131"/>
      <c r="J2010" s="132"/>
      <c r="K2010" s="131"/>
    </row>
    <row r="2011" spans="7:11" x14ac:dyDescent="0.2">
      <c r="G2011" s="131"/>
      <c r="H2011" s="131"/>
      <c r="I2011" s="131"/>
      <c r="J2011" s="132"/>
      <c r="K2011" s="131"/>
    </row>
    <row r="2012" spans="7:11" x14ac:dyDescent="0.2">
      <c r="G2012" s="131"/>
      <c r="H2012" s="131"/>
      <c r="I2012" s="131"/>
      <c r="J2012" s="132"/>
      <c r="K2012" s="131"/>
    </row>
    <row r="2013" spans="7:11" x14ac:dyDescent="0.2">
      <c r="G2013" s="131"/>
      <c r="H2013" s="131"/>
      <c r="I2013" s="131"/>
      <c r="J2013" s="132"/>
      <c r="K2013" s="131"/>
    </row>
    <row r="2014" spans="7:11" x14ac:dyDescent="0.2">
      <c r="G2014" s="131"/>
      <c r="H2014" s="131"/>
      <c r="I2014" s="131"/>
      <c r="J2014" s="132"/>
      <c r="K2014" s="131"/>
    </row>
    <row r="2015" spans="7:11" x14ac:dyDescent="0.2">
      <c r="G2015" s="131"/>
      <c r="H2015" s="131"/>
      <c r="I2015" s="131"/>
      <c r="J2015" s="132"/>
      <c r="K2015" s="131"/>
    </row>
    <row r="2016" spans="7:11" x14ac:dyDescent="0.2">
      <c r="G2016" s="131"/>
      <c r="H2016" s="131"/>
      <c r="I2016" s="131"/>
      <c r="J2016" s="132"/>
      <c r="K2016" s="131"/>
    </row>
    <row r="2017" spans="7:11" x14ac:dyDescent="0.2">
      <c r="G2017" s="131"/>
      <c r="H2017" s="131"/>
      <c r="I2017" s="131"/>
      <c r="J2017" s="132"/>
      <c r="K2017" s="131"/>
    </row>
    <row r="2018" spans="7:11" x14ac:dyDescent="0.2">
      <c r="G2018" s="131"/>
      <c r="H2018" s="131"/>
      <c r="I2018" s="131"/>
      <c r="J2018" s="132"/>
      <c r="K2018" s="131"/>
    </row>
    <row r="2019" spans="7:11" x14ac:dyDescent="0.2">
      <c r="G2019" s="131"/>
      <c r="H2019" s="131"/>
      <c r="I2019" s="131"/>
      <c r="J2019" s="132"/>
      <c r="K2019" s="131"/>
    </row>
    <row r="2020" spans="7:11" x14ac:dyDescent="0.2">
      <c r="G2020" s="131"/>
      <c r="H2020" s="131"/>
      <c r="I2020" s="131"/>
      <c r="J2020" s="132"/>
      <c r="K2020" s="131"/>
    </row>
    <row r="2021" spans="7:11" x14ac:dyDescent="0.2">
      <c r="G2021" s="131"/>
      <c r="H2021" s="131"/>
      <c r="I2021" s="131"/>
      <c r="J2021" s="132"/>
      <c r="K2021" s="131"/>
    </row>
    <row r="2022" spans="7:11" x14ac:dyDescent="0.2">
      <c r="G2022" s="131"/>
      <c r="H2022" s="131"/>
      <c r="I2022" s="131"/>
      <c r="J2022" s="132"/>
      <c r="K2022" s="131"/>
    </row>
    <row r="2023" spans="7:11" x14ac:dyDescent="0.2">
      <c r="G2023" s="131"/>
      <c r="H2023" s="131"/>
      <c r="I2023" s="131"/>
      <c r="J2023" s="132"/>
      <c r="K2023" s="131"/>
    </row>
    <row r="2024" spans="7:11" x14ac:dyDescent="0.2">
      <c r="G2024" s="131"/>
      <c r="H2024" s="131"/>
      <c r="I2024" s="131"/>
      <c r="J2024" s="132"/>
      <c r="K2024" s="131"/>
    </row>
    <row r="2025" spans="7:11" x14ac:dyDescent="0.2">
      <c r="G2025" s="131"/>
      <c r="H2025" s="131"/>
      <c r="I2025" s="131"/>
      <c r="J2025" s="132"/>
      <c r="K2025" s="131"/>
    </row>
    <row r="2026" spans="7:11" x14ac:dyDescent="0.2">
      <c r="G2026" s="131"/>
      <c r="H2026" s="131"/>
      <c r="I2026" s="131"/>
      <c r="J2026" s="132"/>
      <c r="K2026" s="131"/>
    </row>
    <row r="2027" spans="7:11" x14ac:dyDescent="0.2">
      <c r="G2027" s="131"/>
      <c r="H2027" s="131"/>
      <c r="I2027" s="131"/>
      <c r="J2027" s="132"/>
      <c r="K2027" s="131"/>
    </row>
    <row r="2028" spans="7:11" x14ac:dyDescent="0.2">
      <c r="G2028" s="131"/>
      <c r="H2028" s="131"/>
      <c r="I2028" s="131"/>
      <c r="J2028" s="132"/>
      <c r="K2028" s="131"/>
    </row>
    <row r="2029" spans="7:11" x14ac:dyDescent="0.2">
      <c r="G2029" s="131"/>
      <c r="H2029" s="131"/>
      <c r="I2029" s="131"/>
      <c r="J2029" s="132"/>
      <c r="K2029" s="131"/>
    </row>
    <row r="2030" spans="7:11" x14ac:dyDescent="0.2">
      <c r="G2030" s="131"/>
      <c r="H2030" s="131"/>
      <c r="I2030" s="131"/>
      <c r="J2030" s="132"/>
      <c r="K2030" s="131"/>
    </row>
    <row r="2031" spans="7:11" x14ac:dyDescent="0.2">
      <c r="G2031" s="131"/>
      <c r="H2031" s="131"/>
      <c r="I2031" s="131"/>
      <c r="J2031" s="132"/>
      <c r="K2031" s="131"/>
    </row>
    <row r="2032" spans="7:11" x14ac:dyDescent="0.2">
      <c r="G2032" s="131"/>
      <c r="H2032" s="131"/>
      <c r="I2032" s="131"/>
      <c r="J2032" s="132"/>
      <c r="K2032" s="131"/>
    </row>
    <row r="2033" spans="7:11" x14ac:dyDescent="0.2">
      <c r="G2033" s="131"/>
      <c r="H2033" s="131"/>
      <c r="I2033" s="131"/>
      <c r="J2033" s="132"/>
      <c r="K2033" s="131"/>
    </row>
    <row r="2034" spans="7:11" x14ac:dyDescent="0.2">
      <c r="G2034" s="131"/>
      <c r="H2034" s="131"/>
      <c r="I2034" s="131"/>
      <c r="J2034" s="132"/>
      <c r="K2034" s="131"/>
    </row>
    <row r="2035" spans="7:11" x14ac:dyDescent="0.2">
      <c r="G2035" s="131"/>
      <c r="H2035" s="131"/>
      <c r="I2035" s="131"/>
      <c r="J2035" s="132"/>
      <c r="K2035" s="131"/>
    </row>
    <row r="2036" spans="7:11" x14ac:dyDescent="0.2">
      <c r="G2036" s="131"/>
      <c r="H2036" s="131"/>
      <c r="I2036" s="131"/>
      <c r="J2036" s="132"/>
      <c r="K2036" s="131"/>
    </row>
    <row r="2037" spans="7:11" x14ac:dyDescent="0.2">
      <c r="G2037" s="131"/>
      <c r="H2037" s="131"/>
      <c r="I2037" s="131"/>
      <c r="J2037" s="132"/>
      <c r="K2037" s="131"/>
    </row>
    <row r="2038" spans="7:11" x14ac:dyDescent="0.2">
      <c r="G2038" s="131"/>
      <c r="H2038" s="131"/>
      <c r="I2038" s="131"/>
      <c r="J2038" s="132"/>
      <c r="K2038" s="131"/>
    </row>
    <row r="2039" spans="7:11" x14ac:dyDescent="0.2">
      <c r="G2039" s="131"/>
      <c r="H2039" s="131"/>
      <c r="I2039" s="131"/>
      <c r="J2039" s="132"/>
      <c r="K2039" s="131"/>
    </row>
    <row r="2040" spans="7:11" x14ac:dyDescent="0.2">
      <c r="G2040" s="131"/>
      <c r="H2040" s="131"/>
      <c r="I2040" s="131"/>
      <c r="J2040" s="132"/>
      <c r="K2040" s="131"/>
    </row>
    <row r="2041" spans="7:11" x14ac:dyDescent="0.2">
      <c r="G2041" s="131"/>
      <c r="H2041" s="131"/>
      <c r="I2041" s="131"/>
      <c r="J2041" s="132"/>
      <c r="K2041" s="131"/>
    </row>
    <row r="2042" spans="7:11" x14ac:dyDescent="0.2">
      <c r="G2042" s="131"/>
      <c r="H2042" s="131"/>
      <c r="I2042" s="131"/>
      <c r="J2042" s="132"/>
      <c r="K2042" s="131"/>
    </row>
    <row r="2043" spans="7:11" x14ac:dyDescent="0.2">
      <c r="G2043" s="131"/>
      <c r="H2043" s="131"/>
      <c r="I2043" s="131"/>
      <c r="J2043" s="132"/>
      <c r="K2043" s="131"/>
    </row>
    <row r="2044" spans="7:11" x14ac:dyDescent="0.2">
      <c r="G2044" s="131"/>
      <c r="H2044" s="131"/>
      <c r="I2044" s="131"/>
      <c r="J2044" s="132"/>
      <c r="K2044" s="131"/>
    </row>
    <row r="2045" spans="7:11" x14ac:dyDescent="0.2">
      <c r="G2045" s="131"/>
      <c r="H2045" s="131"/>
      <c r="I2045" s="131"/>
      <c r="J2045" s="132"/>
      <c r="K2045" s="131"/>
    </row>
    <row r="2046" spans="7:11" x14ac:dyDescent="0.2">
      <c r="G2046" s="131"/>
      <c r="H2046" s="131"/>
      <c r="I2046" s="131"/>
      <c r="J2046" s="132"/>
      <c r="K2046" s="131"/>
    </row>
    <row r="2047" spans="7:11" x14ac:dyDescent="0.2">
      <c r="G2047" s="131"/>
      <c r="H2047" s="131"/>
      <c r="I2047" s="131"/>
      <c r="J2047" s="132"/>
      <c r="K2047" s="131"/>
    </row>
    <row r="2048" spans="7:11" x14ac:dyDescent="0.2">
      <c r="G2048" s="131"/>
      <c r="H2048" s="131"/>
      <c r="I2048" s="131"/>
      <c r="J2048" s="132"/>
      <c r="K2048" s="131"/>
    </row>
    <row r="2049" spans="7:11" x14ac:dyDescent="0.2">
      <c r="G2049" s="131"/>
      <c r="H2049" s="131"/>
      <c r="I2049" s="131"/>
      <c r="J2049" s="132"/>
      <c r="K2049" s="131"/>
    </row>
    <row r="2050" spans="7:11" x14ac:dyDescent="0.2">
      <c r="G2050" s="131"/>
      <c r="H2050" s="131"/>
      <c r="I2050" s="131"/>
      <c r="J2050" s="132"/>
      <c r="K2050" s="131"/>
    </row>
    <row r="2051" spans="7:11" x14ac:dyDescent="0.2">
      <c r="G2051" s="131"/>
      <c r="H2051" s="131"/>
      <c r="I2051" s="131"/>
      <c r="J2051" s="132"/>
      <c r="K2051" s="131"/>
    </row>
    <row r="2052" spans="7:11" x14ac:dyDescent="0.2">
      <c r="G2052" s="131"/>
      <c r="H2052" s="131"/>
      <c r="I2052" s="131"/>
      <c r="J2052" s="132"/>
      <c r="K2052" s="131"/>
    </row>
    <row r="2053" spans="7:11" x14ac:dyDescent="0.2">
      <c r="G2053" s="131"/>
      <c r="H2053" s="131"/>
      <c r="I2053" s="131"/>
      <c r="J2053" s="132"/>
      <c r="K2053" s="131"/>
    </row>
    <row r="2054" spans="7:11" x14ac:dyDescent="0.2">
      <c r="G2054" s="131"/>
      <c r="H2054" s="131"/>
      <c r="I2054" s="131"/>
      <c r="J2054" s="132"/>
      <c r="K2054" s="131"/>
    </row>
    <row r="2055" spans="7:11" x14ac:dyDescent="0.2">
      <c r="G2055" s="131"/>
      <c r="H2055" s="131"/>
      <c r="I2055" s="131"/>
      <c r="J2055" s="132"/>
      <c r="K2055" s="131"/>
    </row>
    <row r="2056" spans="7:11" x14ac:dyDescent="0.2">
      <c r="G2056" s="131"/>
      <c r="H2056" s="131"/>
      <c r="I2056" s="131"/>
      <c r="J2056" s="132"/>
      <c r="K2056" s="131"/>
    </row>
    <row r="2057" spans="7:11" x14ac:dyDescent="0.2">
      <c r="G2057" s="131"/>
      <c r="H2057" s="131"/>
      <c r="I2057" s="131"/>
      <c r="J2057" s="132"/>
      <c r="K2057" s="131"/>
    </row>
    <row r="2058" spans="7:11" x14ac:dyDescent="0.2">
      <c r="G2058" s="131"/>
      <c r="H2058" s="131"/>
      <c r="I2058" s="131"/>
      <c r="J2058" s="132"/>
      <c r="K2058" s="131"/>
    </row>
    <row r="2059" spans="7:11" x14ac:dyDescent="0.2">
      <c r="G2059" s="131"/>
      <c r="H2059" s="131"/>
      <c r="I2059" s="131"/>
      <c r="J2059" s="132"/>
      <c r="K2059" s="131"/>
    </row>
    <row r="2060" spans="7:11" x14ac:dyDescent="0.2">
      <c r="G2060" s="131"/>
      <c r="H2060" s="131"/>
      <c r="I2060" s="131"/>
      <c r="J2060" s="132"/>
      <c r="K2060" s="131"/>
    </row>
    <row r="2061" spans="7:11" x14ac:dyDescent="0.2">
      <c r="G2061" s="131"/>
      <c r="H2061" s="131"/>
      <c r="I2061" s="131"/>
      <c r="J2061" s="132"/>
      <c r="K2061" s="131"/>
    </row>
    <row r="2062" spans="7:11" x14ac:dyDescent="0.2">
      <c r="G2062" s="131"/>
      <c r="H2062" s="131"/>
      <c r="I2062" s="131"/>
      <c r="J2062" s="132"/>
      <c r="K2062" s="131"/>
    </row>
    <row r="2063" spans="7:11" x14ac:dyDescent="0.2">
      <c r="G2063" s="131"/>
      <c r="H2063" s="131"/>
      <c r="I2063" s="131"/>
      <c r="J2063" s="132"/>
      <c r="K2063" s="131"/>
    </row>
    <row r="2064" spans="7:11" x14ac:dyDescent="0.2">
      <c r="G2064" s="131"/>
      <c r="H2064" s="131"/>
      <c r="I2064" s="131"/>
      <c r="J2064" s="132"/>
      <c r="K2064" s="131"/>
    </row>
    <row r="2065" spans="7:11" x14ac:dyDescent="0.2">
      <c r="G2065" s="131"/>
      <c r="H2065" s="131"/>
      <c r="I2065" s="131"/>
      <c r="J2065" s="132"/>
      <c r="K2065" s="131"/>
    </row>
    <row r="2066" spans="7:11" x14ac:dyDescent="0.2">
      <c r="G2066" s="131"/>
      <c r="H2066" s="131"/>
      <c r="I2066" s="131"/>
      <c r="J2066" s="132"/>
      <c r="K2066" s="131"/>
    </row>
    <row r="2067" spans="7:11" x14ac:dyDescent="0.2">
      <c r="G2067" s="131"/>
      <c r="H2067" s="131"/>
      <c r="I2067" s="131"/>
      <c r="J2067" s="132"/>
      <c r="K2067" s="131"/>
    </row>
    <row r="2068" spans="7:11" x14ac:dyDescent="0.2">
      <c r="G2068" s="131"/>
      <c r="H2068" s="131"/>
      <c r="I2068" s="131"/>
      <c r="J2068" s="132"/>
      <c r="K2068" s="131"/>
    </row>
    <row r="2069" spans="7:11" x14ac:dyDescent="0.2">
      <c r="G2069" s="131"/>
      <c r="H2069" s="131"/>
      <c r="I2069" s="131"/>
      <c r="J2069" s="132"/>
      <c r="K2069" s="131"/>
    </row>
    <row r="2070" spans="7:11" x14ac:dyDescent="0.2">
      <c r="G2070" s="131"/>
      <c r="H2070" s="131"/>
      <c r="I2070" s="131"/>
      <c r="J2070" s="132"/>
      <c r="K2070" s="131"/>
    </row>
    <row r="2071" spans="7:11" x14ac:dyDescent="0.2">
      <c r="G2071" s="131"/>
      <c r="H2071" s="131"/>
      <c r="I2071" s="131"/>
      <c r="J2071" s="132"/>
      <c r="K2071" s="131"/>
    </row>
    <row r="2072" spans="7:11" x14ac:dyDescent="0.2">
      <c r="G2072" s="131"/>
      <c r="H2072" s="131"/>
      <c r="I2072" s="131"/>
      <c r="J2072" s="132"/>
      <c r="K2072" s="131"/>
    </row>
    <row r="2073" spans="7:11" x14ac:dyDescent="0.2">
      <c r="G2073" s="131"/>
      <c r="H2073" s="131"/>
      <c r="I2073" s="131"/>
      <c r="J2073" s="132"/>
      <c r="K2073" s="131"/>
    </row>
    <row r="2074" spans="7:11" x14ac:dyDescent="0.2">
      <c r="G2074" s="131"/>
      <c r="H2074" s="131"/>
      <c r="I2074" s="131"/>
      <c r="J2074" s="132"/>
      <c r="K2074" s="131"/>
    </row>
    <row r="2075" spans="7:11" x14ac:dyDescent="0.2">
      <c r="G2075" s="131"/>
      <c r="H2075" s="131"/>
      <c r="I2075" s="131"/>
      <c r="J2075" s="132"/>
      <c r="K2075" s="131"/>
    </row>
    <row r="2076" spans="7:11" x14ac:dyDescent="0.2">
      <c r="G2076" s="131"/>
      <c r="H2076" s="131"/>
      <c r="I2076" s="131"/>
      <c r="J2076" s="132"/>
      <c r="K2076" s="131"/>
    </row>
    <row r="2077" spans="7:11" x14ac:dyDescent="0.2">
      <c r="G2077" s="131"/>
      <c r="H2077" s="131"/>
      <c r="I2077" s="131"/>
      <c r="J2077" s="132"/>
      <c r="K2077" s="131"/>
    </row>
    <row r="2078" spans="7:11" x14ac:dyDescent="0.2">
      <c r="G2078" s="131"/>
      <c r="H2078" s="131"/>
      <c r="I2078" s="131"/>
      <c r="J2078" s="132"/>
      <c r="K2078" s="131"/>
    </row>
    <row r="2079" spans="7:11" x14ac:dyDescent="0.2">
      <c r="G2079" s="131"/>
      <c r="H2079" s="131"/>
      <c r="I2079" s="131"/>
      <c r="J2079" s="132"/>
      <c r="K2079" s="131"/>
    </row>
    <row r="2080" spans="7:11" x14ac:dyDescent="0.2">
      <c r="G2080" s="131"/>
      <c r="H2080" s="131"/>
      <c r="I2080" s="131"/>
      <c r="J2080" s="132"/>
      <c r="K2080" s="131"/>
    </row>
    <row r="2081" spans="7:11" x14ac:dyDescent="0.2">
      <c r="G2081" s="131"/>
      <c r="H2081" s="131"/>
      <c r="I2081" s="131"/>
      <c r="J2081" s="132"/>
      <c r="K2081" s="131"/>
    </row>
    <row r="2082" spans="7:11" x14ac:dyDescent="0.2">
      <c r="G2082" s="131"/>
      <c r="H2082" s="131"/>
      <c r="I2082" s="131"/>
      <c r="J2082" s="132"/>
      <c r="K2082" s="131"/>
    </row>
    <row r="2083" spans="7:11" x14ac:dyDescent="0.2">
      <c r="G2083" s="131"/>
      <c r="H2083" s="131"/>
      <c r="I2083" s="131"/>
      <c r="J2083" s="132"/>
      <c r="K2083" s="131"/>
    </row>
    <row r="2084" spans="7:11" x14ac:dyDescent="0.2">
      <c r="G2084" s="131"/>
      <c r="H2084" s="131"/>
      <c r="I2084" s="131"/>
      <c r="J2084" s="132"/>
      <c r="K2084" s="131"/>
    </row>
    <row r="2085" spans="7:11" x14ac:dyDescent="0.2">
      <c r="G2085" s="131"/>
      <c r="H2085" s="131"/>
      <c r="I2085" s="131"/>
      <c r="J2085" s="132"/>
      <c r="K2085" s="131"/>
    </row>
    <row r="2086" spans="7:11" x14ac:dyDescent="0.2">
      <c r="G2086" s="131"/>
      <c r="H2086" s="131"/>
      <c r="I2086" s="131"/>
      <c r="J2086" s="132"/>
      <c r="K2086" s="131"/>
    </row>
    <row r="2087" spans="7:11" x14ac:dyDescent="0.2">
      <c r="G2087" s="131"/>
      <c r="H2087" s="131"/>
      <c r="I2087" s="131"/>
      <c r="J2087" s="132"/>
      <c r="K2087" s="131"/>
    </row>
    <row r="2088" spans="7:11" x14ac:dyDescent="0.2">
      <c r="G2088" s="131"/>
      <c r="H2088" s="131"/>
      <c r="I2088" s="131"/>
      <c r="J2088" s="132"/>
      <c r="K2088" s="131"/>
    </row>
    <row r="2089" spans="7:11" x14ac:dyDescent="0.2">
      <c r="G2089" s="131"/>
      <c r="H2089" s="131"/>
      <c r="I2089" s="131"/>
      <c r="J2089" s="132"/>
      <c r="K2089" s="131"/>
    </row>
    <row r="2090" spans="7:11" x14ac:dyDescent="0.2">
      <c r="G2090" s="131"/>
      <c r="H2090" s="131"/>
      <c r="I2090" s="131"/>
      <c r="J2090" s="132"/>
      <c r="K2090" s="131"/>
    </row>
    <row r="2091" spans="7:11" x14ac:dyDescent="0.2">
      <c r="G2091" s="131"/>
      <c r="H2091" s="131"/>
      <c r="I2091" s="131"/>
      <c r="J2091" s="132"/>
      <c r="K2091" s="131"/>
    </row>
    <row r="2092" spans="7:11" x14ac:dyDescent="0.2">
      <c r="G2092" s="131"/>
      <c r="H2092" s="131"/>
      <c r="I2092" s="131"/>
      <c r="J2092" s="132"/>
      <c r="K2092" s="131"/>
    </row>
    <row r="2093" spans="7:11" x14ac:dyDescent="0.2">
      <c r="G2093" s="131"/>
      <c r="H2093" s="131"/>
      <c r="I2093" s="131"/>
      <c r="J2093" s="132"/>
      <c r="K2093" s="131"/>
    </row>
    <row r="2094" spans="7:11" x14ac:dyDescent="0.2">
      <c r="G2094" s="131"/>
      <c r="H2094" s="131"/>
      <c r="I2094" s="131"/>
      <c r="J2094" s="132"/>
      <c r="K2094" s="131"/>
    </row>
    <row r="2095" spans="7:11" x14ac:dyDescent="0.2">
      <c r="G2095" s="131"/>
      <c r="H2095" s="131"/>
      <c r="I2095" s="131"/>
      <c r="J2095" s="132"/>
      <c r="K2095" s="131"/>
    </row>
    <row r="2096" spans="7:11" x14ac:dyDescent="0.2">
      <c r="G2096" s="131"/>
      <c r="H2096" s="131"/>
      <c r="I2096" s="131"/>
      <c r="J2096" s="132"/>
      <c r="K2096" s="131"/>
    </row>
    <row r="2097" spans="7:11" x14ac:dyDescent="0.2">
      <c r="G2097" s="131"/>
      <c r="H2097" s="131"/>
      <c r="I2097" s="131"/>
      <c r="J2097" s="132"/>
      <c r="K2097" s="131"/>
    </row>
    <row r="2098" spans="7:11" x14ac:dyDescent="0.2">
      <c r="G2098" s="131"/>
      <c r="H2098" s="131"/>
      <c r="I2098" s="131"/>
      <c r="J2098" s="132"/>
      <c r="K2098" s="131"/>
    </row>
    <row r="2099" spans="7:11" x14ac:dyDescent="0.2">
      <c r="G2099" s="131"/>
      <c r="H2099" s="131"/>
      <c r="I2099" s="131"/>
      <c r="J2099" s="132"/>
      <c r="K2099" s="131"/>
    </row>
    <row r="2100" spans="7:11" x14ac:dyDescent="0.2">
      <c r="G2100" s="131"/>
      <c r="H2100" s="131"/>
      <c r="I2100" s="131"/>
      <c r="J2100" s="132"/>
      <c r="K2100" s="131"/>
    </row>
    <row r="2101" spans="7:11" x14ac:dyDescent="0.2">
      <c r="G2101" s="131"/>
      <c r="H2101" s="131"/>
      <c r="I2101" s="131"/>
      <c r="J2101" s="132"/>
      <c r="K2101" s="131"/>
    </row>
    <row r="2102" spans="7:11" x14ac:dyDescent="0.2">
      <c r="G2102" s="131"/>
      <c r="H2102" s="131"/>
      <c r="I2102" s="131"/>
      <c r="J2102" s="132"/>
      <c r="K2102" s="131"/>
    </row>
    <row r="2103" spans="7:11" x14ac:dyDescent="0.2">
      <c r="G2103" s="131"/>
      <c r="H2103" s="131"/>
      <c r="I2103" s="131"/>
      <c r="J2103" s="132"/>
      <c r="K2103" s="131"/>
    </row>
    <row r="2104" spans="7:11" x14ac:dyDescent="0.2">
      <c r="G2104" s="131"/>
      <c r="H2104" s="131"/>
      <c r="I2104" s="131"/>
      <c r="J2104" s="132"/>
      <c r="K2104" s="131"/>
    </row>
    <row r="2105" spans="7:11" x14ac:dyDescent="0.2">
      <c r="G2105" s="131"/>
      <c r="H2105" s="131"/>
      <c r="I2105" s="131"/>
      <c r="J2105" s="132"/>
      <c r="K2105" s="131"/>
    </row>
    <row r="2106" spans="7:11" x14ac:dyDescent="0.2">
      <c r="G2106" s="131"/>
      <c r="H2106" s="131"/>
      <c r="I2106" s="131"/>
      <c r="J2106" s="132"/>
      <c r="K2106" s="131"/>
    </row>
    <row r="2107" spans="7:11" x14ac:dyDescent="0.2">
      <c r="G2107" s="131"/>
      <c r="H2107" s="131"/>
      <c r="I2107" s="131"/>
      <c r="J2107" s="132"/>
      <c r="K2107" s="131"/>
    </row>
    <row r="2108" spans="7:11" x14ac:dyDescent="0.2">
      <c r="G2108" s="131"/>
      <c r="H2108" s="131"/>
      <c r="I2108" s="131"/>
      <c r="J2108" s="132"/>
      <c r="K2108" s="131"/>
    </row>
    <row r="2109" spans="7:11" x14ac:dyDescent="0.2">
      <c r="G2109" s="131"/>
      <c r="H2109" s="131"/>
      <c r="I2109" s="131"/>
      <c r="J2109" s="132"/>
      <c r="K2109" s="131"/>
    </row>
    <row r="2110" spans="7:11" x14ac:dyDescent="0.2">
      <c r="G2110" s="131"/>
      <c r="H2110" s="131"/>
      <c r="I2110" s="131"/>
      <c r="J2110" s="132"/>
      <c r="K2110" s="131"/>
    </row>
    <row r="2111" spans="7:11" x14ac:dyDescent="0.2">
      <c r="G2111" s="131"/>
      <c r="H2111" s="131"/>
      <c r="I2111" s="131"/>
      <c r="J2111" s="132"/>
      <c r="K2111" s="131"/>
    </row>
    <row r="2112" spans="7:11" x14ac:dyDescent="0.2">
      <c r="G2112" s="131"/>
      <c r="H2112" s="131"/>
      <c r="I2112" s="131"/>
      <c r="J2112" s="132"/>
      <c r="K2112" s="131"/>
    </row>
    <row r="2113" spans="7:11" x14ac:dyDescent="0.2">
      <c r="G2113" s="131"/>
      <c r="H2113" s="131"/>
      <c r="I2113" s="131"/>
      <c r="J2113" s="132"/>
      <c r="K2113" s="131"/>
    </row>
    <row r="2114" spans="7:11" x14ac:dyDescent="0.2">
      <c r="G2114" s="131"/>
      <c r="H2114" s="131"/>
      <c r="I2114" s="131"/>
      <c r="J2114" s="132"/>
      <c r="K2114" s="131"/>
    </row>
    <row r="2115" spans="7:11" x14ac:dyDescent="0.2">
      <c r="G2115" s="131"/>
      <c r="H2115" s="131"/>
      <c r="I2115" s="131"/>
      <c r="J2115" s="132"/>
      <c r="K2115" s="131"/>
    </row>
    <row r="2116" spans="7:11" x14ac:dyDescent="0.2">
      <c r="G2116" s="131"/>
      <c r="H2116" s="131"/>
      <c r="I2116" s="131"/>
      <c r="J2116" s="132"/>
      <c r="K2116" s="131"/>
    </row>
    <row r="2117" spans="7:11" x14ac:dyDescent="0.2">
      <c r="G2117" s="131"/>
      <c r="H2117" s="131"/>
      <c r="I2117" s="131"/>
      <c r="J2117" s="132"/>
      <c r="K2117" s="131"/>
    </row>
    <row r="2118" spans="7:11" x14ac:dyDescent="0.2">
      <c r="G2118" s="131"/>
      <c r="H2118" s="131"/>
      <c r="I2118" s="131"/>
      <c r="J2118" s="132"/>
      <c r="K2118" s="131"/>
    </row>
    <row r="2119" spans="7:11" x14ac:dyDescent="0.2">
      <c r="G2119" s="131"/>
      <c r="H2119" s="131"/>
      <c r="I2119" s="131"/>
      <c r="J2119" s="132"/>
      <c r="K2119" s="131"/>
    </row>
    <row r="2120" spans="7:11" x14ac:dyDescent="0.2">
      <c r="G2120" s="131"/>
      <c r="H2120" s="131"/>
      <c r="I2120" s="131"/>
      <c r="J2120" s="132"/>
      <c r="K2120" s="131"/>
    </row>
    <row r="2121" spans="7:11" x14ac:dyDescent="0.2">
      <c r="G2121" s="131"/>
      <c r="H2121" s="131"/>
      <c r="I2121" s="131"/>
      <c r="J2121" s="132"/>
      <c r="K2121" s="131"/>
    </row>
    <row r="2122" spans="7:11" x14ac:dyDescent="0.2">
      <c r="G2122" s="131"/>
      <c r="H2122" s="131"/>
      <c r="I2122" s="131"/>
      <c r="J2122" s="132"/>
      <c r="K2122" s="131"/>
    </row>
    <row r="2123" spans="7:11" x14ac:dyDescent="0.2">
      <c r="G2123" s="131"/>
      <c r="H2123" s="131"/>
      <c r="I2123" s="131"/>
      <c r="J2123" s="132"/>
      <c r="K2123" s="131"/>
    </row>
    <row r="2124" spans="7:11" x14ac:dyDescent="0.2">
      <c r="G2124" s="131"/>
      <c r="H2124" s="131"/>
      <c r="I2124" s="131"/>
      <c r="J2124" s="132"/>
      <c r="K2124" s="131"/>
    </row>
    <row r="2125" spans="7:11" x14ac:dyDescent="0.2">
      <c r="G2125" s="131"/>
      <c r="H2125" s="131"/>
      <c r="I2125" s="131"/>
      <c r="J2125" s="132"/>
      <c r="K2125" s="131"/>
    </row>
    <row r="2126" spans="7:11" x14ac:dyDescent="0.2">
      <c r="G2126" s="131"/>
      <c r="H2126" s="131"/>
      <c r="I2126" s="131"/>
      <c r="J2126" s="132"/>
      <c r="K2126" s="131"/>
    </row>
    <row r="2127" spans="7:11" x14ac:dyDescent="0.2">
      <c r="G2127" s="131"/>
      <c r="H2127" s="131"/>
      <c r="I2127" s="131"/>
      <c r="J2127" s="132"/>
      <c r="K2127" s="131"/>
    </row>
    <row r="2128" spans="7:11" x14ac:dyDescent="0.2">
      <c r="G2128" s="131"/>
      <c r="H2128" s="131"/>
      <c r="I2128" s="131"/>
      <c r="J2128" s="132"/>
      <c r="K2128" s="131"/>
    </row>
    <row r="2129" spans="7:11" x14ac:dyDescent="0.2">
      <c r="G2129" s="131"/>
      <c r="H2129" s="131"/>
      <c r="I2129" s="131"/>
      <c r="J2129" s="132"/>
      <c r="K2129" s="131"/>
    </row>
    <row r="2130" spans="7:11" x14ac:dyDescent="0.2">
      <c r="G2130" s="131"/>
      <c r="H2130" s="131"/>
      <c r="I2130" s="131"/>
      <c r="J2130" s="132"/>
      <c r="K2130" s="131"/>
    </row>
    <row r="2131" spans="7:11" x14ac:dyDescent="0.2">
      <c r="G2131" s="131"/>
      <c r="H2131" s="131"/>
      <c r="I2131" s="131"/>
      <c r="J2131" s="132"/>
      <c r="K2131" s="131"/>
    </row>
    <row r="2132" spans="7:11" x14ac:dyDescent="0.2">
      <c r="G2132" s="131"/>
      <c r="H2132" s="131"/>
      <c r="I2132" s="131"/>
      <c r="J2132" s="132"/>
      <c r="K2132" s="131"/>
    </row>
    <row r="2133" spans="7:11" x14ac:dyDescent="0.2">
      <c r="G2133" s="131"/>
      <c r="H2133" s="131"/>
      <c r="I2133" s="131"/>
      <c r="J2133" s="132"/>
      <c r="K2133" s="131"/>
    </row>
    <row r="2134" spans="7:11" x14ac:dyDescent="0.2">
      <c r="G2134" s="131"/>
      <c r="H2134" s="131"/>
      <c r="I2134" s="131"/>
      <c r="J2134" s="132"/>
      <c r="K2134" s="131"/>
    </row>
    <row r="2135" spans="7:11" x14ac:dyDescent="0.2">
      <c r="G2135" s="131"/>
      <c r="H2135" s="131"/>
      <c r="I2135" s="131"/>
      <c r="J2135" s="132"/>
      <c r="K2135" s="131"/>
    </row>
    <row r="2136" spans="7:11" x14ac:dyDescent="0.2">
      <c r="G2136" s="131"/>
      <c r="H2136" s="131"/>
      <c r="I2136" s="131"/>
      <c r="J2136" s="132"/>
      <c r="K2136" s="131"/>
    </row>
    <row r="2137" spans="7:11" x14ac:dyDescent="0.2">
      <c r="G2137" s="131"/>
      <c r="H2137" s="131"/>
      <c r="I2137" s="131"/>
      <c r="J2137" s="132"/>
      <c r="K2137" s="131"/>
    </row>
    <row r="2138" spans="7:11" x14ac:dyDescent="0.2">
      <c r="G2138" s="131"/>
      <c r="H2138" s="131"/>
      <c r="I2138" s="131"/>
      <c r="J2138" s="132"/>
      <c r="K2138" s="131"/>
    </row>
    <row r="2139" spans="7:11" x14ac:dyDescent="0.2">
      <c r="G2139" s="131"/>
      <c r="H2139" s="131"/>
      <c r="I2139" s="131"/>
      <c r="J2139" s="132"/>
      <c r="K2139" s="131"/>
    </row>
    <row r="2140" spans="7:11" x14ac:dyDescent="0.2">
      <c r="G2140" s="131"/>
      <c r="H2140" s="131"/>
      <c r="I2140" s="131"/>
      <c r="J2140" s="132"/>
      <c r="K2140" s="131"/>
    </row>
    <row r="2141" spans="7:11" x14ac:dyDescent="0.2">
      <c r="G2141" s="131"/>
      <c r="H2141" s="131"/>
      <c r="I2141" s="131"/>
      <c r="J2141" s="132"/>
      <c r="K2141" s="131"/>
    </row>
    <row r="2142" spans="7:11" x14ac:dyDescent="0.2">
      <c r="G2142" s="131"/>
      <c r="H2142" s="131"/>
      <c r="I2142" s="131"/>
      <c r="J2142" s="132"/>
      <c r="K2142" s="131"/>
    </row>
    <row r="2143" spans="7:11" x14ac:dyDescent="0.2">
      <c r="G2143" s="131"/>
      <c r="H2143" s="131"/>
      <c r="I2143" s="131"/>
      <c r="J2143" s="132"/>
      <c r="K2143" s="131"/>
    </row>
    <row r="2144" spans="7:11" x14ac:dyDescent="0.2">
      <c r="G2144" s="131"/>
      <c r="H2144" s="131"/>
      <c r="I2144" s="131"/>
      <c r="J2144" s="132"/>
      <c r="K2144" s="131"/>
    </row>
    <row r="2145" spans="7:11" x14ac:dyDescent="0.2">
      <c r="G2145" s="131"/>
      <c r="H2145" s="131"/>
      <c r="I2145" s="131"/>
      <c r="J2145" s="132"/>
      <c r="K2145" s="131"/>
    </row>
    <row r="2146" spans="7:11" x14ac:dyDescent="0.2">
      <c r="G2146" s="131"/>
      <c r="H2146" s="131"/>
      <c r="I2146" s="131"/>
      <c r="J2146" s="132"/>
      <c r="K2146" s="131"/>
    </row>
    <row r="2147" spans="7:11" x14ac:dyDescent="0.2">
      <c r="G2147" s="131"/>
      <c r="H2147" s="131"/>
      <c r="I2147" s="131"/>
      <c r="J2147" s="132"/>
      <c r="K2147" s="131"/>
    </row>
    <row r="2148" spans="7:11" x14ac:dyDescent="0.2">
      <c r="G2148" s="131"/>
      <c r="H2148" s="131"/>
      <c r="I2148" s="131"/>
      <c r="J2148" s="132"/>
      <c r="K2148" s="131"/>
    </row>
    <row r="2149" spans="7:11" x14ac:dyDescent="0.2">
      <c r="G2149" s="131"/>
      <c r="H2149" s="131"/>
      <c r="I2149" s="131"/>
      <c r="J2149" s="132"/>
      <c r="K2149" s="131"/>
    </row>
    <row r="2150" spans="7:11" x14ac:dyDescent="0.2">
      <c r="G2150" s="131"/>
      <c r="H2150" s="131"/>
      <c r="I2150" s="131"/>
      <c r="J2150" s="132"/>
      <c r="K2150" s="131"/>
    </row>
    <row r="2151" spans="7:11" x14ac:dyDescent="0.2">
      <c r="G2151" s="131"/>
      <c r="H2151" s="131"/>
      <c r="I2151" s="131"/>
      <c r="J2151" s="132"/>
      <c r="K2151" s="131"/>
    </row>
    <row r="2152" spans="7:11" x14ac:dyDescent="0.2">
      <c r="G2152" s="131"/>
      <c r="H2152" s="131"/>
      <c r="I2152" s="131"/>
      <c r="J2152" s="132"/>
      <c r="K2152" s="131"/>
    </row>
    <row r="2153" spans="7:11" x14ac:dyDescent="0.2">
      <c r="G2153" s="131"/>
      <c r="H2153" s="131"/>
      <c r="I2153" s="131"/>
      <c r="J2153" s="132"/>
      <c r="K2153" s="131"/>
    </row>
    <row r="2154" spans="7:11" x14ac:dyDescent="0.2">
      <c r="G2154" s="131"/>
      <c r="H2154" s="131"/>
      <c r="I2154" s="131"/>
      <c r="J2154" s="132"/>
      <c r="K2154" s="131"/>
    </row>
    <row r="2155" spans="7:11" x14ac:dyDescent="0.2">
      <c r="G2155" s="131"/>
      <c r="H2155" s="131"/>
      <c r="I2155" s="131"/>
      <c r="J2155" s="132"/>
      <c r="K2155" s="131"/>
    </row>
    <row r="2156" spans="7:11" x14ac:dyDescent="0.2">
      <c r="G2156" s="131"/>
      <c r="H2156" s="131"/>
      <c r="I2156" s="131"/>
      <c r="J2156" s="132"/>
      <c r="K2156" s="131"/>
    </row>
    <row r="2157" spans="7:11" x14ac:dyDescent="0.2">
      <c r="G2157" s="131"/>
      <c r="H2157" s="131"/>
      <c r="I2157" s="131"/>
      <c r="J2157" s="132"/>
      <c r="K2157" s="131"/>
    </row>
    <row r="2158" spans="7:11" x14ac:dyDescent="0.2">
      <c r="G2158" s="131"/>
      <c r="H2158" s="131"/>
      <c r="I2158" s="131"/>
      <c r="J2158" s="132"/>
      <c r="K2158" s="131"/>
    </row>
    <row r="2159" spans="7:11" x14ac:dyDescent="0.2">
      <c r="G2159" s="131"/>
      <c r="H2159" s="131"/>
      <c r="I2159" s="131"/>
      <c r="J2159" s="132"/>
      <c r="K2159" s="131"/>
    </row>
    <row r="2160" spans="7:11" x14ac:dyDescent="0.2">
      <c r="G2160" s="131"/>
      <c r="H2160" s="131"/>
      <c r="I2160" s="131"/>
      <c r="J2160" s="132"/>
      <c r="K2160" s="131"/>
    </row>
    <row r="2161" spans="7:11" x14ac:dyDescent="0.2">
      <c r="G2161" s="131"/>
      <c r="H2161" s="131"/>
      <c r="I2161" s="131"/>
      <c r="J2161" s="132"/>
      <c r="K2161" s="131"/>
    </row>
    <row r="2162" spans="7:11" x14ac:dyDescent="0.2">
      <c r="G2162" s="131"/>
      <c r="H2162" s="131"/>
      <c r="I2162" s="131"/>
      <c r="J2162" s="132"/>
      <c r="K2162" s="131"/>
    </row>
    <row r="2163" spans="7:11" x14ac:dyDescent="0.2">
      <c r="G2163" s="131"/>
      <c r="H2163" s="131"/>
      <c r="I2163" s="131"/>
      <c r="J2163" s="132"/>
      <c r="K2163" s="131"/>
    </row>
    <row r="2164" spans="7:11" x14ac:dyDescent="0.2">
      <c r="G2164" s="131"/>
      <c r="H2164" s="131"/>
      <c r="I2164" s="131"/>
      <c r="J2164" s="132"/>
      <c r="K2164" s="131"/>
    </row>
    <row r="2165" spans="7:11" x14ac:dyDescent="0.2">
      <c r="G2165" s="131"/>
      <c r="H2165" s="131"/>
      <c r="I2165" s="131"/>
      <c r="J2165" s="132"/>
      <c r="K2165" s="131"/>
    </row>
    <row r="2166" spans="7:11" x14ac:dyDescent="0.2">
      <c r="G2166" s="131"/>
      <c r="H2166" s="131"/>
      <c r="I2166" s="131"/>
      <c r="J2166" s="132"/>
      <c r="K2166" s="131"/>
    </row>
    <row r="2167" spans="7:11" x14ac:dyDescent="0.2">
      <c r="G2167" s="131"/>
      <c r="H2167" s="131"/>
      <c r="I2167" s="131"/>
      <c r="J2167" s="132"/>
      <c r="K2167" s="131"/>
    </row>
    <row r="2168" spans="7:11" x14ac:dyDescent="0.2">
      <c r="G2168" s="131"/>
      <c r="H2168" s="131"/>
      <c r="I2168" s="131"/>
      <c r="J2168" s="132"/>
      <c r="K2168" s="131"/>
    </row>
    <row r="2169" spans="7:11" x14ac:dyDescent="0.2">
      <c r="G2169" s="131"/>
      <c r="H2169" s="131"/>
      <c r="I2169" s="131"/>
      <c r="J2169" s="132"/>
      <c r="K2169" s="131"/>
    </row>
    <row r="2170" spans="7:11" x14ac:dyDescent="0.2">
      <c r="G2170" s="131"/>
      <c r="H2170" s="131"/>
      <c r="I2170" s="131"/>
      <c r="J2170" s="132"/>
      <c r="K2170" s="131"/>
    </row>
    <row r="2171" spans="7:11" x14ac:dyDescent="0.2">
      <c r="G2171" s="131"/>
      <c r="H2171" s="131"/>
      <c r="I2171" s="131"/>
      <c r="J2171" s="132"/>
      <c r="K2171" s="131"/>
    </row>
    <row r="2172" spans="7:11" x14ac:dyDescent="0.2">
      <c r="G2172" s="131"/>
      <c r="H2172" s="131"/>
      <c r="I2172" s="131"/>
      <c r="J2172" s="132"/>
      <c r="K2172" s="131"/>
    </row>
    <row r="2173" spans="7:11" x14ac:dyDescent="0.2">
      <c r="G2173" s="131"/>
      <c r="H2173" s="131"/>
      <c r="I2173" s="131"/>
      <c r="J2173" s="132"/>
      <c r="K2173" s="131"/>
    </row>
    <row r="2174" spans="7:11" x14ac:dyDescent="0.2">
      <c r="G2174" s="131"/>
      <c r="H2174" s="131"/>
      <c r="I2174" s="131"/>
      <c r="J2174" s="132"/>
      <c r="K2174" s="131"/>
    </row>
    <row r="2175" spans="7:11" x14ac:dyDescent="0.2">
      <c r="G2175" s="131"/>
      <c r="H2175" s="131"/>
      <c r="I2175" s="131"/>
      <c r="J2175" s="132"/>
      <c r="K2175" s="131"/>
    </row>
    <row r="2176" spans="7:11" x14ac:dyDescent="0.2">
      <c r="G2176" s="131"/>
      <c r="H2176" s="131"/>
      <c r="I2176" s="131"/>
      <c r="J2176" s="132"/>
      <c r="K2176" s="131"/>
    </row>
    <row r="2177" spans="7:11" x14ac:dyDescent="0.2">
      <c r="G2177" s="131"/>
      <c r="H2177" s="131"/>
      <c r="I2177" s="131"/>
      <c r="J2177" s="132"/>
      <c r="K2177" s="131"/>
    </row>
    <row r="2178" spans="7:11" x14ac:dyDescent="0.2">
      <c r="G2178" s="131"/>
      <c r="H2178" s="131"/>
      <c r="I2178" s="131"/>
      <c r="J2178" s="132"/>
      <c r="K2178" s="131"/>
    </row>
    <row r="2179" spans="7:11" x14ac:dyDescent="0.2">
      <c r="G2179" s="131"/>
      <c r="H2179" s="131"/>
      <c r="I2179" s="131"/>
      <c r="J2179" s="132"/>
      <c r="K2179" s="131"/>
    </row>
    <row r="2180" spans="7:11" x14ac:dyDescent="0.2">
      <c r="G2180" s="131"/>
      <c r="H2180" s="131"/>
      <c r="I2180" s="131"/>
      <c r="J2180" s="132"/>
      <c r="K2180" s="131"/>
    </row>
    <row r="2181" spans="7:11" x14ac:dyDescent="0.2">
      <c r="G2181" s="131"/>
      <c r="H2181" s="131"/>
      <c r="I2181" s="131"/>
      <c r="J2181" s="132"/>
      <c r="K2181" s="131"/>
    </row>
    <row r="2182" spans="7:11" x14ac:dyDescent="0.2">
      <c r="G2182" s="131"/>
      <c r="H2182" s="131"/>
      <c r="I2182" s="131"/>
      <c r="J2182" s="132"/>
      <c r="K2182" s="131"/>
    </row>
    <row r="2183" spans="7:11" x14ac:dyDescent="0.2">
      <c r="G2183" s="131"/>
      <c r="H2183" s="131"/>
      <c r="I2183" s="131"/>
      <c r="J2183" s="132"/>
      <c r="K2183" s="131"/>
    </row>
    <row r="2184" spans="7:11" x14ac:dyDescent="0.2">
      <c r="G2184" s="131"/>
      <c r="H2184" s="131"/>
      <c r="I2184" s="131"/>
      <c r="J2184" s="132"/>
      <c r="K2184" s="131"/>
    </row>
    <row r="2185" spans="7:11" x14ac:dyDescent="0.2">
      <c r="G2185" s="131"/>
      <c r="H2185" s="131"/>
      <c r="I2185" s="131"/>
      <c r="J2185" s="132"/>
      <c r="K2185" s="131"/>
    </row>
    <row r="2186" spans="7:11" x14ac:dyDescent="0.2">
      <c r="G2186" s="131"/>
      <c r="H2186" s="131"/>
      <c r="I2186" s="131"/>
      <c r="J2186" s="132"/>
      <c r="K2186" s="131"/>
    </row>
    <row r="2187" spans="7:11" x14ac:dyDescent="0.2">
      <c r="G2187" s="131"/>
      <c r="H2187" s="131"/>
      <c r="I2187" s="131"/>
      <c r="J2187" s="132"/>
      <c r="K2187" s="131"/>
    </row>
    <row r="2188" spans="7:11" x14ac:dyDescent="0.2">
      <c r="G2188" s="131"/>
      <c r="H2188" s="131"/>
      <c r="I2188" s="131"/>
      <c r="J2188" s="132"/>
      <c r="K2188" s="131"/>
    </row>
    <row r="2189" spans="7:11" x14ac:dyDescent="0.2">
      <c r="G2189" s="131"/>
      <c r="H2189" s="131"/>
      <c r="I2189" s="131"/>
      <c r="J2189" s="132"/>
      <c r="K2189" s="131"/>
    </row>
    <row r="2190" spans="7:11" x14ac:dyDescent="0.2">
      <c r="G2190" s="131"/>
      <c r="H2190" s="131"/>
      <c r="I2190" s="131"/>
      <c r="J2190" s="132"/>
      <c r="K2190" s="131"/>
    </row>
    <row r="2191" spans="7:11" x14ac:dyDescent="0.2">
      <c r="G2191" s="131"/>
      <c r="H2191" s="131"/>
      <c r="I2191" s="131"/>
      <c r="J2191" s="132"/>
      <c r="K2191" s="131"/>
    </row>
    <row r="2192" spans="7:11" x14ac:dyDescent="0.2">
      <c r="G2192" s="131"/>
      <c r="H2192" s="131"/>
      <c r="I2192" s="131"/>
      <c r="J2192" s="132"/>
      <c r="K2192" s="131"/>
    </row>
    <row r="2193" spans="7:11" x14ac:dyDescent="0.2">
      <c r="G2193" s="131"/>
      <c r="H2193" s="131"/>
      <c r="I2193" s="131"/>
      <c r="J2193" s="132"/>
      <c r="K2193" s="131"/>
    </row>
    <row r="2194" spans="7:11" x14ac:dyDescent="0.2">
      <c r="G2194" s="131"/>
      <c r="H2194" s="131"/>
      <c r="I2194" s="131"/>
      <c r="J2194" s="132"/>
      <c r="K2194" s="131"/>
    </row>
    <row r="2195" spans="7:11" x14ac:dyDescent="0.2">
      <c r="G2195" s="131"/>
      <c r="H2195" s="131"/>
      <c r="I2195" s="131"/>
      <c r="J2195" s="132"/>
      <c r="K2195" s="131"/>
    </row>
    <row r="2196" spans="7:11" x14ac:dyDescent="0.2">
      <c r="G2196" s="131"/>
      <c r="H2196" s="131"/>
      <c r="I2196" s="131"/>
      <c r="J2196" s="132"/>
      <c r="K2196" s="131"/>
    </row>
    <row r="2197" spans="7:11" x14ac:dyDescent="0.2">
      <c r="G2197" s="131"/>
      <c r="H2197" s="131"/>
      <c r="I2197" s="131"/>
      <c r="J2197" s="132"/>
      <c r="K2197" s="131"/>
    </row>
    <row r="2198" spans="7:11" x14ac:dyDescent="0.2">
      <c r="G2198" s="131"/>
      <c r="H2198" s="131"/>
      <c r="I2198" s="131"/>
      <c r="J2198" s="132"/>
      <c r="K2198" s="131"/>
    </row>
    <row r="2199" spans="7:11" x14ac:dyDescent="0.2">
      <c r="G2199" s="131"/>
      <c r="H2199" s="131"/>
      <c r="I2199" s="131"/>
      <c r="J2199" s="132"/>
      <c r="K2199" s="131"/>
    </row>
    <row r="2200" spans="7:11" x14ac:dyDescent="0.2">
      <c r="G2200" s="131"/>
      <c r="H2200" s="131"/>
      <c r="I2200" s="131"/>
      <c r="J2200" s="132"/>
      <c r="K2200" s="131"/>
    </row>
    <row r="2201" spans="7:11" x14ac:dyDescent="0.2">
      <c r="G2201" s="131"/>
      <c r="H2201" s="131"/>
      <c r="I2201" s="131"/>
      <c r="J2201" s="132"/>
      <c r="K2201" s="131"/>
    </row>
    <row r="2202" spans="7:11" x14ac:dyDescent="0.2">
      <c r="G2202" s="131"/>
      <c r="H2202" s="131"/>
      <c r="I2202" s="131"/>
      <c r="J2202" s="132"/>
      <c r="K2202" s="131"/>
    </row>
    <row r="2203" spans="7:11" x14ac:dyDescent="0.2">
      <c r="G2203" s="131"/>
      <c r="H2203" s="131"/>
      <c r="I2203" s="131"/>
      <c r="J2203" s="132"/>
      <c r="K2203" s="131"/>
    </row>
    <row r="2204" spans="7:11" x14ac:dyDescent="0.2">
      <c r="G2204" s="131"/>
      <c r="H2204" s="131"/>
      <c r="I2204" s="131"/>
      <c r="J2204" s="132"/>
      <c r="K2204" s="131"/>
    </row>
    <row r="2205" spans="7:11" x14ac:dyDescent="0.2">
      <c r="G2205" s="131"/>
      <c r="H2205" s="131"/>
      <c r="I2205" s="131"/>
      <c r="J2205" s="132"/>
      <c r="K2205" s="131"/>
    </row>
    <row r="2206" spans="7:11" x14ac:dyDescent="0.2">
      <c r="G2206" s="131"/>
      <c r="H2206" s="131"/>
      <c r="I2206" s="131"/>
      <c r="J2206" s="132"/>
      <c r="K2206" s="131"/>
    </row>
    <row r="2207" spans="7:11" x14ac:dyDescent="0.2">
      <c r="G2207" s="131"/>
      <c r="H2207" s="131"/>
      <c r="I2207" s="131"/>
      <c r="J2207" s="132"/>
      <c r="K2207" s="131"/>
    </row>
    <row r="2208" spans="7:11" x14ac:dyDescent="0.2">
      <c r="G2208" s="131"/>
      <c r="H2208" s="131"/>
      <c r="I2208" s="131"/>
      <c r="J2208" s="132"/>
      <c r="K2208" s="131"/>
    </row>
    <row r="2209" spans="7:11" x14ac:dyDescent="0.2">
      <c r="G2209" s="131"/>
      <c r="H2209" s="131"/>
      <c r="I2209" s="131"/>
      <c r="J2209" s="132"/>
      <c r="K2209" s="131"/>
    </row>
    <row r="2210" spans="7:11" x14ac:dyDescent="0.2">
      <c r="G2210" s="131"/>
      <c r="H2210" s="131"/>
      <c r="I2210" s="131"/>
      <c r="J2210" s="132"/>
      <c r="K2210" s="131"/>
    </row>
    <row r="2211" spans="7:11" x14ac:dyDescent="0.2">
      <c r="G2211" s="131"/>
      <c r="H2211" s="131"/>
      <c r="I2211" s="131"/>
      <c r="J2211" s="132"/>
      <c r="K2211" s="131"/>
    </row>
    <row r="2212" spans="7:11" x14ac:dyDescent="0.2">
      <c r="G2212" s="131"/>
      <c r="H2212" s="131"/>
      <c r="I2212" s="131"/>
      <c r="J2212" s="132"/>
      <c r="K2212" s="131"/>
    </row>
    <row r="2213" spans="7:11" x14ac:dyDescent="0.2">
      <c r="G2213" s="131"/>
      <c r="H2213" s="131"/>
      <c r="I2213" s="131"/>
      <c r="J2213" s="132"/>
      <c r="K2213" s="131"/>
    </row>
    <row r="2214" spans="7:11" x14ac:dyDescent="0.2">
      <c r="G2214" s="131"/>
      <c r="H2214" s="131"/>
      <c r="I2214" s="131"/>
      <c r="J2214" s="132"/>
      <c r="K2214" s="131"/>
    </row>
    <row r="2215" spans="7:11" x14ac:dyDescent="0.2">
      <c r="G2215" s="131"/>
      <c r="H2215" s="131"/>
      <c r="I2215" s="131"/>
      <c r="J2215" s="132"/>
      <c r="K2215" s="131"/>
    </row>
    <row r="2216" spans="7:11" x14ac:dyDescent="0.2">
      <c r="G2216" s="131"/>
      <c r="H2216" s="131"/>
      <c r="I2216" s="131"/>
      <c r="J2216" s="132"/>
      <c r="K2216" s="131"/>
    </row>
    <row r="2217" spans="7:11" x14ac:dyDescent="0.2">
      <c r="G2217" s="131"/>
      <c r="H2217" s="131"/>
      <c r="I2217" s="131"/>
      <c r="J2217" s="132"/>
      <c r="K2217" s="131"/>
    </row>
    <row r="2218" spans="7:11" x14ac:dyDescent="0.2">
      <c r="G2218" s="131"/>
      <c r="H2218" s="131"/>
      <c r="I2218" s="131"/>
      <c r="J2218" s="132"/>
      <c r="K2218" s="131"/>
    </row>
    <row r="2219" spans="7:11" x14ac:dyDescent="0.2">
      <c r="G2219" s="131"/>
      <c r="H2219" s="131"/>
      <c r="I2219" s="131"/>
      <c r="J2219" s="132"/>
      <c r="K2219" s="131"/>
    </row>
    <row r="2220" spans="7:11" x14ac:dyDescent="0.2">
      <c r="G2220" s="131"/>
      <c r="H2220" s="131"/>
      <c r="I2220" s="131"/>
      <c r="J2220" s="132"/>
      <c r="K2220" s="131"/>
    </row>
    <row r="2221" spans="7:11" x14ac:dyDescent="0.2">
      <c r="G2221" s="131"/>
      <c r="H2221" s="131"/>
      <c r="I2221" s="131"/>
      <c r="J2221" s="132"/>
      <c r="K2221" s="131"/>
    </row>
    <row r="2222" spans="7:11" x14ac:dyDescent="0.2">
      <c r="G2222" s="131"/>
      <c r="H2222" s="131"/>
      <c r="I2222" s="131"/>
      <c r="J2222" s="132"/>
      <c r="K2222" s="131"/>
    </row>
    <row r="2223" spans="7:11" x14ac:dyDescent="0.2">
      <c r="G2223" s="131"/>
      <c r="H2223" s="131"/>
      <c r="I2223" s="131"/>
      <c r="J2223" s="132"/>
      <c r="K2223" s="131"/>
    </row>
    <row r="2224" spans="7:11" x14ac:dyDescent="0.2">
      <c r="G2224" s="131"/>
      <c r="H2224" s="131"/>
      <c r="I2224" s="131"/>
      <c r="J2224" s="132"/>
      <c r="K2224" s="131"/>
    </row>
    <row r="2225" spans="7:11" x14ac:dyDescent="0.2">
      <c r="G2225" s="131"/>
      <c r="H2225" s="131"/>
      <c r="I2225" s="131"/>
      <c r="J2225" s="132"/>
      <c r="K2225" s="131"/>
    </row>
    <row r="2226" spans="7:11" x14ac:dyDescent="0.2">
      <c r="G2226" s="131"/>
      <c r="H2226" s="131"/>
      <c r="I2226" s="131"/>
      <c r="J2226" s="132"/>
      <c r="K2226" s="131"/>
    </row>
    <row r="2227" spans="7:11" x14ac:dyDescent="0.2">
      <c r="G2227" s="131"/>
      <c r="H2227" s="131"/>
      <c r="I2227" s="131"/>
      <c r="J2227" s="132"/>
      <c r="K2227" s="131"/>
    </row>
    <row r="2228" spans="7:11" x14ac:dyDescent="0.2">
      <c r="G2228" s="131"/>
      <c r="H2228" s="131"/>
      <c r="I2228" s="131"/>
      <c r="J2228" s="132"/>
      <c r="K2228" s="131"/>
    </row>
    <row r="2229" spans="7:11" x14ac:dyDescent="0.2">
      <c r="G2229" s="131"/>
      <c r="H2229" s="131"/>
      <c r="I2229" s="131"/>
      <c r="J2229" s="132"/>
      <c r="K2229" s="131"/>
    </row>
    <row r="2230" spans="7:11" x14ac:dyDescent="0.2">
      <c r="G2230" s="131"/>
      <c r="H2230" s="131"/>
      <c r="I2230" s="131"/>
      <c r="J2230" s="132"/>
      <c r="K2230" s="131"/>
    </row>
    <row r="2231" spans="7:11" x14ac:dyDescent="0.2">
      <c r="G2231" s="131"/>
      <c r="H2231" s="131"/>
      <c r="I2231" s="131"/>
      <c r="J2231" s="132"/>
      <c r="K2231" s="131"/>
    </row>
    <row r="2232" spans="7:11" x14ac:dyDescent="0.2">
      <c r="G2232" s="131"/>
      <c r="H2232" s="131"/>
      <c r="I2232" s="131"/>
      <c r="J2232" s="132"/>
      <c r="K2232" s="131"/>
    </row>
    <row r="2233" spans="7:11" x14ac:dyDescent="0.2">
      <c r="G2233" s="131"/>
      <c r="H2233" s="131"/>
      <c r="I2233" s="131"/>
      <c r="J2233" s="132"/>
      <c r="K2233" s="131"/>
    </row>
    <row r="2234" spans="7:11" x14ac:dyDescent="0.2">
      <c r="G2234" s="131"/>
      <c r="H2234" s="131"/>
      <c r="I2234" s="131"/>
      <c r="J2234" s="132"/>
      <c r="K2234" s="131"/>
    </row>
    <row r="2235" spans="7:11" x14ac:dyDescent="0.2">
      <c r="G2235" s="131"/>
      <c r="H2235" s="131"/>
      <c r="I2235" s="131"/>
      <c r="J2235" s="132"/>
      <c r="K2235" s="131"/>
    </row>
    <row r="2236" spans="7:11" x14ac:dyDescent="0.2">
      <c r="G2236" s="131"/>
      <c r="H2236" s="131"/>
      <c r="I2236" s="131"/>
      <c r="J2236" s="132"/>
      <c r="K2236" s="131"/>
    </row>
    <row r="2237" spans="7:11" x14ac:dyDescent="0.2">
      <c r="G2237" s="131"/>
      <c r="H2237" s="131"/>
      <c r="I2237" s="131"/>
      <c r="J2237" s="132"/>
      <c r="K2237" s="131"/>
    </row>
    <row r="2238" spans="7:11" x14ac:dyDescent="0.2">
      <c r="G2238" s="131"/>
      <c r="H2238" s="131"/>
      <c r="I2238" s="131"/>
      <c r="J2238" s="132"/>
      <c r="K2238" s="131"/>
    </row>
    <row r="2239" spans="7:11" x14ac:dyDescent="0.2">
      <c r="G2239" s="131"/>
      <c r="H2239" s="131"/>
      <c r="I2239" s="131"/>
      <c r="J2239" s="132"/>
      <c r="K2239" s="131"/>
    </row>
    <row r="2240" spans="7:11" x14ac:dyDescent="0.2">
      <c r="G2240" s="131"/>
      <c r="H2240" s="131"/>
      <c r="I2240" s="131"/>
      <c r="J2240" s="132"/>
      <c r="K2240" s="131"/>
    </row>
    <row r="2241" spans="7:11" x14ac:dyDescent="0.2">
      <c r="G2241" s="131"/>
      <c r="H2241" s="131"/>
      <c r="I2241" s="131"/>
      <c r="J2241" s="132"/>
      <c r="K2241" s="131"/>
    </row>
    <row r="2242" spans="7:11" x14ac:dyDescent="0.2">
      <c r="G2242" s="131"/>
      <c r="H2242" s="131"/>
      <c r="I2242" s="131"/>
      <c r="J2242" s="132"/>
      <c r="K2242" s="131"/>
    </row>
    <row r="2243" spans="7:11" x14ac:dyDescent="0.2">
      <c r="G2243" s="131"/>
      <c r="H2243" s="131"/>
      <c r="I2243" s="131"/>
      <c r="J2243" s="132"/>
      <c r="K2243" s="131"/>
    </row>
    <row r="2244" spans="7:11" x14ac:dyDescent="0.2">
      <c r="G2244" s="131"/>
      <c r="H2244" s="131"/>
      <c r="I2244" s="131"/>
      <c r="J2244" s="132"/>
      <c r="K2244" s="131"/>
    </row>
    <row r="2245" spans="7:11" x14ac:dyDescent="0.2">
      <c r="G2245" s="131"/>
      <c r="H2245" s="131"/>
      <c r="I2245" s="131"/>
      <c r="J2245" s="132"/>
      <c r="K2245" s="131"/>
    </row>
    <row r="2246" spans="7:11" x14ac:dyDescent="0.2">
      <c r="G2246" s="131"/>
      <c r="H2246" s="131"/>
      <c r="I2246" s="131"/>
      <c r="J2246" s="132"/>
      <c r="K2246" s="131"/>
    </row>
    <row r="2247" spans="7:11" x14ac:dyDescent="0.2">
      <c r="G2247" s="131"/>
      <c r="H2247" s="131"/>
      <c r="I2247" s="131"/>
      <c r="J2247" s="132"/>
      <c r="K2247" s="131"/>
    </row>
    <row r="2248" spans="7:11" x14ac:dyDescent="0.2">
      <c r="G2248" s="131"/>
      <c r="H2248" s="131"/>
      <c r="I2248" s="131"/>
      <c r="J2248" s="132"/>
      <c r="K2248" s="131"/>
    </row>
    <row r="2249" spans="7:11" x14ac:dyDescent="0.2">
      <c r="G2249" s="131"/>
      <c r="H2249" s="131"/>
      <c r="I2249" s="131"/>
      <c r="J2249" s="132"/>
      <c r="K2249" s="131"/>
    </row>
    <row r="2250" spans="7:11" x14ac:dyDescent="0.2">
      <c r="G2250" s="131"/>
      <c r="H2250" s="131"/>
      <c r="I2250" s="131"/>
      <c r="J2250" s="132"/>
      <c r="K2250" s="131"/>
    </row>
    <row r="2251" spans="7:11" x14ac:dyDescent="0.2">
      <c r="G2251" s="131"/>
      <c r="H2251" s="131"/>
      <c r="I2251" s="131"/>
      <c r="J2251" s="132"/>
      <c r="K2251" s="131"/>
    </row>
    <row r="2252" spans="7:11" x14ac:dyDescent="0.2">
      <c r="G2252" s="131"/>
      <c r="H2252" s="131"/>
      <c r="I2252" s="131"/>
      <c r="J2252" s="132"/>
      <c r="K2252" s="131"/>
    </row>
    <row r="2253" spans="7:11" x14ac:dyDescent="0.2">
      <c r="G2253" s="131"/>
      <c r="H2253" s="131"/>
      <c r="I2253" s="131"/>
      <c r="J2253" s="132"/>
      <c r="K2253" s="131"/>
    </row>
    <row r="2254" spans="7:11" x14ac:dyDescent="0.2">
      <c r="G2254" s="131"/>
      <c r="H2254" s="131"/>
      <c r="I2254" s="131"/>
      <c r="J2254" s="132"/>
      <c r="K2254" s="131"/>
    </row>
    <row r="2255" spans="7:11" x14ac:dyDescent="0.2">
      <c r="G2255" s="131"/>
      <c r="H2255" s="131"/>
      <c r="I2255" s="131"/>
      <c r="J2255" s="132"/>
      <c r="K2255" s="131"/>
    </row>
    <row r="2256" spans="7:11" x14ac:dyDescent="0.2">
      <c r="G2256" s="131"/>
      <c r="H2256" s="131"/>
      <c r="I2256" s="131"/>
      <c r="J2256" s="132"/>
      <c r="K2256" s="131"/>
    </row>
    <row r="2257" spans="7:11" x14ac:dyDescent="0.2">
      <c r="G2257" s="131"/>
      <c r="H2257" s="131"/>
      <c r="I2257" s="131"/>
      <c r="J2257" s="132"/>
      <c r="K2257" s="131"/>
    </row>
    <row r="2258" spans="7:11" x14ac:dyDescent="0.2">
      <c r="G2258" s="131"/>
      <c r="H2258" s="131"/>
      <c r="I2258" s="131"/>
      <c r="J2258" s="132"/>
      <c r="K2258" s="131"/>
    </row>
    <row r="2259" spans="7:11" x14ac:dyDescent="0.2">
      <c r="G2259" s="131"/>
      <c r="H2259" s="131"/>
      <c r="I2259" s="131"/>
      <c r="J2259" s="132"/>
      <c r="K2259" s="131"/>
    </row>
    <row r="2260" spans="7:11" x14ac:dyDescent="0.2">
      <c r="G2260" s="131"/>
      <c r="H2260" s="131"/>
      <c r="I2260" s="131"/>
      <c r="J2260" s="132"/>
      <c r="K2260" s="131"/>
    </row>
    <row r="2261" spans="7:11" x14ac:dyDescent="0.2">
      <c r="G2261" s="131"/>
      <c r="H2261" s="131"/>
      <c r="I2261" s="131"/>
      <c r="J2261" s="132"/>
      <c r="K2261" s="131"/>
    </row>
    <row r="2262" spans="7:11" x14ac:dyDescent="0.2">
      <c r="G2262" s="131"/>
      <c r="H2262" s="131"/>
      <c r="I2262" s="131"/>
      <c r="J2262" s="132"/>
      <c r="K2262" s="131"/>
    </row>
    <row r="2263" spans="7:11" x14ac:dyDescent="0.2">
      <c r="G2263" s="131"/>
      <c r="H2263" s="131"/>
      <c r="I2263" s="131"/>
      <c r="J2263" s="132"/>
      <c r="K2263" s="131"/>
    </row>
    <row r="2264" spans="7:11" x14ac:dyDescent="0.2">
      <c r="G2264" s="131"/>
      <c r="H2264" s="131"/>
      <c r="I2264" s="131"/>
      <c r="J2264" s="132"/>
      <c r="K2264" s="131"/>
    </row>
    <row r="2265" spans="7:11" x14ac:dyDescent="0.2">
      <c r="G2265" s="131"/>
      <c r="H2265" s="131"/>
      <c r="I2265" s="131"/>
      <c r="J2265" s="132"/>
      <c r="K2265" s="131"/>
    </row>
    <row r="2266" spans="7:11" x14ac:dyDescent="0.2">
      <c r="G2266" s="131"/>
      <c r="H2266" s="131"/>
      <c r="I2266" s="131"/>
      <c r="J2266" s="132"/>
      <c r="K2266" s="131"/>
    </row>
    <row r="2267" spans="7:11" x14ac:dyDescent="0.2">
      <c r="G2267" s="131"/>
      <c r="H2267" s="131"/>
      <c r="I2267" s="131"/>
      <c r="J2267" s="132"/>
      <c r="K2267" s="131"/>
    </row>
    <row r="2268" spans="7:11" x14ac:dyDescent="0.2">
      <c r="G2268" s="131"/>
      <c r="H2268" s="131"/>
      <c r="I2268" s="131"/>
      <c r="J2268" s="132"/>
      <c r="K2268" s="131"/>
    </row>
    <row r="2269" spans="7:11" x14ac:dyDescent="0.2">
      <c r="G2269" s="131"/>
      <c r="H2269" s="131"/>
      <c r="I2269" s="131"/>
      <c r="J2269" s="132"/>
      <c r="K2269" s="131"/>
    </row>
    <row r="2270" spans="7:11" x14ac:dyDescent="0.2">
      <c r="G2270" s="131"/>
      <c r="H2270" s="131"/>
      <c r="I2270" s="131"/>
      <c r="J2270" s="132"/>
      <c r="K2270" s="131"/>
    </row>
    <row r="2271" spans="7:11" x14ac:dyDescent="0.2">
      <c r="G2271" s="131"/>
      <c r="H2271" s="131"/>
      <c r="I2271" s="131"/>
      <c r="J2271" s="132"/>
      <c r="K2271" s="131"/>
    </row>
    <row r="2272" spans="7:11" x14ac:dyDescent="0.2">
      <c r="G2272" s="131"/>
      <c r="H2272" s="131"/>
      <c r="I2272" s="131"/>
      <c r="J2272" s="132"/>
      <c r="K2272" s="131"/>
    </row>
    <row r="2273" spans="7:11" x14ac:dyDescent="0.2">
      <c r="G2273" s="131"/>
      <c r="H2273" s="131"/>
      <c r="I2273" s="131"/>
      <c r="J2273" s="132"/>
      <c r="K2273" s="131"/>
    </row>
    <row r="2274" spans="7:11" x14ac:dyDescent="0.2">
      <c r="G2274" s="131"/>
      <c r="H2274" s="131"/>
      <c r="I2274" s="131"/>
      <c r="J2274" s="132"/>
      <c r="K2274" s="131"/>
    </row>
    <row r="2275" spans="7:11" x14ac:dyDescent="0.2">
      <c r="G2275" s="131"/>
      <c r="H2275" s="131"/>
      <c r="I2275" s="131"/>
      <c r="J2275" s="132"/>
      <c r="K2275" s="131"/>
    </row>
    <row r="2276" spans="7:11" x14ac:dyDescent="0.2">
      <c r="G2276" s="131"/>
      <c r="H2276" s="131"/>
      <c r="I2276" s="131"/>
      <c r="J2276" s="132"/>
      <c r="K2276" s="131"/>
    </row>
    <row r="2277" spans="7:11" x14ac:dyDescent="0.2">
      <c r="G2277" s="131"/>
      <c r="H2277" s="131"/>
      <c r="I2277" s="131"/>
      <c r="J2277" s="132"/>
      <c r="K2277" s="131"/>
    </row>
    <row r="2278" spans="7:11" x14ac:dyDescent="0.2">
      <c r="G2278" s="131"/>
      <c r="H2278" s="131"/>
      <c r="I2278" s="131"/>
      <c r="J2278" s="132"/>
      <c r="K2278" s="131"/>
    </row>
    <row r="2279" spans="7:11" x14ac:dyDescent="0.2">
      <c r="G2279" s="131"/>
      <c r="H2279" s="131"/>
      <c r="I2279" s="131"/>
      <c r="J2279" s="132"/>
      <c r="K2279" s="131"/>
    </row>
    <row r="2280" spans="7:11" x14ac:dyDescent="0.2">
      <c r="G2280" s="131"/>
      <c r="H2280" s="131"/>
      <c r="I2280" s="131"/>
      <c r="J2280" s="132"/>
      <c r="K2280" s="131"/>
    </row>
    <row r="2281" spans="7:11" x14ac:dyDescent="0.2">
      <c r="G2281" s="131"/>
      <c r="H2281" s="131"/>
      <c r="I2281" s="131"/>
      <c r="J2281" s="132"/>
      <c r="K2281" s="131"/>
    </row>
    <row r="2282" spans="7:11" x14ac:dyDescent="0.2">
      <c r="G2282" s="131"/>
      <c r="H2282" s="131"/>
      <c r="I2282" s="131"/>
      <c r="J2282" s="132"/>
      <c r="K2282" s="131"/>
    </row>
    <row r="2283" spans="7:11" x14ac:dyDescent="0.2">
      <c r="G2283" s="131"/>
      <c r="H2283" s="131"/>
      <c r="I2283" s="131"/>
      <c r="J2283" s="132"/>
      <c r="K2283" s="131"/>
    </row>
    <row r="2284" spans="7:11" x14ac:dyDescent="0.2">
      <c r="G2284" s="131"/>
      <c r="H2284" s="131"/>
      <c r="I2284" s="131"/>
      <c r="J2284" s="132"/>
      <c r="K2284" s="131"/>
    </row>
    <row r="2285" spans="7:11" x14ac:dyDescent="0.2">
      <c r="G2285" s="131"/>
      <c r="H2285" s="131"/>
      <c r="I2285" s="131"/>
      <c r="J2285" s="132"/>
      <c r="K2285" s="131"/>
    </row>
    <row r="2286" spans="7:11" x14ac:dyDescent="0.2">
      <c r="G2286" s="131"/>
      <c r="H2286" s="131"/>
      <c r="I2286" s="131"/>
      <c r="J2286" s="132"/>
      <c r="K2286" s="131"/>
    </row>
    <row r="2287" spans="7:11" x14ac:dyDescent="0.2">
      <c r="G2287" s="131"/>
      <c r="H2287" s="131"/>
      <c r="I2287" s="131"/>
      <c r="J2287" s="132"/>
      <c r="K2287" s="131"/>
    </row>
    <row r="2288" spans="7:11" x14ac:dyDescent="0.2">
      <c r="G2288" s="131"/>
      <c r="H2288" s="131"/>
      <c r="I2288" s="131"/>
      <c r="J2288" s="132"/>
      <c r="K2288" s="131"/>
    </row>
    <row r="2289" spans="7:11" x14ac:dyDescent="0.2">
      <c r="G2289" s="131"/>
      <c r="H2289" s="131"/>
      <c r="I2289" s="131"/>
      <c r="J2289" s="132"/>
      <c r="K2289" s="131"/>
    </row>
    <row r="2290" spans="7:11" x14ac:dyDescent="0.2">
      <c r="G2290" s="131"/>
      <c r="H2290" s="131"/>
      <c r="I2290" s="131"/>
      <c r="J2290" s="132"/>
      <c r="K2290" s="131"/>
    </row>
    <row r="2291" spans="7:11" x14ac:dyDescent="0.2">
      <c r="G2291" s="131"/>
      <c r="H2291" s="131"/>
      <c r="I2291" s="131"/>
      <c r="J2291" s="132"/>
      <c r="K2291" s="131"/>
    </row>
    <row r="2292" spans="7:11" x14ac:dyDescent="0.2">
      <c r="G2292" s="131"/>
      <c r="H2292" s="131"/>
      <c r="I2292" s="131"/>
      <c r="J2292" s="132"/>
      <c r="K2292" s="131"/>
    </row>
    <row r="2293" spans="7:11" x14ac:dyDescent="0.2">
      <c r="G2293" s="131"/>
      <c r="H2293" s="131"/>
      <c r="I2293" s="131"/>
      <c r="J2293" s="132"/>
      <c r="K2293" s="131"/>
    </row>
    <row r="2294" spans="7:11" x14ac:dyDescent="0.2">
      <c r="G2294" s="131"/>
      <c r="H2294" s="131"/>
      <c r="I2294" s="131"/>
      <c r="J2294" s="132"/>
      <c r="K2294" s="131"/>
    </row>
    <row r="2295" spans="7:11" x14ac:dyDescent="0.2">
      <c r="G2295" s="131"/>
      <c r="H2295" s="131"/>
      <c r="I2295" s="131"/>
      <c r="J2295" s="132"/>
      <c r="K2295" s="131"/>
    </row>
    <row r="2296" spans="7:11" x14ac:dyDescent="0.2">
      <c r="G2296" s="131"/>
      <c r="H2296" s="131"/>
      <c r="I2296" s="131"/>
      <c r="J2296" s="132"/>
      <c r="K2296" s="131"/>
    </row>
    <row r="2297" spans="7:11" x14ac:dyDescent="0.2">
      <c r="G2297" s="131"/>
      <c r="H2297" s="131"/>
      <c r="I2297" s="131"/>
      <c r="J2297" s="132"/>
      <c r="K2297" s="131"/>
    </row>
    <row r="2298" spans="7:11" x14ac:dyDescent="0.2">
      <c r="G2298" s="131"/>
      <c r="H2298" s="131"/>
      <c r="I2298" s="131"/>
      <c r="J2298" s="132"/>
      <c r="K2298" s="131"/>
    </row>
    <row r="2299" spans="7:11" x14ac:dyDescent="0.2">
      <c r="G2299" s="131"/>
      <c r="H2299" s="131"/>
      <c r="I2299" s="131"/>
      <c r="J2299" s="132"/>
      <c r="K2299" s="131"/>
    </row>
    <row r="2300" spans="7:11" x14ac:dyDescent="0.2">
      <c r="G2300" s="131"/>
      <c r="H2300" s="131"/>
      <c r="I2300" s="131"/>
      <c r="J2300" s="132"/>
      <c r="K2300" s="131"/>
    </row>
    <row r="2301" spans="7:11" x14ac:dyDescent="0.2">
      <c r="G2301" s="131"/>
      <c r="H2301" s="131"/>
      <c r="I2301" s="131"/>
      <c r="J2301" s="132"/>
      <c r="K2301" s="131"/>
    </row>
    <row r="2302" spans="7:11" x14ac:dyDescent="0.2">
      <c r="G2302" s="131"/>
      <c r="H2302" s="131"/>
      <c r="I2302" s="131"/>
      <c r="J2302" s="132"/>
      <c r="K2302" s="131"/>
    </row>
    <row r="2303" spans="7:11" x14ac:dyDescent="0.2">
      <c r="G2303" s="131"/>
      <c r="H2303" s="131"/>
      <c r="I2303" s="131"/>
      <c r="J2303" s="132"/>
      <c r="K2303" s="131"/>
    </row>
    <row r="2304" spans="7:11" x14ac:dyDescent="0.2">
      <c r="G2304" s="131"/>
      <c r="H2304" s="131"/>
      <c r="I2304" s="131"/>
      <c r="J2304" s="132"/>
      <c r="K2304" s="131"/>
    </row>
    <row r="2305" spans="7:11" x14ac:dyDescent="0.2">
      <c r="G2305" s="131"/>
      <c r="H2305" s="131"/>
      <c r="I2305" s="131"/>
      <c r="J2305" s="132"/>
      <c r="K2305" s="131"/>
    </row>
    <row r="2306" spans="7:11" x14ac:dyDescent="0.2">
      <c r="G2306" s="131"/>
      <c r="H2306" s="131"/>
      <c r="I2306" s="131"/>
      <c r="J2306" s="132"/>
      <c r="K2306" s="131"/>
    </row>
    <row r="2307" spans="7:11" x14ac:dyDescent="0.2">
      <c r="G2307" s="131"/>
      <c r="H2307" s="131"/>
      <c r="I2307" s="131"/>
      <c r="J2307" s="132"/>
      <c r="K2307" s="131"/>
    </row>
    <row r="2308" spans="7:11" x14ac:dyDescent="0.2">
      <c r="G2308" s="131"/>
      <c r="H2308" s="131"/>
      <c r="I2308" s="131"/>
      <c r="J2308" s="132"/>
      <c r="K2308" s="131"/>
    </row>
    <row r="2309" spans="7:11" x14ac:dyDescent="0.2">
      <c r="G2309" s="131"/>
      <c r="H2309" s="131"/>
      <c r="I2309" s="131"/>
      <c r="J2309" s="132"/>
      <c r="K2309" s="131"/>
    </row>
    <row r="2310" spans="7:11" x14ac:dyDescent="0.2">
      <c r="G2310" s="131"/>
      <c r="H2310" s="131"/>
      <c r="I2310" s="131"/>
      <c r="J2310" s="132"/>
      <c r="K2310" s="131"/>
    </row>
    <row r="2311" spans="7:11" x14ac:dyDescent="0.2">
      <c r="G2311" s="131"/>
      <c r="H2311" s="131"/>
      <c r="I2311" s="131"/>
      <c r="J2311" s="132"/>
      <c r="K2311" s="131"/>
    </row>
    <row r="2312" spans="7:11" x14ac:dyDescent="0.2">
      <c r="G2312" s="131"/>
      <c r="H2312" s="131"/>
      <c r="I2312" s="131"/>
      <c r="J2312" s="132"/>
      <c r="K2312" s="131"/>
    </row>
    <row r="2313" spans="7:11" x14ac:dyDescent="0.2">
      <c r="G2313" s="131"/>
      <c r="H2313" s="131"/>
      <c r="I2313" s="131"/>
      <c r="J2313" s="132"/>
      <c r="K2313" s="131"/>
    </row>
    <row r="2314" spans="7:11" x14ac:dyDescent="0.2">
      <c r="G2314" s="131"/>
      <c r="H2314" s="131"/>
      <c r="I2314" s="131"/>
      <c r="J2314" s="132"/>
      <c r="K2314" s="131"/>
    </row>
    <row r="2315" spans="7:11" x14ac:dyDescent="0.2">
      <c r="G2315" s="131"/>
      <c r="H2315" s="131"/>
      <c r="I2315" s="131"/>
      <c r="J2315" s="132"/>
      <c r="K2315" s="131"/>
    </row>
    <row r="2316" spans="7:11" x14ac:dyDescent="0.2">
      <c r="G2316" s="131"/>
      <c r="H2316" s="131"/>
      <c r="I2316" s="131"/>
      <c r="J2316" s="132"/>
      <c r="K2316" s="131"/>
    </row>
    <row r="2317" spans="7:11" x14ac:dyDescent="0.2">
      <c r="G2317" s="131"/>
      <c r="H2317" s="131"/>
      <c r="I2317" s="131"/>
      <c r="J2317" s="132"/>
      <c r="K2317" s="131"/>
    </row>
    <row r="2318" spans="7:11" x14ac:dyDescent="0.2">
      <c r="G2318" s="131"/>
      <c r="H2318" s="131"/>
      <c r="I2318" s="131"/>
      <c r="J2318" s="132"/>
      <c r="K2318" s="131"/>
    </row>
    <row r="2319" spans="7:11" x14ac:dyDescent="0.2">
      <c r="G2319" s="131"/>
      <c r="H2319" s="131"/>
      <c r="I2319" s="131"/>
      <c r="J2319" s="132"/>
      <c r="K2319" s="131"/>
    </row>
    <row r="2320" spans="7:11" x14ac:dyDescent="0.2">
      <c r="G2320" s="131"/>
      <c r="H2320" s="131"/>
      <c r="I2320" s="131"/>
      <c r="J2320" s="132"/>
      <c r="K2320" s="131"/>
    </row>
    <row r="2321" spans="7:11" x14ac:dyDescent="0.2">
      <c r="G2321" s="131"/>
      <c r="H2321" s="131"/>
      <c r="I2321" s="131"/>
      <c r="J2321" s="132"/>
      <c r="K2321" s="131"/>
    </row>
    <row r="2322" spans="7:11" x14ac:dyDescent="0.2">
      <c r="G2322" s="131"/>
      <c r="H2322" s="131"/>
      <c r="I2322" s="131"/>
      <c r="J2322" s="132"/>
      <c r="K2322" s="131"/>
    </row>
    <row r="2323" spans="7:11" x14ac:dyDescent="0.2">
      <c r="G2323" s="131"/>
      <c r="H2323" s="131"/>
      <c r="I2323" s="131"/>
      <c r="J2323" s="132"/>
      <c r="K2323" s="131"/>
    </row>
    <row r="2324" spans="7:11" x14ac:dyDescent="0.2">
      <c r="G2324" s="131"/>
      <c r="H2324" s="131"/>
      <c r="I2324" s="131"/>
      <c r="J2324" s="132"/>
      <c r="K2324" s="131"/>
    </row>
    <row r="2325" spans="7:11" x14ac:dyDescent="0.2">
      <c r="G2325" s="131"/>
      <c r="H2325" s="131"/>
      <c r="I2325" s="131"/>
      <c r="J2325" s="132"/>
      <c r="K2325" s="131"/>
    </row>
    <row r="2326" spans="7:11" x14ac:dyDescent="0.2">
      <c r="G2326" s="131"/>
      <c r="H2326" s="131"/>
      <c r="I2326" s="131"/>
      <c r="J2326" s="132"/>
      <c r="K2326" s="131"/>
    </row>
    <row r="2327" spans="7:11" x14ac:dyDescent="0.2">
      <c r="G2327" s="131"/>
      <c r="H2327" s="131"/>
      <c r="I2327" s="131"/>
      <c r="J2327" s="132"/>
      <c r="K2327" s="131"/>
    </row>
    <row r="2328" spans="7:11" x14ac:dyDescent="0.2">
      <c r="G2328" s="131"/>
      <c r="H2328" s="131"/>
      <c r="I2328" s="131"/>
      <c r="J2328" s="132"/>
      <c r="K2328" s="131"/>
    </row>
    <row r="2329" spans="7:11" x14ac:dyDescent="0.2">
      <c r="G2329" s="131"/>
      <c r="H2329" s="131"/>
      <c r="I2329" s="131"/>
      <c r="J2329" s="132"/>
      <c r="K2329" s="131"/>
    </row>
    <row r="2330" spans="7:11" x14ac:dyDescent="0.2">
      <c r="G2330" s="131"/>
      <c r="H2330" s="131"/>
      <c r="I2330" s="131"/>
      <c r="J2330" s="132"/>
      <c r="K2330" s="131"/>
    </row>
    <row r="2331" spans="7:11" x14ac:dyDescent="0.2">
      <c r="G2331" s="131"/>
      <c r="H2331" s="131"/>
      <c r="I2331" s="131"/>
      <c r="J2331" s="132"/>
      <c r="K2331" s="131"/>
    </row>
    <row r="2332" spans="7:11" x14ac:dyDescent="0.2">
      <c r="G2332" s="131"/>
      <c r="H2332" s="131"/>
      <c r="I2332" s="131"/>
      <c r="J2332" s="132"/>
      <c r="K2332" s="131"/>
    </row>
    <row r="2333" spans="7:11" x14ac:dyDescent="0.2">
      <c r="G2333" s="131"/>
      <c r="H2333" s="131"/>
      <c r="I2333" s="131"/>
      <c r="J2333" s="132"/>
      <c r="K2333" s="131"/>
    </row>
    <row r="2334" spans="7:11" x14ac:dyDescent="0.2">
      <c r="G2334" s="131"/>
      <c r="H2334" s="131"/>
      <c r="I2334" s="131"/>
      <c r="J2334" s="132"/>
      <c r="K2334" s="131"/>
    </row>
    <row r="2335" spans="7:11" x14ac:dyDescent="0.2">
      <c r="G2335" s="131"/>
      <c r="H2335" s="131"/>
      <c r="I2335" s="131"/>
      <c r="J2335" s="132"/>
      <c r="K2335" s="131"/>
    </row>
    <row r="2336" spans="7:11" x14ac:dyDescent="0.2">
      <c r="G2336" s="131"/>
      <c r="H2336" s="131"/>
      <c r="I2336" s="131"/>
      <c r="J2336" s="132"/>
      <c r="K2336" s="131"/>
    </row>
    <row r="2337" spans="7:11" x14ac:dyDescent="0.2">
      <c r="G2337" s="131"/>
      <c r="H2337" s="131"/>
      <c r="I2337" s="131"/>
      <c r="J2337" s="132"/>
      <c r="K2337" s="131"/>
    </row>
    <row r="2338" spans="7:11" x14ac:dyDescent="0.2">
      <c r="G2338" s="131"/>
      <c r="H2338" s="131"/>
      <c r="I2338" s="131"/>
      <c r="J2338" s="132"/>
      <c r="K2338" s="131"/>
    </row>
    <row r="2339" spans="7:11" x14ac:dyDescent="0.2">
      <c r="G2339" s="131"/>
      <c r="H2339" s="131"/>
      <c r="I2339" s="131"/>
      <c r="J2339" s="132"/>
      <c r="K2339" s="131"/>
    </row>
    <row r="2340" spans="7:11" x14ac:dyDescent="0.2">
      <c r="G2340" s="131"/>
      <c r="H2340" s="131"/>
      <c r="I2340" s="131"/>
      <c r="J2340" s="132"/>
      <c r="K2340" s="131"/>
    </row>
    <row r="2341" spans="7:11" x14ac:dyDescent="0.2">
      <c r="G2341" s="131"/>
      <c r="H2341" s="131"/>
      <c r="I2341" s="131"/>
      <c r="J2341" s="132"/>
      <c r="K2341" s="131"/>
    </row>
    <row r="2342" spans="7:11" x14ac:dyDescent="0.2">
      <c r="G2342" s="131"/>
      <c r="H2342" s="131"/>
      <c r="I2342" s="131"/>
      <c r="J2342" s="132"/>
      <c r="K2342" s="131"/>
    </row>
    <row r="2343" spans="7:11" x14ac:dyDescent="0.2">
      <c r="G2343" s="131"/>
      <c r="H2343" s="131"/>
      <c r="I2343" s="131"/>
      <c r="J2343" s="132"/>
      <c r="K2343" s="131"/>
    </row>
    <row r="2344" spans="7:11" x14ac:dyDescent="0.2">
      <c r="G2344" s="131"/>
      <c r="H2344" s="131"/>
      <c r="I2344" s="131"/>
      <c r="J2344" s="132"/>
      <c r="K2344" s="131"/>
    </row>
    <row r="2345" spans="7:11" x14ac:dyDescent="0.2">
      <c r="G2345" s="131"/>
      <c r="H2345" s="131"/>
      <c r="I2345" s="131"/>
      <c r="J2345" s="132"/>
      <c r="K2345" s="131"/>
    </row>
    <row r="2346" spans="7:11" x14ac:dyDescent="0.2">
      <c r="G2346" s="131"/>
      <c r="H2346" s="131"/>
      <c r="I2346" s="131"/>
      <c r="J2346" s="132"/>
      <c r="K2346" s="131"/>
    </row>
    <row r="2347" spans="7:11" x14ac:dyDescent="0.2">
      <c r="G2347" s="131"/>
      <c r="H2347" s="131"/>
      <c r="I2347" s="131"/>
      <c r="J2347" s="132"/>
      <c r="K2347" s="131"/>
    </row>
    <row r="2348" spans="7:11" x14ac:dyDescent="0.2">
      <c r="G2348" s="131"/>
      <c r="H2348" s="131"/>
      <c r="I2348" s="131"/>
      <c r="J2348" s="132"/>
      <c r="K2348" s="131"/>
    </row>
    <row r="2349" spans="7:11" x14ac:dyDescent="0.2">
      <c r="G2349" s="131"/>
      <c r="H2349" s="131"/>
      <c r="I2349" s="131"/>
      <c r="J2349" s="132"/>
      <c r="K2349" s="131"/>
    </row>
    <row r="2350" spans="7:11" x14ac:dyDescent="0.2">
      <c r="G2350" s="131"/>
      <c r="H2350" s="131"/>
      <c r="I2350" s="131"/>
      <c r="J2350" s="132"/>
      <c r="K2350" s="131"/>
    </row>
    <row r="2351" spans="7:11" x14ac:dyDescent="0.2">
      <c r="G2351" s="131"/>
      <c r="H2351" s="131"/>
      <c r="I2351" s="131"/>
      <c r="J2351" s="132"/>
      <c r="K2351" s="131"/>
    </row>
    <row r="2352" spans="7:11" x14ac:dyDescent="0.2">
      <c r="G2352" s="131"/>
      <c r="H2352" s="131"/>
      <c r="I2352" s="131"/>
      <c r="J2352" s="132"/>
      <c r="K2352" s="131"/>
    </row>
    <row r="2353" spans="7:11" x14ac:dyDescent="0.2">
      <c r="G2353" s="131"/>
      <c r="H2353" s="131"/>
      <c r="I2353" s="131"/>
      <c r="J2353" s="132"/>
      <c r="K2353" s="131"/>
    </row>
    <row r="2354" spans="7:11" x14ac:dyDescent="0.2">
      <c r="G2354" s="131"/>
      <c r="H2354" s="131"/>
      <c r="I2354" s="131"/>
      <c r="J2354" s="132"/>
      <c r="K2354" s="131"/>
    </row>
    <row r="2355" spans="7:11" x14ac:dyDescent="0.2">
      <c r="G2355" s="131"/>
      <c r="H2355" s="131"/>
      <c r="I2355" s="131"/>
      <c r="J2355" s="132"/>
      <c r="K2355" s="131"/>
    </row>
    <row r="2356" spans="7:11" x14ac:dyDescent="0.2">
      <c r="G2356" s="131"/>
      <c r="H2356" s="131"/>
      <c r="I2356" s="131"/>
      <c r="J2356" s="132"/>
      <c r="K2356" s="131"/>
    </row>
    <row r="2357" spans="7:11" x14ac:dyDescent="0.2">
      <c r="G2357" s="131"/>
      <c r="H2357" s="131"/>
      <c r="I2357" s="131"/>
      <c r="J2357" s="132"/>
      <c r="K2357" s="131"/>
    </row>
    <row r="2358" spans="7:11" x14ac:dyDescent="0.2">
      <c r="G2358" s="131"/>
      <c r="H2358" s="131"/>
      <c r="I2358" s="131"/>
      <c r="J2358" s="132"/>
      <c r="K2358" s="131"/>
    </row>
    <row r="2359" spans="7:11" x14ac:dyDescent="0.2">
      <c r="G2359" s="131"/>
      <c r="H2359" s="131"/>
      <c r="I2359" s="131"/>
      <c r="J2359" s="132"/>
      <c r="K2359" s="131"/>
    </row>
    <row r="2360" spans="7:11" x14ac:dyDescent="0.2">
      <c r="G2360" s="131"/>
      <c r="H2360" s="131"/>
      <c r="I2360" s="131"/>
      <c r="J2360" s="132"/>
      <c r="K2360" s="131"/>
    </row>
    <row r="2361" spans="7:11" x14ac:dyDescent="0.2">
      <c r="G2361" s="131"/>
      <c r="H2361" s="131"/>
      <c r="I2361" s="131"/>
      <c r="J2361" s="132"/>
      <c r="K2361" s="131"/>
    </row>
    <row r="2362" spans="7:11" x14ac:dyDescent="0.2">
      <c r="G2362" s="131"/>
      <c r="H2362" s="131"/>
      <c r="I2362" s="131"/>
      <c r="J2362" s="132"/>
      <c r="K2362" s="131"/>
    </row>
    <row r="2363" spans="7:11" x14ac:dyDescent="0.2">
      <c r="G2363" s="131"/>
      <c r="H2363" s="131"/>
      <c r="I2363" s="131"/>
      <c r="J2363" s="132"/>
      <c r="K2363" s="131"/>
    </row>
    <row r="2364" spans="7:11" x14ac:dyDescent="0.2">
      <c r="G2364" s="131"/>
      <c r="H2364" s="131"/>
      <c r="I2364" s="131"/>
      <c r="J2364" s="132"/>
      <c r="K2364" s="131"/>
    </row>
    <row r="2365" spans="7:11" x14ac:dyDescent="0.2">
      <c r="G2365" s="131"/>
      <c r="H2365" s="131"/>
      <c r="I2365" s="131"/>
      <c r="J2365" s="132"/>
      <c r="K2365" s="131"/>
    </row>
    <row r="2366" spans="7:11" x14ac:dyDescent="0.2">
      <c r="G2366" s="131"/>
      <c r="H2366" s="131"/>
      <c r="I2366" s="131"/>
      <c r="J2366" s="132"/>
      <c r="K2366" s="131"/>
    </row>
    <row r="2367" spans="7:11" x14ac:dyDescent="0.2">
      <c r="G2367" s="131"/>
      <c r="H2367" s="131"/>
      <c r="I2367" s="131"/>
      <c r="J2367" s="132"/>
      <c r="K2367" s="131"/>
    </row>
    <row r="2368" spans="7:11" x14ac:dyDescent="0.2">
      <c r="G2368" s="131"/>
      <c r="H2368" s="131"/>
      <c r="I2368" s="131"/>
      <c r="J2368" s="132"/>
      <c r="K2368" s="131"/>
    </row>
    <row r="2369" spans="7:11" x14ac:dyDescent="0.2">
      <c r="G2369" s="131"/>
      <c r="H2369" s="131"/>
      <c r="I2369" s="131"/>
      <c r="J2369" s="132"/>
      <c r="K2369" s="131"/>
    </row>
    <row r="2370" spans="7:11" x14ac:dyDescent="0.2">
      <c r="G2370" s="131"/>
      <c r="H2370" s="131"/>
      <c r="I2370" s="131"/>
      <c r="J2370" s="132"/>
      <c r="K2370" s="131"/>
    </row>
    <row r="2371" spans="7:11" x14ac:dyDescent="0.2">
      <c r="G2371" s="131"/>
      <c r="H2371" s="131"/>
      <c r="I2371" s="131"/>
      <c r="J2371" s="132"/>
      <c r="K2371" s="131"/>
    </row>
    <row r="2372" spans="7:11" x14ac:dyDescent="0.2">
      <c r="G2372" s="131"/>
      <c r="H2372" s="131"/>
      <c r="I2372" s="131"/>
      <c r="J2372" s="132"/>
      <c r="K2372" s="131"/>
    </row>
    <row r="2373" spans="7:11" x14ac:dyDescent="0.2">
      <c r="G2373" s="131"/>
      <c r="H2373" s="131"/>
      <c r="I2373" s="131"/>
      <c r="J2373" s="132"/>
      <c r="K2373" s="131"/>
    </row>
    <row r="2374" spans="7:11" x14ac:dyDescent="0.2">
      <c r="G2374" s="131"/>
      <c r="H2374" s="131"/>
      <c r="I2374" s="131"/>
      <c r="J2374" s="132"/>
      <c r="K2374" s="131"/>
    </row>
    <row r="2375" spans="7:11" x14ac:dyDescent="0.2">
      <c r="G2375" s="131"/>
      <c r="H2375" s="131"/>
      <c r="I2375" s="131"/>
      <c r="J2375" s="132"/>
      <c r="K2375" s="131"/>
    </row>
    <row r="2376" spans="7:11" x14ac:dyDescent="0.2">
      <c r="G2376" s="131"/>
      <c r="H2376" s="131"/>
      <c r="I2376" s="131"/>
      <c r="J2376" s="132"/>
      <c r="K2376" s="131"/>
    </row>
    <row r="2377" spans="7:11" x14ac:dyDescent="0.2">
      <c r="G2377" s="131"/>
      <c r="H2377" s="131"/>
      <c r="I2377" s="131"/>
      <c r="J2377" s="132"/>
      <c r="K2377" s="131"/>
    </row>
    <row r="2378" spans="7:11" x14ac:dyDescent="0.2">
      <c r="G2378" s="131"/>
      <c r="H2378" s="131"/>
      <c r="I2378" s="131"/>
      <c r="J2378" s="132"/>
      <c r="K2378" s="131"/>
    </row>
    <row r="2379" spans="7:11" x14ac:dyDescent="0.2">
      <c r="G2379" s="131"/>
      <c r="H2379" s="131"/>
      <c r="I2379" s="131"/>
      <c r="J2379" s="132"/>
      <c r="K2379" s="131"/>
    </row>
    <row r="2380" spans="7:11" x14ac:dyDescent="0.2">
      <c r="G2380" s="131"/>
      <c r="H2380" s="131"/>
      <c r="I2380" s="131"/>
      <c r="J2380" s="132"/>
      <c r="K2380" s="131"/>
    </row>
    <row r="2381" spans="7:11" x14ac:dyDescent="0.2">
      <c r="G2381" s="131"/>
      <c r="H2381" s="131"/>
      <c r="I2381" s="131"/>
      <c r="J2381" s="132"/>
      <c r="K2381" s="131"/>
    </row>
    <row r="2382" spans="7:11" x14ac:dyDescent="0.2">
      <c r="G2382" s="131"/>
      <c r="H2382" s="131"/>
      <c r="I2382" s="131"/>
      <c r="J2382" s="132"/>
      <c r="K2382" s="131"/>
    </row>
    <row r="2383" spans="7:11" x14ac:dyDescent="0.2">
      <c r="G2383" s="131"/>
      <c r="H2383" s="131"/>
      <c r="I2383" s="131"/>
      <c r="J2383" s="132"/>
      <c r="K2383" s="131"/>
    </row>
    <row r="2384" spans="7:11" x14ac:dyDescent="0.2">
      <c r="G2384" s="131"/>
      <c r="H2384" s="131"/>
      <c r="I2384" s="131"/>
      <c r="J2384" s="132"/>
      <c r="K2384" s="131"/>
    </row>
    <row r="2385" spans="7:11" x14ac:dyDescent="0.2">
      <c r="G2385" s="131"/>
      <c r="H2385" s="131"/>
      <c r="I2385" s="131"/>
      <c r="J2385" s="132"/>
      <c r="K2385" s="131"/>
    </row>
    <row r="2386" spans="7:11" x14ac:dyDescent="0.2">
      <c r="G2386" s="131"/>
      <c r="H2386" s="131"/>
      <c r="I2386" s="131"/>
      <c r="J2386" s="132"/>
      <c r="K2386" s="131"/>
    </row>
    <row r="2387" spans="7:11" x14ac:dyDescent="0.2">
      <c r="G2387" s="131"/>
      <c r="H2387" s="131"/>
      <c r="I2387" s="131"/>
      <c r="J2387" s="132"/>
      <c r="K2387" s="131"/>
    </row>
    <row r="2388" spans="7:11" x14ac:dyDescent="0.2">
      <c r="G2388" s="131"/>
      <c r="H2388" s="131"/>
      <c r="I2388" s="131"/>
      <c r="J2388" s="132"/>
      <c r="K2388" s="131"/>
    </row>
    <row r="2389" spans="7:11" x14ac:dyDescent="0.2">
      <c r="G2389" s="131"/>
      <c r="H2389" s="131"/>
      <c r="I2389" s="131"/>
      <c r="J2389" s="132"/>
      <c r="K2389" s="131"/>
    </row>
    <row r="2390" spans="7:11" x14ac:dyDescent="0.2">
      <c r="G2390" s="131"/>
      <c r="H2390" s="131"/>
      <c r="I2390" s="131"/>
      <c r="J2390" s="132"/>
      <c r="K2390" s="131"/>
    </row>
    <row r="2391" spans="7:11" x14ac:dyDescent="0.2">
      <c r="G2391" s="131"/>
      <c r="H2391" s="131"/>
      <c r="I2391" s="131"/>
      <c r="J2391" s="132"/>
      <c r="K2391" s="131"/>
    </row>
    <row r="2392" spans="7:11" x14ac:dyDescent="0.2">
      <c r="G2392" s="131"/>
      <c r="H2392" s="131"/>
      <c r="I2392" s="131"/>
      <c r="J2392" s="132"/>
      <c r="K2392" s="131"/>
    </row>
    <row r="2393" spans="7:11" x14ac:dyDescent="0.2">
      <c r="G2393" s="131"/>
      <c r="H2393" s="131"/>
      <c r="I2393" s="131"/>
      <c r="J2393" s="132"/>
      <c r="K2393" s="131"/>
    </row>
    <row r="2394" spans="7:11" x14ac:dyDescent="0.2">
      <c r="G2394" s="131"/>
      <c r="H2394" s="131"/>
      <c r="I2394" s="131"/>
      <c r="J2394" s="132"/>
      <c r="K2394" s="131"/>
    </row>
    <row r="2395" spans="7:11" x14ac:dyDescent="0.2">
      <c r="G2395" s="131"/>
      <c r="H2395" s="131"/>
      <c r="I2395" s="131"/>
      <c r="J2395" s="132"/>
      <c r="K2395" s="131"/>
    </row>
    <row r="2396" spans="7:11" x14ac:dyDescent="0.2">
      <c r="G2396" s="131"/>
      <c r="H2396" s="131"/>
      <c r="I2396" s="131"/>
      <c r="J2396" s="132"/>
      <c r="K2396" s="131"/>
    </row>
    <row r="2397" spans="7:11" x14ac:dyDescent="0.2">
      <c r="G2397" s="131"/>
      <c r="H2397" s="131"/>
      <c r="I2397" s="131"/>
      <c r="J2397" s="132"/>
      <c r="K2397" s="131"/>
    </row>
    <row r="2398" spans="7:11" x14ac:dyDescent="0.2">
      <c r="G2398" s="131"/>
      <c r="H2398" s="131"/>
      <c r="I2398" s="131"/>
      <c r="J2398" s="132"/>
      <c r="K2398" s="131"/>
    </row>
    <row r="2399" spans="7:11" x14ac:dyDescent="0.2">
      <c r="G2399" s="131"/>
      <c r="H2399" s="131"/>
      <c r="I2399" s="131"/>
      <c r="J2399" s="132"/>
      <c r="K2399" s="131"/>
    </row>
    <row r="2400" spans="7:11" x14ac:dyDescent="0.2">
      <c r="G2400" s="131"/>
      <c r="H2400" s="131"/>
      <c r="I2400" s="131"/>
      <c r="J2400" s="132"/>
      <c r="K2400" s="131"/>
    </row>
    <row r="2401" spans="7:11" x14ac:dyDescent="0.2">
      <c r="G2401" s="131"/>
      <c r="H2401" s="131"/>
      <c r="I2401" s="131"/>
      <c r="J2401" s="132"/>
      <c r="K2401" s="131"/>
    </row>
    <row r="2402" spans="7:11" x14ac:dyDescent="0.2">
      <c r="G2402" s="131"/>
      <c r="H2402" s="131"/>
      <c r="I2402" s="131"/>
      <c r="J2402" s="132"/>
      <c r="K2402" s="131"/>
    </row>
    <row r="2403" spans="7:11" x14ac:dyDescent="0.2">
      <c r="G2403" s="131"/>
      <c r="H2403" s="131"/>
      <c r="I2403" s="131"/>
      <c r="J2403" s="132"/>
      <c r="K2403" s="131"/>
    </row>
    <row r="2404" spans="7:11" x14ac:dyDescent="0.2">
      <c r="G2404" s="131"/>
      <c r="H2404" s="131"/>
      <c r="I2404" s="131"/>
      <c r="J2404" s="132"/>
      <c r="K2404" s="131"/>
    </row>
    <row r="2405" spans="7:11" x14ac:dyDescent="0.2">
      <c r="G2405" s="131"/>
      <c r="H2405" s="131"/>
      <c r="I2405" s="131"/>
      <c r="J2405" s="132"/>
      <c r="K2405" s="131"/>
    </row>
    <row r="2406" spans="7:11" x14ac:dyDescent="0.2">
      <c r="G2406" s="131"/>
      <c r="H2406" s="131"/>
      <c r="I2406" s="131"/>
      <c r="J2406" s="132"/>
      <c r="K2406" s="131"/>
    </row>
    <row r="2407" spans="7:11" x14ac:dyDescent="0.2">
      <c r="G2407" s="131"/>
      <c r="H2407" s="131"/>
      <c r="I2407" s="131"/>
      <c r="J2407" s="132"/>
      <c r="K2407" s="131"/>
    </row>
    <row r="2408" spans="7:11" x14ac:dyDescent="0.2">
      <c r="G2408" s="131"/>
      <c r="H2408" s="131"/>
      <c r="I2408" s="131"/>
      <c r="J2408" s="132"/>
      <c r="K2408" s="131"/>
    </row>
    <row r="2409" spans="7:11" x14ac:dyDescent="0.2">
      <c r="G2409" s="131"/>
      <c r="H2409" s="131"/>
      <c r="I2409" s="131"/>
      <c r="J2409" s="132"/>
      <c r="K2409" s="131"/>
    </row>
    <row r="2410" spans="7:11" x14ac:dyDescent="0.2">
      <c r="G2410" s="131"/>
      <c r="H2410" s="131"/>
      <c r="I2410" s="131"/>
      <c r="J2410" s="132"/>
      <c r="K2410" s="131"/>
    </row>
    <row r="2411" spans="7:11" x14ac:dyDescent="0.2">
      <c r="G2411" s="131"/>
      <c r="H2411" s="131"/>
      <c r="I2411" s="131"/>
      <c r="J2411" s="132"/>
      <c r="K2411" s="131"/>
    </row>
    <row r="2412" spans="7:11" x14ac:dyDescent="0.2">
      <c r="G2412" s="131"/>
      <c r="H2412" s="131"/>
      <c r="I2412" s="131"/>
      <c r="J2412" s="132"/>
      <c r="K2412" s="131"/>
    </row>
    <row r="2413" spans="7:11" x14ac:dyDescent="0.2">
      <c r="G2413" s="131"/>
      <c r="H2413" s="131"/>
      <c r="I2413" s="131"/>
      <c r="J2413" s="132"/>
      <c r="K2413" s="131"/>
    </row>
    <row r="2414" spans="7:11" x14ac:dyDescent="0.2">
      <c r="G2414" s="131"/>
      <c r="H2414" s="131"/>
      <c r="I2414" s="131"/>
      <c r="J2414" s="132"/>
      <c r="K2414" s="131"/>
    </row>
    <row r="2415" spans="7:11" x14ac:dyDescent="0.2">
      <c r="G2415" s="131"/>
      <c r="H2415" s="131"/>
      <c r="I2415" s="131"/>
      <c r="J2415" s="132"/>
      <c r="K2415" s="131"/>
    </row>
    <row r="2416" spans="7:11" x14ac:dyDescent="0.2">
      <c r="G2416" s="131"/>
      <c r="H2416" s="131"/>
      <c r="I2416" s="131"/>
      <c r="J2416" s="132"/>
      <c r="K2416" s="131"/>
    </row>
    <row r="2417" spans="7:11" x14ac:dyDescent="0.2">
      <c r="G2417" s="131"/>
      <c r="H2417" s="131"/>
      <c r="I2417" s="131"/>
      <c r="J2417" s="132"/>
      <c r="K2417" s="131"/>
    </row>
    <row r="2418" spans="7:11" x14ac:dyDescent="0.2">
      <c r="G2418" s="131"/>
      <c r="H2418" s="131"/>
      <c r="I2418" s="131"/>
      <c r="J2418" s="132"/>
      <c r="K2418" s="131"/>
    </row>
    <row r="2419" spans="7:11" x14ac:dyDescent="0.2">
      <c r="G2419" s="131"/>
      <c r="H2419" s="131"/>
      <c r="I2419" s="131"/>
      <c r="J2419" s="132"/>
      <c r="K2419" s="131"/>
    </row>
    <row r="2420" spans="7:11" x14ac:dyDescent="0.2">
      <c r="G2420" s="131"/>
      <c r="H2420" s="131"/>
      <c r="I2420" s="131"/>
      <c r="J2420" s="132"/>
      <c r="K2420" s="131"/>
    </row>
    <row r="2421" spans="7:11" x14ac:dyDescent="0.2">
      <c r="G2421" s="131"/>
      <c r="H2421" s="131"/>
      <c r="I2421" s="131"/>
      <c r="J2421" s="132"/>
      <c r="K2421" s="131"/>
    </row>
    <row r="2422" spans="7:11" x14ac:dyDescent="0.2">
      <c r="G2422" s="131"/>
      <c r="H2422" s="131"/>
      <c r="I2422" s="131"/>
      <c r="J2422" s="132"/>
      <c r="K2422" s="131"/>
    </row>
    <row r="2423" spans="7:11" x14ac:dyDescent="0.2">
      <c r="G2423" s="131"/>
      <c r="H2423" s="131"/>
      <c r="I2423" s="131"/>
      <c r="J2423" s="132"/>
      <c r="K2423" s="131"/>
    </row>
    <row r="2424" spans="7:11" x14ac:dyDescent="0.2">
      <c r="G2424" s="131"/>
      <c r="H2424" s="131"/>
      <c r="I2424" s="131"/>
      <c r="J2424" s="132"/>
      <c r="K2424" s="131"/>
    </row>
    <row r="2425" spans="7:11" x14ac:dyDescent="0.2">
      <c r="G2425" s="131"/>
      <c r="H2425" s="131"/>
      <c r="I2425" s="131"/>
      <c r="J2425" s="132"/>
      <c r="K2425" s="131"/>
    </row>
    <row r="2426" spans="7:11" x14ac:dyDescent="0.2">
      <c r="G2426" s="131"/>
      <c r="H2426" s="131"/>
      <c r="I2426" s="131"/>
      <c r="J2426" s="132"/>
      <c r="K2426" s="131"/>
    </row>
    <row r="2427" spans="7:11" x14ac:dyDescent="0.2">
      <c r="G2427" s="131"/>
      <c r="H2427" s="131"/>
      <c r="I2427" s="131"/>
      <c r="J2427" s="132"/>
      <c r="K2427" s="131"/>
    </row>
    <row r="2428" spans="7:11" x14ac:dyDescent="0.2">
      <c r="G2428" s="131"/>
      <c r="H2428" s="131"/>
      <c r="I2428" s="131"/>
      <c r="J2428" s="132"/>
      <c r="K2428" s="131"/>
    </row>
    <row r="2429" spans="7:11" x14ac:dyDescent="0.2">
      <c r="G2429" s="131"/>
      <c r="H2429" s="131"/>
      <c r="I2429" s="131"/>
      <c r="J2429" s="132"/>
      <c r="K2429" s="131"/>
    </row>
    <row r="2430" spans="7:11" x14ac:dyDescent="0.2">
      <c r="G2430" s="131"/>
      <c r="H2430" s="131"/>
      <c r="I2430" s="131"/>
      <c r="J2430" s="132"/>
      <c r="K2430" s="131"/>
    </row>
    <row r="2431" spans="7:11" x14ac:dyDescent="0.2">
      <c r="G2431" s="131"/>
      <c r="H2431" s="131"/>
      <c r="I2431" s="131"/>
      <c r="J2431" s="132"/>
      <c r="K2431" s="131"/>
    </row>
    <row r="2432" spans="7:11" x14ac:dyDescent="0.2">
      <c r="G2432" s="131"/>
      <c r="H2432" s="131"/>
      <c r="I2432" s="131"/>
      <c r="J2432" s="132"/>
      <c r="K2432" s="131"/>
    </row>
    <row r="2433" spans="7:11" x14ac:dyDescent="0.2">
      <c r="G2433" s="131"/>
      <c r="H2433" s="131"/>
      <c r="I2433" s="131"/>
      <c r="J2433" s="132"/>
      <c r="K2433" s="131"/>
    </row>
    <row r="2434" spans="7:11" x14ac:dyDescent="0.2">
      <c r="G2434" s="131"/>
      <c r="H2434" s="131"/>
      <c r="I2434" s="131"/>
      <c r="J2434" s="132"/>
      <c r="K2434" s="131"/>
    </row>
    <row r="2435" spans="7:11" x14ac:dyDescent="0.2">
      <c r="G2435" s="131"/>
      <c r="H2435" s="131"/>
      <c r="I2435" s="131"/>
      <c r="J2435" s="132"/>
      <c r="K2435" s="131"/>
    </row>
    <row r="2436" spans="7:11" x14ac:dyDescent="0.2">
      <c r="G2436" s="131"/>
      <c r="H2436" s="131"/>
      <c r="I2436" s="131"/>
      <c r="J2436" s="132"/>
      <c r="K2436" s="131"/>
    </row>
    <row r="2437" spans="7:11" x14ac:dyDescent="0.2">
      <c r="G2437" s="131"/>
      <c r="H2437" s="131"/>
      <c r="I2437" s="131"/>
      <c r="J2437" s="132"/>
      <c r="K2437" s="131"/>
    </row>
    <row r="2438" spans="7:11" x14ac:dyDescent="0.2">
      <c r="G2438" s="131"/>
      <c r="H2438" s="131"/>
      <c r="I2438" s="131"/>
      <c r="J2438" s="132"/>
      <c r="K2438" s="131"/>
    </row>
    <row r="2439" spans="7:11" x14ac:dyDescent="0.2">
      <c r="G2439" s="131"/>
      <c r="H2439" s="131"/>
      <c r="I2439" s="131"/>
      <c r="J2439" s="132"/>
      <c r="K2439" s="131"/>
    </row>
    <row r="2440" spans="7:11" x14ac:dyDescent="0.2">
      <c r="G2440" s="131"/>
      <c r="H2440" s="131"/>
      <c r="I2440" s="131"/>
      <c r="J2440" s="132"/>
      <c r="K2440" s="131"/>
    </row>
    <row r="2441" spans="7:11" x14ac:dyDescent="0.2">
      <c r="G2441" s="131"/>
      <c r="H2441" s="131"/>
      <c r="I2441" s="131"/>
      <c r="J2441" s="132"/>
      <c r="K2441" s="131"/>
    </row>
    <row r="2442" spans="7:11" x14ac:dyDescent="0.2">
      <c r="G2442" s="131"/>
      <c r="H2442" s="131"/>
      <c r="I2442" s="131"/>
      <c r="J2442" s="132"/>
      <c r="K2442" s="131"/>
    </row>
    <row r="2443" spans="7:11" x14ac:dyDescent="0.2">
      <c r="G2443" s="131"/>
      <c r="H2443" s="131"/>
      <c r="I2443" s="131"/>
      <c r="J2443" s="132"/>
      <c r="K2443" s="131"/>
    </row>
    <row r="2444" spans="7:11" x14ac:dyDescent="0.2">
      <c r="G2444" s="131"/>
      <c r="H2444" s="131"/>
      <c r="I2444" s="131"/>
      <c r="J2444" s="132"/>
      <c r="K2444" s="131"/>
    </row>
    <row r="2445" spans="7:11" x14ac:dyDescent="0.2">
      <c r="G2445" s="131"/>
      <c r="H2445" s="131"/>
      <c r="I2445" s="131"/>
      <c r="J2445" s="132"/>
      <c r="K2445" s="131"/>
    </row>
    <row r="2446" spans="7:11" x14ac:dyDescent="0.2">
      <c r="G2446" s="131"/>
      <c r="H2446" s="131"/>
      <c r="I2446" s="131"/>
      <c r="J2446" s="132"/>
      <c r="K2446" s="131"/>
    </row>
    <row r="2447" spans="7:11" x14ac:dyDescent="0.2">
      <c r="G2447" s="131"/>
      <c r="H2447" s="131"/>
      <c r="I2447" s="131"/>
      <c r="J2447" s="132"/>
      <c r="K2447" s="131"/>
    </row>
    <row r="2448" spans="7:11" x14ac:dyDescent="0.2">
      <c r="G2448" s="131"/>
      <c r="H2448" s="131"/>
      <c r="I2448" s="131"/>
      <c r="J2448" s="132"/>
      <c r="K2448" s="131"/>
    </row>
    <row r="2449" spans="7:11" x14ac:dyDescent="0.2">
      <c r="G2449" s="131"/>
      <c r="H2449" s="131"/>
      <c r="I2449" s="131"/>
      <c r="J2449" s="132"/>
      <c r="K2449" s="131"/>
    </row>
    <row r="2450" spans="7:11" x14ac:dyDescent="0.2">
      <c r="G2450" s="131"/>
      <c r="H2450" s="131"/>
      <c r="I2450" s="131"/>
      <c r="J2450" s="132"/>
      <c r="K2450" s="131"/>
    </row>
    <row r="2451" spans="7:11" x14ac:dyDescent="0.2">
      <c r="G2451" s="131"/>
      <c r="H2451" s="131"/>
      <c r="I2451" s="131"/>
      <c r="J2451" s="132"/>
      <c r="K2451" s="131"/>
    </row>
    <row r="2452" spans="7:11" x14ac:dyDescent="0.2">
      <c r="G2452" s="131"/>
      <c r="H2452" s="131"/>
      <c r="I2452" s="131"/>
      <c r="J2452" s="132"/>
      <c r="K2452" s="131"/>
    </row>
    <row r="2453" spans="7:11" x14ac:dyDescent="0.2">
      <c r="G2453" s="131"/>
      <c r="H2453" s="131"/>
      <c r="I2453" s="131"/>
      <c r="J2453" s="132"/>
      <c r="K2453" s="131"/>
    </row>
    <row r="2454" spans="7:11" x14ac:dyDescent="0.2">
      <c r="G2454" s="131"/>
      <c r="H2454" s="131"/>
      <c r="I2454" s="131"/>
      <c r="J2454" s="132"/>
      <c r="K2454" s="131"/>
    </row>
    <row r="2455" spans="7:11" x14ac:dyDescent="0.2">
      <c r="G2455" s="131"/>
      <c r="H2455" s="131"/>
      <c r="I2455" s="131"/>
      <c r="J2455" s="132"/>
      <c r="K2455" s="131"/>
    </row>
    <row r="2456" spans="7:11" x14ac:dyDescent="0.2">
      <c r="G2456" s="131"/>
      <c r="H2456" s="131"/>
      <c r="I2456" s="131"/>
      <c r="J2456" s="132"/>
      <c r="K2456" s="131"/>
    </row>
    <row r="2457" spans="7:11" x14ac:dyDescent="0.2">
      <c r="G2457" s="131"/>
      <c r="H2457" s="131"/>
      <c r="I2457" s="131"/>
      <c r="J2457" s="132"/>
      <c r="K2457" s="131"/>
    </row>
    <row r="2458" spans="7:11" x14ac:dyDescent="0.2">
      <c r="G2458" s="131"/>
      <c r="H2458" s="131"/>
      <c r="I2458" s="131"/>
      <c r="J2458" s="132"/>
      <c r="K2458" s="131"/>
    </row>
    <row r="2459" spans="7:11" x14ac:dyDescent="0.2">
      <c r="G2459" s="131"/>
      <c r="H2459" s="131"/>
      <c r="I2459" s="131"/>
      <c r="J2459" s="132"/>
      <c r="K2459" s="131"/>
    </row>
    <row r="2460" spans="7:11" x14ac:dyDescent="0.2">
      <c r="G2460" s="131"/>
      <c r="H2460" s="131"/>
      <c r="I2460" s="131"/>
      <c r="J2460" s="132"/>
      <c r="K2460" s="131"/>
    </row>
    <row r="2461" spans="7:11" x14ac:dyDescent="0.2">
      <c r="G2461" s="131"/>
      <c r="H2461" s="131"/>
      <c r="I2461" s="131"/>
      <c r="J2461" s="132"/>
      <c r="K2461" s="131"/>
    </row>
    <row r="2462" spans="7:11" x14ac:dyDescent="0.2">
      <c r="G2462" s="131"/>
      <c r="H2462" s="131"/>
      <c r="I2462" s="131"/>
      <c r="J2462" s="132"/>
      <c r="K2462" s="131"/>
    </row>
    <row r="2463" spans="7:11" x14ac:dyDescent="0.2">
      <c r="G2463" s="131"/>
      <c r="H2463" s="131"/>
      <c r="I2463" s="131"/>
      <c r="J2463" s="132"/>
      <c r="K2463" s="131"/>
    </row>
    <row r="2464" spans="7:11" x14ac:dyDescent="0.2">
      <c r="G2464" s="131"/>
      <c r="H2464" s="131"/>
      <c r="I2464" s="131"/>
      <c r="J2464" s="132"/>
      <c r="K2464" s="131"/>
    </row>
    <row r="2465" spans="7:11" x14ac:dyDescent="0.2">
      <c r="G2465" s="131"/>
      <c r="H2465" s="131"/>
      <c r="I2465" s="131"/>
      <c r="J2465" s="132"/>
      <c r="K2465" s="131"/>
    </row>
    <row r="2466" spans="7:11" x14ac:dyDescent="0.2">
      <c r="G2466" s="131"/>
      <c r="H2466" s="131"/>
      <c r="I2466" s="131"/>
      <c r="J2466" s="132"/>
      <c r="K2466" s="131"/>
    </row>
    <row r="2467" spans="7:11" x14ac:dyDescent="0.2">
      <c r="G2467" s="131"/>
      <c r="H2467" s="131"/>
      <c r="I2467" s="131"/>
      <c r="J2467" s="132"/>
      <c r="K2467" s="131"/>
    </row>
    <row r="2468" spans="7:11" x14ac:dyDescent="0.2">
      <c r="G2468" s="131"/>
      <c r="H2468" s="131"/>
      <c r="I2468" s="131"/>
      <c r="J2468" s="132"/>
      <c r="K2468" s="131"/>
    </row>
    <row r="2469" spans="7:11" x14ac:dyDescent="0.2">
      <c r="G2469" s="131"/>
      <c r="H2469" s="131"/>
      <c r="I2469" s="131"/>
      <c r="J2469" s="132"/>
      <c r="K2469" s="131"/>
    </row>
    <row r="2470" spans="7:11" x14ac:dyDescent="0.2">
      <c r="G2470" s="131"/>
      <c r="H2470" s="131"/>
      <c r="I2470" s="131"/>
      <c r="J2470" s="132"/>
      <c r="K2470" s="131"/>
    </row>
    <row r="2471" spans="7:11" x14ac:dyDescent="0.2">
      <c r="G2471" s="131"/>
      <c r="H2471" s="131"/>
      <c r="I2471" s="131"/>
      <c r="J2471" s="132"/>
      <c r="K2471" s="131"/>
    </row>
    <row r="2472" spans="7:11" x14ac:dyDescent="0.2">
      <c r="G2472" s="131"/>
      <c r="H2472" s="131"/>
      <c r="I2472" s="131"/>
      <c r="J2472" s="132"/>
      <c r="K2472" s="131"/>
    </row>
    <row r="2473" spans="7:11" x14ac:dyDescent="0.2">
      <c r="G2473" s="131"/>
      <c r="H2473" s="131"/>
      <c r="I2473" s="131"/>
      <c r="J2473" s="132"/>
      <c r="K2473" s="131"/>
    </row>
    <row r="2474" spans="7:11" x14ac:dyDescent="0.2">
      <c r="G2474" s="131"/>
      <c r="H2474" s="131"/>
      <c r="I2474" s="131"/>
      <c r="J2474" s="132"/>
      <c r="K2474" s="131"/>
    </row>
    <row r="2475" spans="7:11" x14ac:dyDescent="0.2">
      <c r="G2475" s="131"/>
      <c r="H2475" s="131"/>
      <c r="I2475" s="131"/>
      <c r="J2475" s="132"/>
      <c r="K2475" s="131"/>
    </row>
    <row r="2476" spans="7:11" x14ac:dyDescent="0.2">
      <c r="G2476" s="131"/>
      <c r="H2476" s="131"/>
      <c r="I2476" s="131"/>
      <c r="J2476" s="132"/>
      <c r="K2476" s="131"/>
    </row>
    <row r="2477" spans="7:11" x14ac:dyDescent="0.2">
      <c r="G2477" s="131"/>
      <c r="H2477" s="131"/>
      <c r="I2477" s="131"/>
      <c r="J2477" s="132"/>
      <c r="K2477" s="131"/>
    </row>
    <row r="2478" spans="7:11" x14ac:dyDescent="0.2">
      <c r="G2478" s="131"/>
      <c r="H2478" s="131"/>
      <c r="I2478" s="131"/>
      <c r="J2478" s="132"/>
      <c r="K2478" s="131"/>
    </row>
    <row r="2479" spans="7:11" x14ac:dyDescent="0.2">
      <c r="G2479" s="131"/>
      <c r="H2479" s="131"/>
      <c r="I2479" s="131"/>
      <c r="J2479" s="132"/>
      <c r="K2479" s="131"/>
    </row>
    <row r="2480" spans="7:11" x14ac:dyDescent="0.2">
      <c r="G2480" s="131"/>
      <c r="H2480" s="131"/>
      <c r="I2480" s="131"/>
      <c r="J2480" s="132"/>
      <c r="K2480" s="131"/>
    </row>
    <row r="2481" spans="7:11" x14ac:dyDescent="0.2">
      <c r="G2481" s="131"/>
      <c r="H2481" s="131"/>
      <c r="I2481" s="131"/>
      <c r="J2481" s="132"/>
      <c r="K2481" s="131"/>
    </row>
    <row r="2482" spans="7:11" x14ac:dyDescent="0.2">
      <c r="G2482" s="131"/>
      <c r="H2482" s="131"/>
      <c r="I2482" s="131"/>
      <c r="J2482" s="132"/>
      <c r="K2482" s="131"/>
    </row>
    <row r="2483" spans="7:11" x14ac:dyDescent="0.2">
      <c r="G2483" s="131"/>
      <c r="H2483" s="131"/>
      <c r="I2483" s="131"/>
      <c r="J2483" s="132"/>
      <c r="K2483" s="131"/>
    </row>
    <row r="2484" spans="7:11" x14ac:dyDescent="0.2">
      <c r="G2484" s="131"/>
      <c r="H2484" s="131"/>
      <c r="I2484" s="131"/>
      <c r="J2484" s="132"/>
      <c r="K2484" s="131"/>
    </row>
    <row r="2485" spans="7:11" x14ac:dyDescent="0.2">
      <c r="G2485" s="131"/>
      <c r="H2485" s="131"/>
      <c r="I2485" s="131"/>
      <c r="J2485" s="132"/>
      <c r="K2485" s="131"/>
    </row>
    <row r="2486" spans="7:11" x14ac:dyDescent="0.2">
      <c r="G2486" s="131"/>
      <c r="H2486" s="131"/>
      <c r="I2486" s="131"/>
      <c r="J2486" s="132"/>
      <c r="K2486" s="131"/>
    </row>
    <row r="2487" spans="7:11" x14ac:dyDescent="0.2">
      <c r="G2487" s="131"/>
      <c r="H2487" s="131"/>
      <c r="I2487" s="131"/>
      <c r="J2487" s="132"/>
      <c r="K2487" s="131"/>
    </row>
    <row r="2488" spans="7:11" x14ac:dyDescent="0.2">
      <c r="G2488" s="131"/>
      <c r="H2488" s="131"/>
      <c r="I2488" s="131"/>
      <c r="J2488" s="132"/>
      <c r="K2488" s="131"/>
    </row>
    <row r="2489" spans="7:11" x14ac:dyDescent="0.2">
      <c r="G2489" s="131"/>
      <c r="H2489" s="131"/>
      <c r="I2489" s="131"/>
      <c r="J2489" s="132"/>
      <c r="K2489" s="131"/>
    </row>
    <row r="2490" spans="7:11" x14ac:dyDescent="0.2">
      <c r="G2490" s="131"/>
      <c r="H2490" s="131"/>
      <c r="I2490" s="131"/>
      <c r="J2490" s="132"/>
      <c r="K2490" s="131"/>
    </row>
    <row r="2491" spans="7:11" x14ac:dyDescent="0.2">
      <c r="G2491" s="131"/>
      <c r="H2491" s="131"/>
      <c r="I2491" s="131"/>
      <c r="J2491" s="132"/>
      <c r="K2491" s="131"/>
    </row>
    <row r="2492" spans="7:11" x14ac:dyDescent="0.2">
      <c r="G2492" s="131"/>
      <c r="H2492" s="131"/>
      <c r="I2492" s="131"/>
      <c r="J2492" s="132"/>
      <c r="K2492" s="131"/>
    </row>
    <row r="2493" spans="7:11" x14ac:dyDescent="0.2">
      <c r="G2493" s="131"/>
      <c r="H2493" s="131"/>
      <c r="I2493" s="131"/>
      <c r="J2493" s="132"/>
      <c r="K2493" s="131"/>
    </row>
    <row r="2494" spans="7:11" x14ac:dyDescent="0.2">
      <c r="G2494" s="131"/>
      <c r="H2494" s="131"/>
      <c r="I2494" s="131"/>
      <c r="J2494" s="132"/>
      <c r="K2494" s="131"/>
    </row>
    <row r="2495" spans="7:11" x14ac:dyDescent="0.2">
      <c r="G2495" s="131"/>
      <c r="H2495" s="131"/>
      <c r="I2495" s="131"/>
      <c r="J2495" s="132"/>
      <c r="K2495" s="131"/>
    </row>
    <row r="2496" spans="7:11" x14ac:dyDescent="0.2">
      <c r="G2496" s="131"/>
      <c r="H2496" s="131"/>
      <c r="I2496" s="131"/>
      <c r="J2496" s="132"/>
      <c r="K2496" s="131"/>
    </row>
    <row r="2497" spans="7:11" x14ac:dyDescent="0.2">
      <c r="G2497" s="131"/>
      <c r="H2497" s="131"/>
      <c r="I2497" s="131"/>
      <c r="J2497" s="132"/>
      <c r="K2497" s="131"/>
    </row>
    <row r="2498" spans="7:11" x14ac:dyDescent="0.2">
      <c r="G2498" s="131"/>
      <c r="H2498" s="131"/>
      <c r="I2498" s="131"/>
      <c r="J2498" s="132"/>
      <c r="K2498" s="131"/>
    </row>
    <row r="2499" spans="7:11" x14ac:dyDescent="0.2">
      <c r="G2499" s="131"/>
      <c r="H2499" s="131"/>
      <c r="I2499" s="131"/>
      <c r="J2499" s="132"/>
      <c r="K2499" s="131"/>
    </row>
    <row r="2500" spans="7:11" x14ac:dyDescent="0.2">
      <c r="G2500" s="131"/>
      <c r="H2500" s="131"/>
      <c r="I2500" s="131"/>
      <c r="J2500" s="132"/>
      <c r="K2500" s="131"/>
    </row>
    <row r="2501" spans="7:11" x14ac:dyDescent="0.2">
      <c r="G2501" s="131"/>
      <c r="H2501" s="131"/>
      <c r="I2501" s="131"/>
      <c r="J2501" s="132"/>
      <c r="K2501" s="131"/>
    </row>
    <row r="2502" spans="7:11" x14ac:dyDescent="0.2">
      <c r="G2502" s="131"/>
      <c r="H2502" s="131"/>
      <c r="I2502" s="131"/>
      <c r="J2502" s="132"/>
      <c r="K2502" s="131"/>
    </row>
    <row r="2503" spans="7:11" x14ac:dyDescent="0.2">
      <c r="G2503" s="131"/>
      <c r="H2503" s="131"/>
      <c r="I2503" s="131"/>
      <c r="J2503" s="132"/>
      <c r="K2503" s="131"/>
    </row>
    <row r="2504" spans="7:11" x14ac:dyDescent="0.2">
      <c r="G2504" s="131"/>
      <c r="H2504" s="131"/>
      <c r="I2504" s="131"/>
      <c r="J2504" s="132"/>
      <c r="K2504" s="131"/>
    </row>
    <row r="2505" spans="7:11" x14ac:dyDescent="0.2">
      <c r="G2505" s="131"/>
      <c r="H2505" s="131"/>
      <c r="I2505" s="131"/>
      <c r="J2505" s="132"/>
      <c r="K2505" s="131"/>
    </row>
    <row r="2506" spans="7:11" x14ac:dyDescent="0.2">
      <c r="G2506" s="131"/>
      <c r="H2506" s="131"/>
      <c r="I2506" s="131"/>
      <c r="J2506" s="132"/>
      <c r="K2506" s="131"/>
    </row>
    <row r="2507" spans="7:11" x14ac:dyDescent="0.2">
      <c r="G2507" s="131"/>
      <c r="H2507" s="131"/>
      <c r="I2507" s="131"/>
      <c r="J2507" s="132"/>
      <c r="K2507" s="131"/>
    </row>
    <row r="2508" spans="7:11" x14ac:dyDescent="0.2">
      <c r="G2508" s="131"/>
      <c r="H2508" s="131"/>
      <c r="I2508" s="131"/>
      <c r="J2508" s="132"/>
      <c r="K2508" s="131"/>
    </row>
    <row r="2509" spans="7:11" x14ac:dyDescent="0.2">
      <c r="G2509" s="131"/>
      <c r="H2509" s="131"/>
      <c r="I2509" s="131"/>
      <c r="J2509" s="132"/>
      <c r="K2509" s="131"/>
    </row>
    <row r="2510" spans="7:11" x14ac:dyDescent="0.2">
      <c r="G2510" s="131"/>
      <c r="H2510" s="131"/>
      <c r="I2510" s="131"/>
      <c r="J2510" s="132"/>
      <c r="K2510" s="131"/>
    </row>
    <row r="2511" spans="7:11" x14ac:dyDescent="0.2">
      <c r="G2511" s="131"/>
      <c r="H2511" s="131"/>
      <c r="I2511" s="131"/>
      <c r="J2511" s="132"/>
      <c r="K2511" s="131"/>
    </row>
    <row r="2512" spans="7:11" x14ac:dyDescent="0.2">
      <c r="G2512" s="131"/>
      <c r="H2512" s="131"/>
      <c r="I2512" s="131"/>
      <c r="J2512" s="132"/>
      <c r="K2512" s="131"/>
    </row>
    <row r="2513" spans="7:11" x14ac:dyDescent="0.2">
      <c r="G2513" s="131"/>
      <c r="H2513" s="131"/>
      <c r="I2513" s="131"/>
      <c r="J2513" s="132"/>
      <c r="K2513" s="131"/>
    </row>
    <row r="2514" spans="7:11" x14ac:dyDescent="0.2">
      <c r="G2514" s="131"/>
      <c r="H2514" s="131"/>
      <c r="I2514" s="131"/>
      <c r="J2514" s="132"/>
      <c r="K2514" s="131"/>
    </row>
    <row r="2515" spans="7:11" x14ac:dyDescent="0.2">
      <c r="G2515" s="131"/>
      <c r="H2515" s="131"/>
      <c r="I2515" s="131"/>
      <c r="J2515" s="132"/>
      <c r="K2515" s="131"/>
    </row>
    <row r="2516" spans="7:11" x14ac:dyDescent="0.2">
      <c r="G2516" s="131"/>
      <c r="H2516" s="131"/>
      <c r="I2516" s="131"/>
      <c r="J2516" s="132"/>
      <c r="K2516" s="131"/>
    </row>
    <row r="2517" spans="7:11" x14ac:dyDescent="0.2">
      <c r="G2517" s="131"/>
      <c r="H2517" s="131"/>
      <c r="I2517" s="131"/>
      <c r="J2517" s="132"/>
      <c r="K2517" s="131"/>
    </row>
    <row r="2518" spans="7:11" x14ac:dyDescent="0.2">
      <c r="G2518" s="131"/>
      <c r="H2518" s="131"/>
      <c r="I2518" s="131"/>
      <c r="J2518" s="132"/>
      <c r="K2518" s="131"/>
    </row>
    <row r="2519" spans="7:11" x14ac:dyDescent="0.2">
      <c r="G2519" s="131"/>
      <c r="H2519" s="131"/>
      <c r="I2519" s="131"/>
      <c r="J2519" s="132"/>
      <c r="K2519" s="131"/>
    </row>
    <row r="2520" spans="7:11" x14ac:dyDescent="0.2">
      <c r="G2520" s="131"/>
      <c r="H2520" s="131"/>
      <c r="I2520" s="131"/>
      <c r="J2520" s="132"/>
      <c r="K2520" s="131"/>
    </row>
    <row r="2521" spans="7:11" x14ac:dyDescent="0.2">
      <c r="G2521" s="131"/>
      <c r="H2521" s="131"/>
      <c r="I2521" s="131"/>
      <c r="J2521" s="132"/>
      <c r="K2521" s="131"/>
    </row>
    <row r="2522" spans="7:11" x14ac:dyDescent="0.2">
      <c r="G2522" s="131"/>
      <c r="H2522" s="131"/>
      <c r="I2522" s="131"/>
      <c r="J2522" s="132"/>
      <c r="K2522" s="131"/>
    </row>
    <row r="2523" spans="7:11" x14ac:dyDescent="0.2">
      <c r="G2523" s="131"/>
      <c r="H2523" s="131"/>
      <c r="I2523" s="131"/>
      <c r="J2523" s="132"/>
      <c r="K2523" s="131"/>
    </row>
    <row r="2524" spans="7:11" x14ac:dyDescent="0.2">
      <c r="G2524" s="131"/>
      <c r="H2524" s="131"/>
      <c r="I2524" s="131"/>
      <c r="J2524" s="132"/>
      <c r="K2524" s="131"/>
    </row>
    <row r="2525" spans="7:11" x14ac:dyDescent="0.2">
      <c r="G2525" s="131"/>
      <c r="H2525" s="131"/>
      <c r="I2525" s="131"/>
      <c r="J2525" s="132"/>
      <c r="K2525" s="131"/>
    </row>
    <row r="2526" spans="7:11" x14ac:dyDescent="0.2">
      <c r="G2526" s="131"/>
      <c r="H2526" s="131"/>
      <c r="I2526" s="131"/>
      <c r="J2526" s="132"/>
      <c r="K2526" s="131"/>
    </row>
    <row r="2527" spans="7:11" x14ac:dyDescent="0.2">
      <c r="G2527" s="131"/>
      <c r="H2527" s="131"/>
      <c r="I2527" s="131"/>
      <c r="J2527" s="132"/>
      <c r="K2527" s="131"/>
    </row>
    <row r="2528" spans="7:11" x14ac:dyDescent="0.2">
      <c r="G2528" s="131"/>
      <c r="H2528" s="131"/>
      <c r="I2528" s="131"/>
      <c r="J2528" s="132"/>
      <c r="K2528" s="131"/>
    </row>
    <row r="2529" spans="7:11" x14ac:dyDescent="0.2">
      <c r="G2529" s="131"/>
      <c r="H2529" s="131"/>
      <c r="I2529" s="131"/>
      <c r="J2529" s="132"/>
      <c r="K2529" s="131"/>
    </row>
    <row r="2530" spans="7:11" x14ac:dyDescent="0.2">
      <c r="G2530" s="131"/>
      <c r="H2530" s="131"/>
      <c r="I2530" s="131"/>
      <c r="J2530" s="132"/>
      <c r="K2530" s="131"/>
    </row>
    <row r="2531" spans="7:11" x14ac:dyDescent="0.2">
      <c r="G2531" s="131"/>
      <c r="H2531" s="131"/>
      <c r="I2531" s="131"/>
      <c r="J2531" s="132"/>
      <c r="K2531" s="131"/>
    </row>
    <row r="2532" spans="7:11" x14ac:dyDescent="0.2">
      <c r="G2532" s="131"/>
      <c r="H2532" s="131"/>
      <c r="I2532" s="131"/>
      <c r="J2532" s="132"/>
      <c r="K2532" s="131"/>
    </row>
    <row r="2533" spans="7:11" x14ac:dyDescent="0.2">
      <c r="G2533" s="131"/>
      <c r="H2533" s="131"/>
      <c r="I2533" s="131"/>
      <c r="J2533" s="132"/>
      <c r="K2533" s="131"/>
    </row>
    <row r="2534" spans="7:11" x14ac:dyDescent="0.2">
      <c r="G2534" s="131"/>
      <c r="H2534" s="131"/>
      <c r="I2534" s="131"/>
      <c r="J2534" s="132"/>
      <c r="K2534" s="131"/>
    </row>
    <row r="2535" spans="7:11" x14ac:dyDescent="0.2">
      <c r="G2535" s="131"/>
      <c r="H2535" s="131"/>
      <c r="I2535" s="131"/>
      <c r="J2535" s="132"/>
      <c r="K2535" s="131"/>
    </row>
    <row r="2536" spans="7:11" x14ac:dyDescent="0.2">
      <c r="G2536" s="131"/>
      <c r="H2536" s="131"/>
      <c r="I2536" s="131"/>
      <c r="J2536" s="132"/>
      <c r="K2536" s="131"/>
    </row>
    <row r="2537" spans="7:11" x14ac:dyDescent="0.2">
      <c r="G2537" s="131"/>
      <c r="H2537" s="131"/>
      <c r="I2537" s="131"/>
      <c r="J2537" s="132"/>
      <c r="K2537" s="131"/>
    </row>
    <row r="2538" spans="7:11" x14ac:dyDescent="0.2">
      <c r="G2538" s="131"/>
      <c r="H2538" s="131"/>
      <c r="I2538" s="131"/>
      <c r="J2538" s="132"/>
      <c r="K2538" s="131"/>
    </row>
    <row r="2539" spans="7:11" x14ac:dyDescent="0.2">
      <c r="G2539" s="131"/>
      <c r="H2539" s="131"/>
      <c r="I2539" s="131"/>
      <c r="J2539" s="132"/>
      <c r="K2539" s="131"/>
    </row>
    <row r="2540" spans="7:11" x14ac:dyDescent="0.2">
      <c r="G2540" s="131"/>
      <c r="H2540" s="131"/>
      <c r="I2540" s="131"/>
      <c r="J2540" s="132"/>
      <c r="K2540" s="131"/>
    </row>
    <row r="2541" spans="7:11" x14ac:dyDescent="0.2">
      <c r="G2541" s="131"/>
      <c r="H2541" s="131"/>
      <c r="I2541" s="131"/>
      <c r="J2541" s="132"/>
      <c r="K2541" s="131"/>
    </row>
    <row r="2542" spans="7:11" x14ac:dyDescent="0.2">
      <c r="G2542" s="131"/>
      <c r="H2542" s="131"/>
      <c r="I2542" s="131"/>
      <c r="J2542" s="132"/>
      <c r="K2542" s="131"/>
    </row>
    <row r="2543" spans="7:11" x14ac:dyDescent="0.2">
      <c r="G2543" s="131"/>
      <c r="H2543" s="131"/>
      <c r="I2543" s="131"/>
      <c r="J2543" s="132"/>
      <c r="K2543" s="131"/>
    </row>
    <row r="2544" spans="7:11" x14ac:dyDescent="0.2">
      <c r="G2544" s="131"/>
      <c r="H2544" s="131"/>
      <c r="I2544" s="131"/>
      <c r="J2544" s="132"/>
      <c r="K2544" s="131"/>
    </row>
    <row r="2545" spans="7:11" x14ac:dyDescent="0.2">
      <c r="G2545" s="131"/>
      <c r="H2545" s="131"/>
      <c r="I2545" s="131"/>
      <c r="J2545" s="132"/>
      <c r="K2545" s="131"/>
    </row>
    <row r="2546" spans="7:11" x14ac:dyDescent="0.2">
      <c r="G2546" s="131"/>
      <c r="H2546" s="131"/>
      <c r="I2546" s="131"/>
      <c r="J2546" s="132"/>
      <c r="K2546" s="131"/>
    </row>
    <row r="2547" spans="7:11" x14ac:dyDescent="0.2">
      <c r="G2547" s="131"/>
      <c r="H2547" s="131"/>
      <c r="I2547" s="131"/>
      <c r="J2547" s="132"/>
      <c r="K2547" s="131"/>
    </row>
    <row r="2548" spans="7:11" x14ac:dyDescent="0.2">
      <c r="G2548" s="131"/>
      <c r="H2548" s="131"/>
      <c r="I2548" s="131"/>
      <c r="J2548" s="132"/>
      <c r="K2548" s="131"/>
    </row>
    <row r="2549" spans="7:11" x14ac:dyDescent="0.2">
      <c r="G2549" s="131"/>
      <c r="H2549" s="131"/>
      <c r="I2549" s="131"/>
      <c r="J2549" s="132"/>
      <c r="K2549" s="131"/>
    </row>
    <row r="2550" spans="7:11" x14ac:dyDescent="0.2">
      <c r="G2550" s="131"/>
      <c r="H2550" s="131"/>
      <c r="I2550" s="131"/>
      <c r="J2550" s="132"/>
      <c r="K2550" s="131"/>
    </row>
    <row r="2551" spans="7:11" x14ac:dyDescent="0.2">
      <c r="G2551" s="131"/>
      <c r="H2551" s="131"/>
      <c r="I2551" s="131"/>
      <c r="J2551" s="132"/>
      <c r="K2551" s="131"/>
    </row>
    <row r="2552" spans="7:11" x14ac:dyDescent="0.2">
      <c r="G2552" s="131"/>
      <c r="H2552" s="131"/>
      <c r="I2552" s="131"/>
      <c r="J2552" s="132"/>
      <c r="K2552" s="131"/>
    </row>
    <row r="2553" spans="7:11" x14ac:dyDescent="0.2">
      <c r="G2553" s="131"/>
      <c r="H2553" s="131"/>
      <c r="I2553" s="131"/>
      <c r="J2553" s="132"/>
      <c r="K2553" s="131"/>
    </row>
    <row r="2554" spans="7:11" x14ac:dyDescent="0.2">
      <c r="G2554" s="131"/>
      <c r="H2554" s="131"/>
      <c r="I2554" s="131"/>
      <c r="J2554" s="132"/>
      <c r="K2554" s="131"/>
    </row>
    <row r="2555" spans="7:11" x14ac:dyDescent="0.2">
      <c r="G2555" s="131"/>
      <c r="H2555" s="131"/>
      <c r="I2555" s="131"/>
      <c r="J2555" s="132"/>
      <c r="K2555" s="131"/>
    </row>
    <row r="2556" spans="7:11" x14ac:dyDescent="0.2">
      <c r="G2556" s="131"/>
      <c r="H2556" s="131"/>
      <c r="I2556" s="131"/>
      <c r="J2556" s="132"/>
      <c r="K2556" s="131"/>
    </row>
    <row r="2557" spans="7:11" x14ac:dyDescent="0.2">
      <c r="G2557" s="131"/>
      <c r="H2557" s="131"/>
      <c r="I2557" s="131"/>
      <c r="J2557" s="132"/>
      <c r="K2557" s="131"/>
    </row>
    <row r="2558" spans="7:11" x14ac:dyDescent="0.2">
      <c r="G2558" s="131"/>
      <c r="H2558" s="131"/>
      <c r="I2558" s="131"/>
      <c r="J2558" s="132"/>
      <c r="K2558" s="131"/>
    </row>
    <row r="2559" spans="7:11" x14ac:dyDescent="0.2">
      <c r="G2559" s="131"/>
      <c r="H2559" s="131"/>
      <c r="I2559" s="131"/>
      <c r="J2559" s="132"/>
      <c r="K2559" s="131"/>
    </row>
    <row r="2560" spans="7:11" x14ac:dyDescent="0.2">
      <c r="G2560" s="131"/>
      <c r="H2560" s="131"/>
      <c r="I2560" s="131"/>
      <c r="J2560" s="132"/>
      <c r="K2560" s="131"/>
    </row>
    <row r="2561" spans="7:11" x14ac:dyDescent="0.2">
      <c r="G2561" s="131"/>
      <c r="H2561" s="131"/>
      <c r="I2561" s="131"/>
      <c r="J2561" s="132"/>
      <c r="K2561" s="131"/>
    </row>
    <row r="2562" spans="7:11" x14ac:dyDescent="0.2">
      <c r="G2562" s="131"/>
      <c r="H2562" s="131"/>
      <c r="I2562" s="131"/>
      <c r="J2562" s="132"/>
      <c r="K2562" s="131"/>
    </row>
    <row r="2563" spans="7:11" x14ac:dyDescent="0.2">
      <c r="G2563" s="131"/>
      <c r="H2563" s="131"/>
      <c r="I2563" s="131"/>
      <c r="J2563" s="132"/>
      <c r="K2563" s="131"/>
    </row>
    <row r="2564" spans="7:11" x14ac:dyDescent="0.2">
      <c r="G2564" s="131"/>
      <c r="H2564" s="131"/>
      <c r="I2564" s="131"/>
      <c r="J2564" s="132"/>
      <c r="K2564" s="131"/>
    </row>
    <row r="2565" spans="7:11" x14ac:dyDescent="0.2">
      <c r="G2565" s="131"/>
      <c r="H2565" s="131"/>
      <c r="I2565" s="131"/>
      <c r="J2565" s="132"/>
      <c r="K2565" s="131"/>
    </row>
    <row r="2566" spans="7:11" x14ac:dyDescent="0.2">
      <c r="G2566" s="131"/>
      <c r="H2566" s="131"/>
      <c r="I2566" s="131"/>
      <c r="J2566" s="132"/>
      <c r="K2566" s="131"/>
    </row>
    <row r="2567" spans="7:11" x14ac:dyDescent="0.2">
      <c r="G2567" s="131"/>
      <c r="H2567" s="131"/>
      <c r="I2567" s="131"/>
      <c r="J2567" s="132"/>
      <c r="K2567" s="131"/>
    </row>
    <row r="2568" spans="7:11" x14ac:dyDescent="0.2">
      <c r="G2568" s="131"/>
      <c r="H2568" s="131"/>
      <c r="I2568" s="131"/>
      <c r="J2568" s="132"/>
      <c r="K2568" s="131"/>
    </row>
    <row r="2569" spans="7:11" x14ac:dyDescent="0.2">
      <c r="G2569" s="131"/>
      <c r="H2569" s="131"/>
      <c r="I2569" s="131"/>
      <c r="J2569" s="132"/>
      <c r="K2569" s="131"/>
    </row>
    <row r="2570" spans="7:11" x14ac:dyDescent="0.2">
      <c r="G2570" s="131"/>
      <c r="H2570" s="131"/>
      <c r="I2570" s="131"/>
      <c r="J2570" s="132"/>
      <c r="K2570" s="131"/>
    </row>
    <row r="2571" spans="7:11" x14ac:dyDescent="0.2">
      <c r="G2571" s="131"/>
      <c r="H2571" s="131"/>
      <c r="I2571" s="131"/>
      <c r="J2571" s="132"/>
      <c r="K2571" s="131"/>
    </row>
    <row r="2572" spans="7:11" x14ac:dyDescent="0.2">
      <c r="G2572" s="131"/>
      <c r="H2572" s="131"/>
      <c r="I2572" s="131"/>
      <c r="J2572" s="132"/>
      <c r="K2572" s="131"/>
    </row>
    <row r="2573" spans="7:11" x14ac:dyDescent="0.2">
      <c r="G2573" s="131"/>
      <c r="H2573" s="131"/>
      <c r="I2573" s="131"/>
      <c r="J2573" s="132"/>
      <c r="K2573" s="131"/>
    </row>
    <row r="2574" spans="7:11" x14ac:dyDescent="0.2">
      <c r="G2574" s="131"/>
      <c r="H2574" s="131"/>
      <c r="I2574" s="131"/>
      <c r="J2574" s="132"/>
      <c r="K2574" s="131"/>
    </row>
    <row r="2575" spans="7:11" x14ac:dyDescent="0.2">
      <c r="G2575" s="131"/>
      <c r="H2575" s="131"/>
      <c r="I2575" s="131"/>
      <c r="J2575" s="132"/>
      <c r="K2575" s="131"/>
    </row>
    <row r="2576" spans="7:11" x14ac:dyDescent="0.2">
      <c r="G2576" s="131"/>
      <c r="H2576" s="131"/>
      <c r="I2576" s="131"/>
      <c r="J2576" s="132"/>
      <c r="K2576" s="131"/>
    </row>
    <row r="2577" spans="7:11" x14ac:dyDescent="0.2">
      <c r="G2577" s="131"/>
      <c r="H2577" s="131"/>
      <c r="I2577" s="131"/>
      <c r="J2577" s="132"/>
      <c r="K2577" s="131"/>
    </row>
    <row r="2578" spans="7:11" x14ac:dyDescent="0.2">
      <c r="G2578" s="131"/>
      <c r="H2578" s="131"/>
      <c r="I2578" s="131"/>
      <c r="J2578" s="132"/>
      <c r="K2578" s="131"/>
    </row>
    <row r="2579" spans="7:11" x14ac:dyDescent="0.2">
      <c r="G2579" s="131"/>
      <c r="H2579" s="131"/>
      <c r="I2579" s="131"/>
      <c r="J2579" s="132"/>
      <c r="K2579" s="131"/>
    </row>
    <row r="2580" spans="7:11" x14ac:dyDescent="0.2">
      <c r="G2580" s="131"/>
      <c r="H2580" s="131"/>
      <c r="I2580" s="131"/>
      <c r="J2580" s="132"/>
      <c r="K2580" s="131"/>
    </row>
    <row r="2581" spans="7:11" x14ac:dyDescent="0.2">
      <c r="G2581" s="131"/>
      <c r="H2581" s="131"/>
      <c r="I2581" s="131"/>
      <c r="J2581" s="132"/>
      <c r="K2581" s="131"/>
    </row>
    <row r="2582" spans="7:11" x14ac:dyDescent="0.2">
      <c r="G2582" s="131"/>
      <c r="H2582" s="131"/>
      <c r="I2582" s="131"/>
      <c r="J2582" s="132"/>
      <c r="K2582" s="131"/>
    </row>
    <row r="2583" spans="7:11" x14ac:dyDescent="0.2">
      <c r="G2583" s="131"/>
      <c r="H2583" s="131"/>
      <c r="I2583" s="131"/>
      <c r="J2583" s="132"/>
      <c r="K2583" s="131"/>
    </row>
    <row r="2584" spans="7:11" x14ac:dyDescent="0.2">
      <c r="G2584" s="131"/>
      <c r="H2584" s="131"/>
      <c r="I2584" s="131"/>
      <c r="J2584" s="132"/>
      <c r="K2584" s="131"/>
    </row>
    <row r="2585" spans="7:11" x14ac:dyDescent="0.2">
      <c r="G2585" s="131"/>
      <c r="H2585" s="131"/>
      <c r="I2585" s="131"/>
      <c r="J2585" s="132"/>
      <c r="K2585" s="131"/>
    </row>
    <row r="2586" spans="7:11" x14ac:dyDescent="0.2">
      <c r="G2586" s="131"/>
      <c r="H2586" s="131"/>
      <c r="I2586" s="131"/>
      <c r="J2586" s="132"/>
      <c r="K2586" s="131"/>
    </row>
    <row r="2587" spans="7:11" x14ac:dyDescent="0.2">
      <c r="G2587" s="131"/>
      <c r="H2587" s="131"/>
      <c r="I2587" s="131"/>
      <c r="J2587" s="132"/>
      <c r="K2587" s="131"/>
    </row>
    <row r="2588" spans="7:11" x14ac:dyDescent="0.2">
      <c r="G2588" s="131"/>
      <c r="H2588" s="131"/>
      <c r="I2588" s="131"/>
      <c r="J2588" s="132"/>
      <c r="K2588" s="131"/>
    </row>
    <row r="2589" spans="7:11" x14ac:dyDescent="0.2">
      <c r="G2589" s="131"/>
      <c r="H2589" s="131"/>
      <c r="I2589" s="131"/>
      <c r="J2589" s="132"/>
      <c r="K2589" s="131"/>
    </row>
    <row r="2590" spans="7:11" x14ac:dyDescent="0.2">
      <c r="G2590" s="131"/>
      <c r="H2590" s="131"/>
      <c r="I2590" s="131"/>
      <c r="J2590" s="132"/>
      <c r="K2590" s="131"/>
    </row>
    <row r="2591" spans="7:11" x14ac:dyDescent="0.2">
      <c r="G2591" s="131"/>
      <c r="H2591" s="131"/>
      <c r="I2591" s="131"/>
      <c r="J2591" s="132"/>
      <c r="K2591" s="131"/>
    </row>
    <row r="2592" spans="7:11" x14ac:dyDescent="0.2">
      <c r="G2592" s="131"/>
      <c r="H2592" s="131"/>
      <c r="I2592" s="131"/>
      <c r="J2592" s="132"/>
      <c r="K2592" s="131"/>
    </row>
    <row r="2593" spans="7:11" x14ac:dyDescent="0.2">
      <c r="G2593" s="131"/>
      <c r="H2593" s="131"/>
      <c r="I2593" s="131"/>
      <c r="J2593" s="132"/>
      <c r="K2593" s="131"/>
    </row>
    <row r="2594" spans="7:11" x14ac:dyDescent="0.2">
      <c r="G2594" s="131"/>
      <c r="H2594" s="131"/>
      <c r="I2594" s="131"/>
      <c r="J2594" s="132"/>
      <c r="K2594" s="131"/>
    </row>
    <row r="2595" spans="7:11" x14ac:dyDescent="0.2">
      <c r="G2595" s="131"/>
      <c r="H2595" s="131"/>
      <c r="I2595" s="131"/>
      <c r="J2595" s="132"/>
      <c r="K2595" s="131"/>
    </row>
    <row r="2596" spans="7:11" x14ac:dyDescent="0.2">
      <c r="G2596" s="131"/>
      <c r="H2596" s="131"/>
      <c r="I2596" s="131"/>
      <c r="J2596" s="132"/>
      <c r="K2596" s="131"/>
    </row>
    <row r="2597" spans="7:11" x14ac:dyDescent="0.2">
      <c r="G2597" s="131"/>
      <c r="H2597" s="131"/>
      <c r="I2597" s="131"/>
      <c r="J2597" s="132"/>
      <c r="K2597" s="131"/>
    </row>
    <row r="2598" spans="7:11" x14ac:dyDescent="0.2">
      <c r="G2598" s="131"/>
      <c r="H2598" s="131"/>
      <c r="I2598" s="131"/>
      <c r="J2598" s="132"/>
      <c r="K2598" s="131"/>
    </row>
    <row r="2599" spans="7:11" x14ac:dyDescent="0.2">
      <c r="G2599" s="131"/>
      <c r="H2599" s="131"/>
      <c r="I2599" s="131"/>
      <c r="J2599" s="132"/>
      <c r="K2599" s="131"/>
    </row>
    <row r="2600" spans="7:11" x14ac:dyDescent="0.2">
      <c r="G2600" s="131"/>
      <c r="H2600" s="131"/>
      <c r="I2600" s="131"/>
      <c r="J2600" s="132"/>
      <c r="K2600" s="131"/>
    </row>
    <row r="2601" spans="7:11" x14ac:dyDescent="0.2">
      <c r="G2601" s="131"/>
      <c r="H2601" s="131"/>
      <c r="I2601" s="131"/>
      <c r="J2601" s="132"/>
      <c r="K2601" s="131"/>
    </row>
    <row r="2602" spans="7:11" x14ac:dyDescent="0.2">
      <c r="G2602" s="131"/>
      <c r="H2602" s="131"/>
      <c r="I2602" s="131"/>
      <c r="J2602" s="132"/>
      <c r="K2602" s="131"/>
    </row>
    <row r="2603" spans="7:11" x14ac:dyDescent="0.2">
      <c r="G2603" s="131"/>
      <c r="H2603" s="131"/>
      <c r="I2603" s="131"/>
      <c r="J2603" s="132"/>
      <c r="K2603" s="131"/>
    </row>
    <row r="2604" spans="7:11" x14ac:dyDescent="0.2">
      <c r="G2604" s="131"/>
      <c r="H2604" s="131"/>
      <c r="I2604" s="131"/>
      <c r="J2604" s="132"/>
      <c r="K2604" s="131"/>
    </row>
    <row r="2605" spans="7:11" x14ac:dyDescent="0.2">
      <c r="G2605" s="131"/>
      <c r="H2605" s="131"/>
      <c r="I2605" s="131"/>
      <c r="J2605" s="132"/>
      <c r="K2605" s="131"/>
    </row>
    <row r="2606" spans="7:11" x14ac:dyDescent="0.2">
      <c r="G2606" s="131"/>
      <c r="H2606" s="131"/>
      <c r="I2606" s="131"/>
      <c r="J2606" s="132"/>
      <c r="K2606" s="131"/>
    </row>
    <row r="2607" spans="7:11" x14ac:dyDescent="0.2">
      <c r="G2607" s="131"/>
      <c r="H2607" s="131"/>
      <c r="I2607" s="131"/>
      <c r="J2607" s="132"/>
      <c r="K2607" s="131"/>
    </row>
    <row r="2608" spans="7:11" x14ac:dyDescent="0.2">
      <c r="G2608" s="131"/>
      <c r="H2608" s="131"/>
      <c r="I2608" s="131"/>
      <c r="J2608" s="132"/>
      <c r="K2608" s="131"/>
    </row>
    <row r="2609" spans="7:11" x14ac:dyDescent="0.2">
      <c r="G2609" s="131"/>
      <c r="H2609" s="131"/>
      <c r="I2609" s="131"/>
      <c r="J2609" s="132"/>
      <c r="K2609" s="131"/>
    </row>
    <row r="2610" spans="7:11" x14ac:dyDescent="0.2">
      <c r="G2610" s="131"/>
      <c r="H2610" s="131"/>
      <c r="I2610" s="131"/>
      <c r="J2610" s="132"/>
      <c r="K2610" s="131"/>
    </row>
    <row r="2611" spans="7:11" x14ac:dyDescent="0.2">
      <c r="G2611" s="131"/>
      <c r="H2611" s="131"/>
      <c r="I2611" s="131"/>
      <c r="J2611" s="132"/>
      <c r="K2611" s="131"/>
    </row>
    <row r="2612" spans="7:11" x14ac:dyDescent="0.2">
      <c r="G2612" s="131"/>
      <c r="H2612" s="131"/>
      <c r="I2612" s="131"/>
      <c r="J2612" s="132"/>
      <c r="K2612" s="131"/>
    </row>
    <row r="2613" spans="7:11" x14ac:dyDescent="0.2">
      <c r="G2613" s="131"/>
      <c r="H2613" s="131"/>
      <c r="I2613" s="131"/>
      <c r="J2613" s="132"/>
      <c r="K2613" s="131"/>
    </row>
    <row r="2614" spans="7:11" x14ac:dyDescent="0.2">
      <c r="G2614" s="131"/>
      <c r="H2614" s="131"/>
      <c r="I2614" s="131"/>
      <c r="J2614" s="132"/>
      <c r="K2614" s="131"/>
    </row>
    <row r="2615" spans="7:11" x14ac:dyDescent="0.2">
      <c r="G2615" s="131"/>
      <c r="H2615" s="131"/>
      <c r="I2615" s="131"/>
      <c r="J2615" s="132"/>
      <c r="K2615" s="131"/>
    </row>
    <row r="2616" spans="7:11" x14ac:dyDescent="0.2">
      <c r="G2616" s="131"/>
      <c r="H2616" s="131"/>
      <c r="I2616" s="131"/>
      <c r="J2616" s="132"/>
      <c r="K2616" s="131"/>
    </row>
    <row r="2617" spans="7:11" x14ac:dyDescent="0.2">
      <c r="G2617" s="131"/>
      <c r="H2617" s="131"/>
      <c r="I2617" s="131"/>
      <c r="J2617" s="132"/>
      <c r="K2617" s="131"/>
    </row>
    <row r="2618" spans="7:11" x14ac:dyDescent="0.2">
      <c r="G2618" s="131"/>
      <c r="H2618" s="131"/>
      <c r="I2618" s="131"/>
      <c r="J2618" s="132"/>
      <c r="K2618" s="131"/>
    </row>
    <row r="2619" spans="7:11" x14ac:dyDescent="0.2">
      <c r="G2619" s="131"/>
      <c r="H2619" s="131"/>
      <c r="I2619" s="131"/>
      <c r="J2619" s="132"/>
      <c r="K2619" s="131"/>
    </row>
    <row r="2620" spans="7:11" x14ac:dyDescent="0.2">
      <c r="G2620" s="131"/>
      <c r="H2620" s="131"/>
      <c r="I2620" s="131"/>
      <c r="J2620" s="132"/>
      <c r="K2620" s="131"/>
    </row>
    <row r="2621" spans="7:11" x14ac:dyDescent="0.2">
      <c r="G2621" s="131"/>
      <c r="H2621" s="131"/>
      <c r="I2621" s="131"/>
      <c r="J2621" s="132"/>
      <c r="K2621" s="131"/>
    </row>
    <row r="2622" spans="7:11" x14ac:dyDescent="0.2">
      <c r="G2622" s="131"/>
      <c r="H2622" s="131"/>
      <c r="I2622" s="131"/>
      <c r="J2622" s="132"/>
      <c r="K2622" s="131"/>
    </row>
    <row r="2623" spans="7:11" x14ac:dyDescent="0.2">
      <c r="G2623" s="131"/>
      <c r="H2623" s="131"/>
      <c r="I2623" s="131"/>
      <c r="J2623" s="132"/>
      <c r="K2623" s="131"/>
    </row>
    <row r="2624" spans="7:11" x14ac:dyDescent="0.2">
      <c r="G2624" s="131"/>
      <c r="H2624" s="131"/>
      <c r="I2624" s="131"/>
      <c r="J2624" s="132"/>
      <c r="K2624" s="131"/>
    </row>
    <row r="2625" spans="7:11" x14ac:dyDescent="0.2">
      <c r="G2625" s="131"/>
      <c r="H2625" s="131"/>
      <c r="I2625" s="131"/>
      <c r="J2625" s="132"/>
      <c r="K2625" s="131"/>
    </row>
    <row r="2626" spans="7:11" x14ac:dyDescent="0.2">
      <c r="G2626" s="131"/>
      <c r="H2626" s="131"/>
      <c r="I2626" s="131"/>
      <c r="J2626" s="132"/>
      <c r="K2626" s="131"/>
    </row>
    <row r="2627" spans="7:11" x14ac:dyDescent="0.2">
      <c r="G2627" s="131"/>
      <c r="H2627" s="131"/>
      <c r="I2627" s="131"/>
      <c r="J2627" s="132"/>
      <c r="K2627" s="131"/>
    </row>
    <row r="2628" spans="7:11" x14ac:dyDescent="0.2">
      <c r="G2628" s="131"/>
      <c r="H2628" s="131"/>
      <c r="I2628" s="131"/>
      <c r="J2628" s="132"/>
      <c r="K2628" s="131"/>
    </row>
    <row r="2629" spans="7:11" x14ac:dyDescent="0.2">
      <c r="G2629" s="131"/>
      <c r="H2629" s="131"/>
      <c r="I2629" s="131"/>
      <c r="J2629" s="132"/>
      <c r="K2629" s="131"/>
    </row>
    <row r="2630" spans="7:11" x14ac:dyDescent="0.2">
      <c r="G2630" s="131"/>
      <c r="H2630" s="131"/>
      <c r="I2630" s="131"/>
      <c r="J2630" s="132"/>
      <c r="K2630" s="131"/>
    </row>
    <row r="2631" spans="7:11" x14ac:dyDescent="0.2">
      <c r="G2631" s="131"/>
      <c r="H2631" s="131"/>
      <c r="I2631" s="131"/>
      <c r="J2631" s="132"/>
      <c r="K2631" s="131"/>
    </row>
    <row r="2632" spans="7:11" x14ac:dyDescent="0.2">
      <c r="G2632" s="131"/>
      <c r="H2632" s="131"/>
      <c r="I2632" s="131"/>
      <c r="J2632" s="132"/>
      <c r="K2632" s="131"/>
    </row>
    <row r="2633" spans="7:11" x14ac:dyDescent="0.2">
      <c r="G2633" s="131"/>
      <c r="H2633" s="131"/>
      <c r="I2633" s="131"/>
      <c r="J2633" s="132"/>
      <c r="K2633" s="131"/>
    </row>
    <row r="2634" spans="7:11" x14ac:dyDescent="0.2">
      <c r="G2634" s="131"/>
      <c r="H2634" s="131"/>
      <c r="I2634" s="131"/>
      <c r="J2634" s="132"/>
      <c r="K2634" s="131"/>
    </row>
    <row r="2635" spans="7:11" x14ac:dyDescent="0.2">
      <c r="G2635" s="131"/>
      <c r="H2635" s="131"/>
      <c r="I2635" s="131"/>
      <c r="J2635" s="132"/>
      <c r="K2635" s="131"/>
    </row>
    <row r="2636" spans="7:11" x14ac:dyDescent="0.2">
      <c r="G2636" s="131"/>
      <c r="H2636" s="131"/>
      <c r="I2636" s="131"/>
      <c r="J2636" s="132"/>
      <c r="K2636" s="131"/>
    </row>
    <row r="2637" spans="7:11" x14ac:dyDescent="0.2">
      <c r="G2637" s="131"/>
      <c r="H2637" s="131"/>
      <c r="I2637" s="131"/>
      <c r="J2637" s="132"/>
      <c r="K2637" s="131"/>
    </row>
    <row r="2638" spans="7:11" x14ac:dyDescent="0.2">
      <c r="G2638" s="131"/>
      <c r="H2638" s="131"/>
      <c r="I2638" s="131"/>
      <c r="J2638" s="132"/>
      <c r="K2638" s="131"/>
    </row>
    <row r="2639" spans="7:11" x14ac:dyDescent="0.2">
      <c r="G2639" s="131"/>
      <c r="H2639" s="131"/>
      <c r="I2639" s="131"/>
      <c r="J2639" s="132"/>
      <c r="K2639" s="131"/>
    </row>
    <row r="2640" spans="7:11" x14ac:dyDescent="0.2">
      <c r="G2640" s="131"/>
      <c r="H2640" s="131"/>
      <c r="I2640" s="131"/>
      <c r="J2640" s="132"/>
      <c r="K2640" s="131"/>
    </row>
    <row r="2641" spans="7:11" x14ac:dyDescent="0.2">
      <c r="G2641" s="131"/>
      <c r="H2641" s="131"/>
      <c r="I2641" s="131"/>
      <c r="J2641" s="132"/>
      <c r="K2641" s="131"/>
    </row>
    <row r="2642" spans="7:11" x14ac:dyDescent="0.2">
      <c r="G2642" s="131"/>
      <c r="H2642" s="131"/>
      <c r="I2642" s="131"/>
      <c r="J2642" s="132"/>
      <c r="K2642" s="131"/>
    </row>
    <row r="2643" spans="7:11" x14ac:dyDescent="0.2">
      <c r="G2643" s="131"/>
      <c r="H2643" s="131"/>
      <c r="I2643" s="131"/>
      <c r="J2643" s="132"/>
      <c r="K2643" s="131"/>
    </row>
    <row r="2644" spans="7:11" x14ac:dyDescent="0.2">
      <c r="G2644" s="131"/>
      <c r="H2644" s="131"/>
      <c r="I2644" s="131"/>
      <c r="J2644" s="132"/>
      <c r="K2644" s="131"/>
    </row>
    <row r="2645" spans="7:11" x14ac:dyDescent="0.2">
      <c r="G2645" s="131"/>
      <c r="H2645" s="131"/>
      <c r="I2645" s="131"/>
      <c r="J2645" s="132"/>
      <c r="K2645" s="131"/>
    </row>
    <row r="2646" spans="7:11" x14ac:dyDescent="0.2">
      <c r="G2646" s="131"/>
      <c r="H2646" s="131"/>
      <c r="I2646" s="131"/>
      <c r="J2646" s="132"/>
      <c r="K2646" s="131"/>
    </row>
    <row r="2647" spans="7:11" x14ac:dyDescent="0.2">
      <c r="G2647" s="131"/>
      <c r="H2647" s="131"/>
      <c r="I2647" s="131"/>
      <c r="J2647" s="132"/>
      <c r="K2647" s="131"/>
    </row>
    <row r="2648" spans="7:11" x14ac:dyDescent="0.2">
      <c r="G2648" s="131"/>
      <c r="H2648" s="131"/>
      <c r="I2648" s="131"/>
      <c r="J2648" s="132"/>
      <c r="K2648" s="131"/>
    </row>
    <row r="2649" spans="7:11" x14ac:dyDescent="0.2">
      <c r="G2649" s="131"/>
      <c r="H2649" s="131"/>
      <c r="I2649" s="131"/>
      <c r="J2649" s="132"/>
      <c r="K2649" s="131"/>
    </row>
    <row r="2650" spans="7:11" x14ac:dyDescent="0.2">
      <c r="G2650" s="131"/>
      <c r="H2650" s="131"/>
      <c r="I2650" s="131"/>
      <c r="J2650" s="132"/>
      <c r="K2650" s="131"/>
    </row>
    <row r="2651" spans="7:11" x14ac:dyDescent="0.2">
      <c r="G2651" s="131"/>
      <c r="H2651" s="131"/>
      <c r="I2651" s="131"/>
      <c r="J2651" s="132"/>
      <c r="K2651" s="131"/>
    </row>
    <row r="2652" spans="7:11" x14ac:dyDescent="0.2">
      <c r="G2652" s="131"/>
      <c r="H2652" s="131"/>
      <c r="I2652" s="131"/>
      <c r="J2652" s="132"/>
      <c r="K2652" s="131"/>
    </row>
    <row r="2653" spans="7:11" x14ac:dyDescent="0.2">
      <c r="G2653" s="131"/>
      <c r="H2653" s="131"/>
      <c r="I2653" s="131"/>
      <c r="J2653" s="132"/>
      <c r="K2653" s="131"/>
    </row>
    <row r="2654" spans="7:11" x14ac:dyDescent="0.2">
      <c r="G2654" s="131"/>
      <c r="H2654" s="131"/>
      <c r="I2654" s="131"/>
      <c r="J2654" s="132"/>
      <c r="K2654" s="131"/>
    </row>
    <row r="2655" spans="7:11" x14ac:dyDescent="0.2">
      <c r="G2655" s="131"/>
      <c r="H2655" s="131"/>
      <c r="I2655" s="131"/>
      <c r="J2655" s="132"/>
      <c r="K2655" s="131"/>
    </row>
    <row r="2656" spans="7:11" x14ac:dyDescent="0.2">
      <c r="G2656" s="131"/>
      <c r="H2656" s="131"/>
      <c r="I2656" s="131"/>
      <c r="J2656" s="132"/>
      <c r="K2656" s="131"/>
    </row>
    <row r="2657" spans="7:11" x14ac:dyDescent="0.2">
      <c r="G2657" s="131"/>
      <c r="H2657" s="131"/>
      <c r="I2657" s="131"/>
      <c r="J2657" s="132"/>
      <c r="K2657" s="131"/>
    </row>
    <row r="2658" spans="7:11" x14ac:dyDescent="0.2">
      <c r="G2658" s="131"/>
      <c r="H2658" s="131"/>
      <c r="I2658" s="131"/>
      <c r="J2658" s="132"/>
      <c r="K2658" s="131"/>
    </row>
    <row r="2659" spans="7:11" x14ac:dyDescent="0.2">
      <c r="G2659" s="131"/>
      <c r="H2659" s="131"/>
      <c r="I2659" s="131"/>
      <c r="J2659" s="132"/>
      <c r="K2659" s="131"/>
    </row>
    <row r="2660" spans="7:11" x14ac:dyDescent="0.2">
      <c r="G2660" s="131"/>
      <c r="H2660" s="131"/>
      <c r="I2660" s="131"/>
      <c r="J2660" s="132"/>
      <c r="K2660" s="131"/>
    </row>
    <row r="2661" spans="7:11" x14ac:dyDescent="0.2">
      <c r="G2661" s="131"/>
      <c r="H2661" s="131"/>
      <c r="I2661" s="131"/>
      <c r="J2661" s="132"/>
      <c r="K2661" s="131"/>
    </row>
    <row r="2662" spans="7:11" x14ac:dyDescent="0.2">
      <c r="G2662" s="131"/>
      <c r="H2662" s="131"/>
      <c r="I2662" s="131"/>
      <c r="J2662" s="132"/>
      <c r="K2662" s="131"/>
    </row>
    <row r="2663" spans="7:11" x14ac:dyDescent="0.2">
      <c r="G2663" s="131"/>
      <c r="H2663" s="131"/>
      <c r="I2663" s="131"/>
      <c r="J2663" s="132"/>
      <c r="K2663" s="131"/>
    </row>
    <row r="2664" spans="7:11" x14ac:dyDescent="0.2">
      <c r="G2664" s="131"/>
      <c r="H2664" s="131"/>
      <c r="I2664" s="131"/>
      <c r="J2664" s="132"/>
      <c r="K2664" s="131"/>
    </row>
    <row r="2665" spans="7:11" x14ac:dyDescent="0.2">
      <c r="G2665" s="131"/>
      <c r="H2665" s="131"/>
      <c r="I2665" s="131"/>
      <c r="J2665" s="132"/>
      <c r="K2665" s="131"/>
    </row>
    <row r="2666" spans="7:11" x14ac:dyDescent="0.2">
      <c r="G2666" s="131"/>
      <c r="H2666" s="131"/>
      <c r="I2666" s="131"/>
      <c r="J2666" s="132"/>
      <c r="K2666" s="131"/>
    </row>
    <row r="2667" spans="7:11" x14ac:dyDescent="0.2">
      <c r="G2667" s="131"/>
      <c r="H2667" s="131"/>
      <c r="I2667" s="131"/>
      <c r="J2667" s="132"/>
      <c r="K2667" s="131"/>
    </row>
    <row r="2668" spans="7:11" x14ac:dyDescent="0.2">
      <c r="G2668" s="131"/>
      <c r="H2668" s="131"/>
      <c r="I2668" s="131"/>
      <c r="J2668" s="132"/>
      <c r="K2668" s="131"/>
    </row>
    <row r="2669" spans="7:11" x14ac:dyDescent="0.2">
      <c r="G2669" s="131"/>
      <c r="H2669" s="131"/>
      <c r="I2669" s="131"/>
      <c r="J2669" s="132"/>
      <c r="K2669" s="131"/>
    </row>
    <row r="2670" spans="7:11" x14ac:dyDescent="0.2">
      <c r="G2670" s="131"/>
      <c r="H2670" s="131"/>
      <c r="I2670" s="131"/>
      <c r="J2670" s="132"/>
      <c r="K2670" s="131"/>
    </row>
    <row r="2671" spans="7:11" x14ac:dyDescent="0.2">
      <c r="G2671" s="131"/>
      <c r="H2671" s="131"/>
      <c r="I2671" s="131"/>
      <c r="J2671" s="132"/>
      <c r="K2671" s="131"/>
    </row>
    <row r="2672" spans="7:11" x14ac:dyDescent="0.2">
      <c r="G2672" s="131"/>
      <c r="H2672" s="131"/>
      <c r="I2672" s="131"/>
      <c r="J2672" s="132"/>
      <c r="K2672" s="131"/>
    </row>
    <row r="2673" spans="7:11" x14ac:dyDescent="0.2">
      <c r="G2673" s="131"/>
      <c r="H2673" s="131"/>
      <c r="I2673" s="131"/>
      <c r="J2673" s="132"/>
      <c r="K2673" s="131"/>
    </row>
    <row r="2674" spans="7:11" x14ac:dyDescent="0.2">
      <c r="G2674" s="131"/>
      <c r="H2674" s="131"/>
      <c r="I2674" s="131"/>
      <c r="J2674" s="132"/>
      <c r="K2674" s="131"/>
    </row>
    <row r="2675" spans="7:11" x14ac:dyDescent="0.2">
      <c r="G2675" s="131"/>
      <c r="H2675" s="131"/>
      <c r="I2675" s="131"/>
      <c r="J2675" s="132"/>
      <c r="K2675" s="131"/>
    </row>
    <row r="2676" spans="7:11" x14ac:dyDescent="0.2">
      <c r="G2676" s="131"/>
      <c r="H2676" s="131"/>
      <c r="I2676" s="131"/>
      <c r="J2676" s="132"/>
      <c r="K2676" s="131"/>
    </row>
    <row r="2677" spans="7:11" x14ac:dyDescent="0.2">
      <c r="G2677" s="131"/>
      <c r="H2677" s="131"/>
      <c r="I2677" s="131"/>
      <c r="J2677" s="132"/>
      <c r="K2677" s="131"/>
    </row>
    <row r="2678" spans="7:11" x14ac:dyDescent="0.2">
      <c r="G2678" s="131"/>
      <c r="H2678" s="131"/>
      <c r="I2678" s="131"/>
      <c r="J2678" s="132"/>
      <c r="K2678" s="131"/>
    </row>
    <row r="2679" spans="7:11" x14ac:dyDescent="0.2">
      <c r="G2679" s="131"/>
      <c r="H2679" s="131"/>
      <c r="I2679" s="131"/>
      <c r="J2679" s="132"/>
      <c r="K2679" s="131"/>
    </row>
    <row r="2680" spans="7:11" x14ac:dyDescent="0.2">
      <c r="G2680" s="131"/>
      <c r="H2680" s="131"/>
      <c r="I2680" s="131"/>
      <c r="J2680" s="132"/>
      <c r="K2680" s="131"/>
    </row>
    <row r="2681" spans="7:11" x14ac:dyDescent="0.2">
      <c r="G2681" s="131"/>
      <c r="H2681" s="131"/>
      <c r="I2681" s="131"/>
      <c r="J2681" s="132"/>
      <c r="K2681" s="131"/>
    </row>
    <row r="2682" spans="7:11" x14ac:dyDescent="0.2">
      <c r="G2682" s="131"/>
      <c r="H2682" s="131"/>
      <c r="I2682" s="131"/>
      <c r="J2682" s="132"/>
      <c r="K2682" s="131"/>
    </row>
    <row r="2683" spans="7:11" x14ac:dyDescent="0.2">
      <c r="G2683" s="131"/>
      <c r="H2683" s="131"/>
      <c r="I2683" s="131"/>
      <c r="J2683" s="132"/>
      <c r="K2683" s="131"/>
    </row>
    <row r="2684" spans="7:11" x14ac:dyDescent="0.2">
      <c r="G2684" s="131"/>
      <c r="H2684" s="131"/>
      <c r="I2684" s="131"/>
      <c r="J2684" s="132"/>
      <c r="K2684" s="131"/>
    </row>
    <row r="2685" spans="7:11" x14ac:dyDescent="0.2">
      <c r="G2685" s="131"/>
      <c r="H2685" s="131"/>
      <c r="I2685" s="131"/>
      <c r="J2685" s="132"/>
      <c r="K2685" s="131"/>
    </row>
    <row r="2686" spans="7:11" x14ac:dyDescent="0.2">
      <c r="G2686" s="131"/>
      <c r="H2686" s="131"/>
      <c r="I2686" s="131"/>
      <c r="J2686" s="132"/>
      <c r="K2686" s="131"/>
    </row>
    <row r="2687" spans="7:11" x14ac:dyDescent="0.2">
      <c r="G2687" s="131"/>
      <c r="H2687" s="131"/>
      <c r="I2687" s="131"/>
      <c r="J2687" s="132"/>
      <c r="K2687" s="131"/>
    </row>
    <row r="2688" spans="7:11" x14ac:dyDescent="0.2">
      <c r="G2688" s="131"/>
      <c r="H2688" s="131"/>
      <c r="I2688" s="131"/>
      <c r="J2688" s="132"/>
      <c r="K2688" s="131"/>
    </row>
    <row r="2689" spans="7:11" x14ac:dyDescent="0.2">
      <c r="G2689" s="131"/>
      <c r="H2689" s="131"/>
      <c r="I2689" s="131"/>
      <c r="J2689" s="132"/>
      <c r="K2689" s="131"/>
    </row>
    <row r="2690" spans="7:11" x14ac:dyDescent="0.2">
      <c r="G2690" s="131"/>
      <c r="H2690" s="131"/>
      <c r="I2690" s="131"/>
      <c r="J2690" s="132"/>
      <c r="K2690" s="131"/>
    </row>
    <row r="2691" spans="7:11" x14ac:dyDescent="0.2">
      <c r="G2691" s="131"/>
      <c r="H2691" s="131"/>
      <c r="I2691" s="131"/>
      <c r="J2691" s="132"/>
      <c r="K2691" s="131"/>
    </row>
    <row r="2692" spans="7:11" x14ac:dyDescent="0.2">
      <c r="G2692" s="131"/>
      <c r="H2692" s="131"/>
      <c r="I2692" s="131"/>
      <c r="J2692" s="132"/>
      <c r="K2692" s="131"/>
    </row>
    <row r="2693" spans="7:11" x14ac:dyDescent="0.2">
      <c r="G2693" s="131"/>
      <c r="H2693" s="131"/>
      <c r="I2693" s="131"/>
      <c r="J2693" s="132"/>
      <c r="K2693" s="131"/>
    </row>
    <row r="2694" spans="7:11" x14ac:dyDescent="0.2">
      <c r="G2694" s="131"/>
      <c r="H2694" s="131"/>
      <c r="I2694" s="131"/>
      <c r="J2694" s="132"/>
      <c r="K2694" s="131"/>
    </row>
    <row r="2695" spans="7:11" x14ac:dyDescent="0.2">
      <c r="G2695" s="131"/>
      <c r="H2695" s="131"/>
      <c r="I2695" s="131"/>
      <c r="J2695" s="132"/>
      <c r="K2695" s="131"/>
    </row>
    <row r="2696" spans="7:11" x14ac:dyDescent="0.2">
      <c r="G2696" s="131"/>
      <c r="H2696" s="131"/>
      <c r="I2696" s="131"/>
      <c r="J2696" s="132"/>
      <c r="K2696" s="131"/>
    </row>
    <row r="2697" spans="7:11" x14ac:dyDescent="0.2">
      <c r="G2697" s="131"/>
      <c r="H2697" s="131"/>
      <c r="I2697" s="131"/>
      <c r="J2697" s="132"/>
      <c r="K2697" s="131"/>
    </row>
    <row r="2698" spans="7:11" x14ac:dyDescent="0.2">
      <c r="G2698" s="131"/>
      <c r="H2698" s="131"/>
      <c r="I2698" s="131"/>
      <c r="J2698" s="132"/>
      <c r="K2698" s="131"/>
    </row>
    <row r="2699" spans="7:11" x14ac:dyDescent="0.2">
      <c r="G2699" s="131"/>
      <c r="H2699" s="131"/>
      <c r="I2699" s="131"/>
      <c r="J2699" s="132"/>
      <c r="K2699" s="131"/>
    </row>
    <row r="2700" spans="7:11" x14ac:dyDescent="0.2">
      <c r="G2700" s="131"/>
      <c r="H2700" s="131"/>
      <c r="I2700" s="131"/>
      <c r="J2700" s="132"/>
      <c r="K2700" s="131"/>
    </row>
    <row r="2701" spans="7:11" x14ac:dyDescent="0.2">
      <c r="G2701" s="131"/>
      <c r="H2701" s="131"/>
      <c r="I2701" s="131"/>
      <c r="J2701" s="132"/>
      <c r="K2701" s="131"/>
    </row>
    <row r="2702" spans="7:11" x14ac:dyDescent="0.2">
      <c r="G2702" s="131"/>
      <c r="H2702" s="131"/>
      <c r="I2702" s="131"/>
      <c r="J2702" s="132"/>
      <c r="K2702" s="131"/>
    </row>
    <row r="2703" spans="7:11" x14ac:dyDescent="0.2">
      <c r="G2703" s="131"/>
      <c r="H2703" s="131"/>
      <c r="I2703" s="131"/>
      <c r="J2703" s="132"/>
      <c r="K2703" s="131"/>
    </row>
    <row r="2704" spans="7:11" x14ac:dyDescent="0.2">
      <c r="G2704" s="131"/>
      <c r="H2704" s="131"/>
      <c r="I2704" s="131"/>
      <c r="J2704" s="132"/>
      <c r="K2704" s="131"/>
    </row>
    <row r="2705" spans="7:11" x14ac:dyDescent="0.2">
      <c r="G2705" s="131"/>
      <c r="H2705" s="131"/>
      <c r="I2705" s="131"/>
      <c r="J2705" s="132"/>
      <c r="K2705" s="131"/>
    </row>
    <row r="2706" spans="7:11" x14ac:dyDescent="0.2">
      <c r="G2706" s="131"/>
      <c r="H2706" s="131"/>
      <c r="I2706" s="131"/>
      <c r="J2706" s="132"/>
      <c r="K2706" s="131"/>
    </row>
    <row r="2707" spans="7:11" x14ac:dyDescent="0.2">
      <c r="G2707" s="131"/>
      <c r="H2707" s="131"/>
      <c r="I2707" s="131"/>
      <c r="J2707" s="132"/>
      <c r="K2707" s="131"/>
    </row>
    <row r="2708" spans="7:11" x14ac:dyDescent="0.2">
      <c r="G2708" s="131"/>
      <c r="H2708" s="131"/>
      <c r="I2708" s="131"/>
      <c r="J2708" s="132"/>
      <c r="K2708" s="131"/>
    </row>
    <row r="2709" spans="7:11" x14ac:dyDescent="0.2">
      <c r="G2709" s="131"/>
      <c r="H2709" s="131"/>
      <c r="I2709" s="131"/>
      <c r="J2709" s="132"/>
      <c r="K2709" s="131"/>
    </row>
    <row r="2710" spans="7:11" x14ac:dyDescent="0.2">
      <c r="G2710" s="131"/>
      <c r="H2710" s="131"/>
      <c r="I2710" s="131"/>
      <c r="J2710" s="132"/>
      <c r="K2710" s="131"/>
    </row>
    <row r="2711" spans="7:11" x14ac:dyDescent="0.2">
      <c r="G2711" s="131"/>
      <c r="H2711" s="131"/>
      <c r="I2711" s="131"/>
      <c r="J2711" s="132"/>
      <c r="K2711" s="131"/>
    </row>
    <row r="2712" spans="7:11" x14ac:dyDescent="0.2">
      <c r="G2712" s="131"/>
      <c r="H2712" s="131"/>
      <c r="I2712" s="131"/>
      <c r="J2712" s="132"/>
      <c r="K2712" s="131"/>
    </row>
    <row r="2713" spans="7:11" x14ac:dyDescent="0.2">
      <c r="G2713" s="131"/>
      <c r="H2713" s="131"/>
      <c r="I2713" s="131"/>
      <c r="J2713" s="132"/>
      <c r="K2713" s="131"/>
    </row>
    <row r="2714" spans="7:11" x14ac:dyDescent="0.2">
      <c r="G2714" s="131"/>
      <c r="H2714" s="131"/>
      <c r="I2714" s="131"/>
      <c r="J2714" s="132"/>
      <c r="K2714" s="131"/>
    </row>
    <row r="2715" spans="7:11" x14ac:dyDescent="0.2">
      <c r="G2715" s="131"/>
      <c r="H2715" s="131"/>
      <c r="I2715" s="131"/>
      <c r="J2715" s="132"/>
      <c r="K2715" s="131"/>
    </row>
    <row r="2716" spans="7:11" x14ac:dyDescent="0.2">
      <c r="G2716" s="131"/>
      <c r="H2716" s="131"/>
      <c r="I2716" s="131"/>
      <c r="J2716" s="132"/>
      <c r="K2716" s="131"/>
    </row>
    <row r="2717" spans="7:11" x14ac:dyDescent="0.2">
      <c r="G2717" s="131"/>
      <c r="H2717" s="131"/>
      <c r="I2717" s="131"/>
      <c r="J2717" s="132"/>
      <c r="K2717" s="131"/>
    </row>
    <row r="2718" spans="7:11" x14ac:dyDescent="0.2">
      <c r="G2718" s="131"/>
      <c r="H2718" s="131"/>
      <c r="I2718" s="131"/>
      <c r="J2718" s="132"/>
      <c r="K2718" s="131"/>
    </row>
    <row r="2719" spans="7:11" x14ac:dyDescent="0.2">
      <c r="G2719" s="131"/>
      <c r="H2719" s="131"/>
      <c r="I2719" s="131"/>
      <c r="J2719" s="132"/>
      <c r="K2719" s="131"/>
    </row>
    <row r="2720" spans="7:11" x14ac:dyDescent="0.2">
      <c r="G2720" s="131"/>
      <c r="H2720" s="131"/>
      <c r="I2720" s="131"/>
      <c r="J2720" s="132"/>
      <c r="K2720" s="131"/>
    </row>
    <row r="2721" spans="7:11" x14ac:dyDescent="0.2">
      <c r="G2721" s="131"/>
      <c r="H2721" s="131"/>
      <c r="I2721" s="131"/>
      <c r="J2721" s="132"/>
      <c r="K2721" s="131"/>
    </row>
    <row r="2722" spans="7:11" x14ac:dyDescent="0.2">
      <c r="G2722" s="131"/>
      <c r="H2722" s="131"/>
      <c r="I2722" s="131"/>
      <c r="J2722" s="132"/>
      <c r="K2722" s="131"/>
    </row>
    <row r="2723" spans="7:11" x14ac:dyDescent="0.2">
      <c r="G2723" s="131"/>
      <c r="H2723" s="131"/>
      <c r="I2723" s="131"/>
      <c r="J2723" s="132"/>
      <c r="K2723" s="131"/>
    </row>
    <row r="2724" spans="7:11" x14ac:dyDescent="0.2">
      <c r="G2724" s="131"/>
      <c r="H2724" s="131"/>
      <c r="I2724" s="131"/>
      <c r="J2724" s="132"/>
      <c r="K2724" s="131"/>
    </row>
    <row r="2725" spans="7:11" x14ac:dyDescent="0.2">
      <c r="G2725" s="131"/>
      <c r="H2725" s="131"/>
      <c r="I2725" s="131"/>
      <c r="J2725" s="132"/>
      <c r="K2725" s="131"/>
    </row>
    <row r="2726" spans="7:11" x14ac:dyDescent="0.2">
      <c r="G2726" s="131"/>
      <c r="H2726" s="131"/>
      <c r="I2726" s="131"/>
      <c r="J2726" s="132"/>
      <c r="K2726" s="131"/>
    </row>
    <row r="2727" spans="7:11" x14ac:dyDescent="0.2">
      <c r="G2727" s="131"/>
      <c r="H2727" s="131"/>
      <c r="I2727" s="131"/>
      <c r="J2727" s="132"/>
      <c r="K2727" s="131"/>
    </row>
    <row r="2728" spans="7:11" x14ac:dyDescent="0.2">
      <c r="G2728" s="131"/>
      <c r="H2728" s="131"/>
      <c r="I2728" s="131"/>
      <c r="J2728" s="132"/>
      <c r="K2728" s="131"/>
    </row>
    <row r="2729" spans="7:11" x14ac:dyDescent="0.2">
      <c r="G2729" s="131"/>
      <c r="H2729" s="131"/>
      <c r="I2729" s="131"/>
      <c r="J2729" s="132"/>
      <c r="K2729" s="131"/>
    </row>
    <row r="2730" spans="7:11" x14ac:dyDescent="0.2">
      <c r="G2730" s="131"/>
      <c r="H2730" s="131"/>
      <c r="I2730" s="131"/>
      <c r="J2730" s="132"/>
      <c r="K2730" s="131"/>
    </row>
    <row r="2731" spans="7:11" x14ac:dyDescent="0.2">
      <c r="G2731" s="131"/>
      <c r="H2731" s="131"/>
      <c r="I2731" s="131"/>
      <c r="J2731" s="132"/>
      <c r="K2731" s="131"/>
    </row>
    <row r="2732" spans="7:11" x14ac:dyDescent="0.2">
      <c r="G2732" s="131"/>
      <c r="H2732" s="131"/>
      <c r="I2732" s="131"/>
      <c r="J2732" s="132"/>
      <c r="K2732" s="131"/>
    </row>
    <row r="2733" spans="7:11" x14ac:dyDescent="0.2">
      <c r="G2733" s="131"/>
      <c r="H2733" s="131"/>
      <c r="I2733" s="131"/>
      <c r="J2733" s="132"/>
      <c r="K2733" s="131"/>
    </row>
    <row r="2734" spans="7:11" x14ac:dyDescent="0.2">
      <c r="G2734" s="131"/>
      <c r="H2734" s="131"/>
      <c r="I2734" s="131"/>
      <c r="J2734" s="132"/>
      <c r="K2734" s="131"/>
    </row>
    <row r="2735" spans="7:11" x14ac:dyDescent="0.2">
      <c r="G2735" s="131"/>
      <c r="H2735" s="131"/>
      <c r="I2735" s="131"/>
      <c r="J2735" s="132"/>
      <c r="K2735" s="131"/>
    </row>
    <row r="2736" spans="7:11" x14ac:dyDescent="0.2">
      <c r="G2736" s="131"/>
      <c r="H2736" s="131"/>
      <c r="I2736" s="131"/>
      <c r="J2736" s="132"/>
      <c r="K2736" s="131"/>
    </row>
    <row r="2737" spans="7:11" x14ac:dyDescent="0.2">
      <c r="G2737" s="131"/>
      <c r="H2737" s="131"/>
      <c r="I2737" s="131"/>
      <c r="J2737" s="132"/>
      <c r="K2737" s="131"/>
    </row>
    <row r="2738" spans="7:11" x14ac:dyDescent="0.2">
      <c r="G2738" s="131"/>
      <c r="H2738" s="131"/>
      <c r="I2738" s="131"/>
      <c r="J2738" s="132"/>
      <c r="K2738" s="131"/>
    </row>
    <row r="2739" spans="7:11" x14ac:dyDescent="0.2">
      <c r="G2739" s="131"/>
      <c r="H2739" s="131"/>
      <c r="I2739" s="131"/>
      <c r="J2739" s="132"/>
      <c r="K2739" s="131"/>
    </row>
    <row r="2740" spans="7:11" x14ac:dyDescent="0.2">
      <c r="G2740" s="131"/>
      <c r="H2740" s="131"/>
      <c r="I2740" s="131"/>
      <c r="J2740" s="132"/>
      <c r="K2740" s="131"/>
    </row>
    <row r="2741" spans="7:11" x14ac:dyDescent="0.2">
      <c r="G2741" s="131"/>
      <c r="H2741" s="131"/>
      <c r="I2741" s="131"/>
      <c r="J2741" s="132"/>
      <c r="K2741" s="131"/>
    </row>
    <row r="2742" spans="7:11" x14ac:dyDescent="0.2">
      <c r="G2742" s="131"/>
      <c r="H2742" s="131"/>
      <c r="I2742" s="131"/>
      <c r="J2742" s="132"/>
      <c r="K2742" s="131"/>
    </row>
    <row r="2743" spans="7:11" x14ac:dyDescent="0.2">
      <c r="G2743" s="131"/>
      <c r="H2743" s="131"/>
      <c r="I2743" s="131"/>
      <c r="J2743" s="132"/>
      <c r="K2743" s="131"/>
    </row>
    <row r="2744" spans="7:11" x14ac:dyDescent="0.2">
      <c r="G2744" s="131"/>
      <c r="H2744" s="131"/>
      <c r="I2744" s="131"/>
      <c r="J2744" s="132"/>
      <c r="K2744" s="131"/>
    </row>
    <row r="2745" spans="7:11" x14ac:dyDescent="0.2">
      <c r="G2745" s="131"/>
      <c r="H2745" s="131"/>
      <c r="I2745" s="131"/>
      <c r="J2745" s="132"/>
      <c r="K2745" s="131"/>
    </row>
    <row r="2746" spans="7:11" x14ac:dyDescent="0.2">
      <c r="G2746" s="131"/>
      <c r="H2746" s="131"/>
      <c r="I2746" s="131"/>
      <c r="J2746" s="132"/>
      <c r="K2746" s="131"/>
    </row>
    <row r="2747" spans="7:11" x14ac:dyDescent="0.2">
      <c r="G2747" s="131"/>
      <c r="H2747" s="131"/>
      <c r="I2747" s="131"/>
      <c r="J2747" s="132"/>
      <c r="K2747" s="131"/>
    </row>
    <row r="2748" spans="7:11" x14ac:dyDescent="0.2">
      <c r="G2748" s="131"/>
      <c r="H2748" s="131"/>
      <c r="I2748" s="131"/>
      <c r="J2748" s="132"/>
      <c r="K2748" s="131"/>
    </row>
    <row r="2749" spans="7:11" x14ac:dyDescent="0.2">
      <c r="G2749" s="131"/>
      <c r="H2749" s="131"/>
      <c r="I2749" s="131"/>
      <c r="J2749" s="132"/>
      <c r="K2749" s="131"/>
    </row>
    <row r="2750" spans="7:11" x14ac:dyDescent="0.2">
      <c r="G2750" s="131"/>
      <c r="H2750" s="131"/>
      <c r="I2750" s="131"/>
      <c r="J2750" s="132"/>
      <c r="K2750" s="131"/>
    </row>
    <row r="2751" spans="7:11" x14ac:dyDescent="0.2">
      <c r="G2751" s="131"/>
      <c r="H2751" s="131"/>
      <c r="I2751" s="131"/>
      <c r="J2751" s="132"/>
      <c r="K2751" s="131"/>
    </row>
    <row r="2752" spans="7:11" x14ac:dyDescent="0.2">
      <c r="G2752" s="131"/>
      <c r="H2752" s="131"/>
      <c r="I2752" s="131"/>
      <c r="J2752" s="132"/>
      <c r="K2752" s="131"/>
    </row>
    <row r="2753" spans="7:11" x14ac:dyDescent="0.2">
      <c r="G2753" s="131"/>
      <c r="H2753" s="131"/>
      <c r="I2753" s="131"/>
      <c r="J2753" s="132"/>
      <c r="K2753" s="131"/>
    </row>
    <row r="2754" spans="7:11" x14ac:dyDescent="0.2">
      <c r="G2754" s="131"/>
      <c r="H2754" s="131"/>
      <c r="I2754" s="131"/>
      <c r="J2754" s="132"/>
      <c r="K2754" s="131"/>
    </row>
    <row r="2755" spans="7:11" x14ac:dyDescent="0.2">
      <c r="G2755" s="131"/>
      <c r="H2755" s="131"/>
      <c r="I2755" s="131"/>
      <c r="J2755" s="132"/>
      <c r="K2755" s="131"/>
    </row>
    <row r="2756" spans="7:11" x14ac:dyDescent="0.2">
      <c r="G2756" s="131"/>
      <c r="H2756" s="131"/>
      <c r="I2756" s="131"/>
      <c r="J2756" s="132"/>
      <c r="K2756" s="131"/>
    </row>
    <row r="2757" spans="7:11" x14ac:dyDescent="0.2">
      <c r="G2757" s="131"/>
      <c r="H2757" s="131"/>
      <c r="I2757" s="131"/>
      <c r="J2757" s="132"/>
      <c r="K2757" s="131"/>
    </row>
    <row r="2758" spans="7:11" x14ac:dyDescent="0.2">
      <c r="G2758" s="131"/>
      <c r="H2758" s="131"/>
      <c r="I2758" s="131"/>
      <c r="J2758" s="132"/>
      <c r="K2758" s="131"/>
    </row>
    <row r="2759" spans="7:11" x14ac:dyDescent="0.2">
      <c r="G2759" s="131"/>
      <c r="H2759" s="131"/>
      <c r="I2759" s="131"/>
      <c r="J2759" s="132"/>
      <c r="K2759" s="131"/>
    </row>
    <row r="2760" spans="7:11" x14ac:dyDescent="0.2">
      <c r="G2760" s="131"/>
      <c r="H2760" s="131"/>
      <c r="I2760" s="131"/>
      <c r="J2760" s="132"/>
      <c r="K2760" s="131"/>
    </row>
    <row r="2761" spans="7:11" x14ac:dyDescent="0.2">
      <c r="G2761" s="131"/>
      <c r="H2761" s="131"/>
      <c r="I2761" s="131"/>
      <c r="J2761" s="132"/>
      <c r="K2761" s="131"/>
    </row>
    <row r="2762" spans="7:11" x14ac:dyDescent="0.2">
      <c r="G2762" s="131"/>
      <c r="H2762" s="131"/>
      <c r="I2762" s="131"/>
      <c r="J2762" s="132"/>
      <c r="K2762" s="131"/>
    </row>
    <row r="2763" spans="7:11" x14ac:dyDescent="0.2">
      <c r="G2763" s="131"/>
      <c r="H2763" s="131"/>
      <c r="I2763" s="131"/>
      <c r="J2763" s="132"/>
      <c r="K2763" s="131"/>
    </row>
    <row r="2764" spans="7:11" x14ac:dyDescent="0.2">
      <c r="G2764" s="131"/>
      <c r="H2764" s="131"/>
      <c r="I2764" s="131"/>
      <c r="J2764" s="132"/>
      <c r="K2764" s="131"/>
    </row>
    <row r="2765" spans="7:11" x14ac:dyDescent="0.2">
      <c r="G2765" s="131"/>
      <c r="H2765" s="131"/>
      <c r="I2765" s="131"/>
      <c r="J2765" s="132"/>
      <c r="K2765" s="131"/>
    </row>
    <row r="2766" spans="7:11" x14ac:dyDescent="0.2">
      <c r="G2766" s="131"/>
      <c r="H2766" s="131"/>
      <c r="I2766" s="131"/>
      <c r="J2766" s="132"/>
      <c r="K2766" s="131"/>
    </row>
    <row r="2767" spans="7:11" x14ac:dyDescent="0.2">
      <c r="G2767" s="131"/>
      <c r="H2767" s="131"/>
      <c r="I2767" s="131"/>
      <c r="J2767" s="132"/>
      <c r="K2767" s="131"/>
    </row>
    <row r="2768" spans="7:11" x14ac:dyDescent="0.2">
      <c r="G2768" s="131"/>
      <c r="H2768" s="131"/>
      <c r="I2768" s="131"/>
      <c r="J2768" s="132"/>
      <c r="K2768" s="131"/>
    </row>
    <row r="2769" spans="7:11" x14ac:dyDescent="0.2">
      <c r="G2769" s="131"/>
      <c r="H2769" s="131"/>
      <c r="I2769" s="131"/>
      <c r="J2769" s="132"/>
      <c r="K2769" s="131"/>
    </row>
    <row r="2770" spans="7:11" x14ac:dyDescent="0.2">
      <c r="G2770" s="131"/>
      <c r="H2770" s="131"/>
      <c r="I2770" s="131"/>
      <c r="J2770" s="132"/>
      <c r="K2770" s="131"/>
    </row>
    <row r="2771" spans="7:11" x14ac:dyDescent="0.2">
      <c r="G2771" s="131"/>
      <c r="H2771" s="131"/>
      <c r="I2771" s="131"/>
      <c r="J2771" s="132"/>
      <c r="K2771" s="131"/>
    </row>
    <row r="2772" spans="7:11" x14ac:dyDescent="0.2">
      <c r="G2772" s="131"/>
      <c r="H2772" s="131"/>
      <c r="I2772" s="131"/>
      <c r="J2772" s="132"/>
      <c r="K2772" s="131"/>
    </row>
    <row r="2773" spans="7:11" x14ac:dyDescent="0.2">
      <c r="G2773" s="131"/>
      <c r="H2773" s="131"/>
      <c r="I2773" s="131"/>
      <c r="J2773" s="132"/>
      <c r="K2773" s="131"/>
    </row>
    <row r="2774" spans="7:11" x14ac:dyDescent="0.2">
      <c r="G2774" s="131"/>
      <c r="H2774" s="131"/>
      <c r="I2774" s="131"/>
      <c r="J2774" s="132"/>
      <c r="K2774" s="131"/>
    </row>
    <row r="2775" spans="7:11" x14ac:dyDescent="0.2">
      <c r="G2775" s="131"/>
      <c r="H2775" s="131"/>
      <c r="I2775" s="131"/>
      <c r="J2775" s="132"/>
      <c r="K2775" s="131"/>
    </row>
    <row r="2776" spans="7:11" x14ac:dyDescent="0.2">
      <c r="G2776" s="131"/>
      <c r="H2776" s="131"/>
      <c r="I2776" s="131"/>
      <c r="J2776" s="132"/>
      <c r="K2776" s="131"/>
    </row>
    <row r="2777" spans="7:11" x14ac:dyDescent="0.2">
      <c r="G2777" s="131"/>
      <c r="H2777" s="131"/>
      <c r="I2777" s="131"/>
      <c r="J2777" s="132"/>
      <c r="K2777" s="131"/>
    </row>
    <row r="2778" spans="7:11" x14ac:dyDescent="0.2">
      <c r="G2778" s="131"/>
      <c r="H2778" s="131"/>
      <c r="I2778" s="131"/>
      <c r="J2778" s="132"/>
      <c r="K2778" s="131"/>
    </row>
    <row r="2779" spans="7:11" x14ac:dyDescent="0.2">
      <c r="G2779" s="131"/>
      <c r="H2779" s="131"/>
      <c r="I2779" s="131"/>
      <c r="J2779" s="132"/>
      <c r="K2779" s="131"/>
    </row>
    <row r="2780" spans="7:11" x14ac:dyDescent="0.2">
      <c r="G2780" s="131"/>
      <c r="H2780" s="131"/>
      <c r="I2780" s="131"/>
      <c r="J2780" s="132"/>
      <c r="K2780" s="131"/>
    </row>
    <row r="2781" spans="7:11" x14ac:dyDescent="0.2">
      <c r="G2781" s="131"/>
      <c r="H2781" s="131"/>
      <c r="I2781" s="131"/>
      <c r="J2781" s="132"/>
      <c r="K2781" s="131"/>
    </row>
    <row r="2782" spans="7:11" x14ac:dyDescent="0.2">
      <c r="G2782" s="131"/>
      <c r="H2782" s="131"/>
      <c r="I2782" s="131"/>
      <c r="J2782" s="132"/>
      <c r="K2782" s="131"/>
    </row>
    <row r="2783" spans="7:11" x14ac:dyDescent="0.2">
      <c r="G2783" s="131"/>
      <c r="H2783" s="131"/>
      <c r="I2783" s="131"/>
      <c r="J2783" s="132"/>
      <c r="K2783" s="131"/>
    </row>
    <row r="2784" spans="7:11" x14ac:dyDescent="0.2">
      <c r="G2784" s="131"/>
      <c r="H2784" s="131"/>
      <c r="I2784" s="131"/>
      <c r="J2784" s="132"/>
      <c r="K2784" s="131"/>
    </row>
    <row r="2785" spans="7:11" x14ac:dyDescent="0.2">
      <c r="G2785" s="131"/>
      <c r="H2785" s="131"/>
      <c r="I2785" s="131"/>
      <c r="J2785" s="132"/>
      <c r="K2785" s="131"/>
    </row>
    <row r="2786" spans="7:11" x14ac:dyDescent="0.2">
      <c r="G2786" s="131"/>
      <c r="H2786" s="131"/>
      <c r="I2786" s="131"/>
      <c r="J2786" s="132"/>
      <c r="K2786" s="131"/>
    </row>
    <row r="2787" spans="7:11" x14ac:dyDescent="0.2">
      <c r="G2787" s="131"/>
      <c r="H2787" s="131"/>
      <c r="I2787" s="131"/>
      <c r="J2787" s="132"/>
      <c r="K2787" s="131"/>
    </row>
    <row r="2788" spans="7:11" x14ac:dyDescent="0.2">
      <c r="G2788" s="131"/>
      <c r="H2788" s="131"/>
      <c r="I2788" s="131"/>
      <c r="J2788" s="132"/>
      <c r="K2788" s="131"/>
    </row>
    <row r="2789" spans="7:11" x14ac:dyDescent="0.2">
      <c r="G2789" s="131"/>
      <c r="H2789" s="131"/>
      <c r="I2789" s="131"/>
      <c r="J2789" s="132"/>
      <c r="K2789" s="131"/>
    </row>
    <row r="2790" spans="7:11" x14ac:dyDescent="0.2">
      <c r="G2790" s="131"/>
      <c r="H2790" s="131"/>
      <c r="I2790" s="131"/>
      <c r="J2790" s="132"/>
      <c r="K2790" s="131"/>
    </row>
    <row r="2791" spans="7:11" x14ac:dyDescent="0.2">
      <c r="G2791" s="131"/>
      <c r="H2791" s="131"/>
      <c r="I2791" s="131"/>
      <c r="J2791" s="132"/>
      <c r="K2791" s="131"/>
    </row>
    <row r="2792" spans="7:11" x14ac:dyDescent="0.2">
      <c r="G2792" s="131"/>
      <c r="H2792" s="131"/>
      <c r="I2792" s="131"/>
      <c r="J2792" s="132"/>
      <c r="K2792" s="131"/>
    </row>
    <row r="2793" spans="7:11" x14ac:dyDescent="0.2">
      <c r="G2793" s="131"/>
      <c r="H2793" s="131"/>
      <c r="I2793" s="131"/>
      <c r="J2793" s="132"/>
      <c r="K2793" s="131"/>
    </row>
    <row r="2794" spans="7:11" x14ac:dyDescent="0.2">
      <c r="G2794" s="131"/>
      <c r="H2794" s="131"/>
      <c r="I2794" s="131"/>
      <c r="J2794" s="132"/>
      <c r="K2794" s="131"/>
    </row>
    <row r="2795" spans="7:11" x14ac:dyDescent="0.2">
      <c r="G2795" s="131"/>
      <c r="H2795" s="131"/>
      <c r="I2795" s="131"/>
      <c r="J2795" s="132"/>
      <c r="K2795" s="131"/>
    </row>
    <row r="2796" spans="7:11" x14ac:dyDescent="0.2">
      <c r="G2796" s="131"/>
      <c r="H2796" s="131"/>
      <c r="I2796" s="131"/>
      <c r="J2796" s="132"/>
      <c r="K2796" s="131"/>
    </row>
    <row r="2797" spans="7:11" x14ac:dyDescent="0.2">
      <c r="G2797" s="131"/>
      <c r="H2797" s="131"/>
      <c r="I2797" s="131"/>
      <c r="J2797" s="132"/>
      <c r="K2797" s="131"/>
    </row>
    <row r="2798" spans="7:11" x14ac:dyDescent="0.2">
      <c r="G2798" s="131"/>
      <c r="H2798" s="131"/>
      <c r="I2798" s="131"/>
      <c r="J2798" s="132"/>
      <c r="K2798" s="131"/>
    </row>
    <row r="2799" spans="7:11" x14ac:dyDescent="0.2">
      <c r="G2799" s="131"/>
      <c r="H2799" s="131"/>
      <c r="I2799" s="131"/>
      <c r="J2799" s="132"/>
      <c r="K2799" s="131"/>
    </row>
    <row r="2800" spans="7:11" x14ac:dyDescent="0.2">
      <c r="G2800" s="131"/>
      <c r="H2800" s="131"/>
      <c r="I2800" s="131"/>
      <c r="J2800" s="132"/>
      <c r="K2800" s="131"/>
    </row>
    <row r="2801" spans="7:11" x14ac:dyDescent="0.2">
      <c r="G2801" s="131"/>
      <c r="H2801" s="131"/>
      <c r="I2801" s="131"/>
      <c r="J2801" s="132"/>
      <c r="K2801" s="131"/>
    </row>
    <row r="2802" spans="7:11" x14ac:dyDescent="0.2">
      <c r="G2802" s="131"/>
      <c r="H2802" s="131"/>
      <c r="I2802" s="131"/>
      <c r="J2802" s="132"/>
      <c r="K2802" s="131"/>
    </row>
    <row r="2803" spans="7:11" x14ac:dyDescent="0.2">
      <c r="G2803" s="131"/>
      <c r="H2803" s="131"/>
      <c r="I2803" s="131"/>
      <c r="J2803" s="132"/>
      <c r="K2803" s="131"/>
    </row>
    <row r="2804" spans="7:11" x14ac:dyDescent="0.2">
      <c r="G2804" s="131"/>
      <c r="H2804" s="131"/>
      <c r="I2804" s="131"/>
      <c r="J2804" s="132"/>
      <c r="K2804" s="131"/>
    </row>
    <row r="2805" spans="7:11" x14ac:dyDescent="0.2">
      <c r="G2805" s="131"/>
      <c r="H2805" s="131"/>
      <c r="I2805" s="131"/>
      <c r="J2805" s="132"/>
      <c r="K2805" s="131"/>
    </row>
    <row r="2806" spans="7:11" x14ac:dyDescent="0.2">
      <c r="G2806" s="131"/>
      <c r="H2806" s="131"/>
      <c r="I2806" s="131"/>
      <c r="J2806" s="132"/>
      <c r="K2806" s="131"/>
    </row>
    <row r="2807" spans="7:11" x14ac:dyDescent="0.2">
      <c r="G2807" s="131"/>
      <c r="H2807" s="131"/>
      <c r="I2807" s="131"/>
      <c r="J2807" s="132"/>
      <c r="K2807" s="131"/>
    </row>
    <row r="2808" spans="7:11" x14ac:dyDescent="0.2">
      <c r="G2808" s="131"/>
      <c r="H2808" s="131"/>
      <c r="I2808" s="131"/>
      <c r="J2808" s="132"/>
      <c r="K2808" s="131"/>
    </row>
    <row r="2809" spans="7:11" x14ac:dyDescent="0.2">
      <c r="G2809" s="131"/>
      <c r="H2809" s="131"/>
      <c r="I2809" s="131"/>
      <c r="J2809" s="132"/>
      <c r="K2809" s="131"/>
    </row>
    <row r="2810" spans="7:11" x14ac:dyDescent="0.2">
      <c r="G2810" s="131"/>
      <c r="H2810" s="131"/>
      <c r="I2810" s="131"/>
      <c r="J2810" s="132"/>
      <c r="K2810" s="131"/>
    </row>
    <row r="2811" spans="7:11" x14ac:dyDescent="0.2">
      <c r="G2811" s="131"/>
      <c r="H2811" s="131"/>
      <c r="I2811" s="131"/>
      <c r="J2811" s="132"/>
      <c r="K2811" s="131"/>
    </row>
    <row r="2812" spans="7:11" x14ac:dyDescent="0.2">
      <c r="G2812" s="131"/>
      <c r="H2812" s="131"/>
      <c r="I2812" s="131"/>
      <c r="J2812" s="132"/>
      <c r="K2812" s="131"/>
    </row>
    <row r="2813" spans="7:11" x14ac:dyDescent="0.2">
      <c r="G2813" s="131"/>
      <c r="H2813" s="131"/>
      <c r="I2813" s="131"/>
      <c r="J2813" s="132"/>
      <c r="K2813" s="131"/>
    </row>
    <row r="2814" spans="7:11" x14ac:dyDescent="0.2">
      <c r="G2814" s="131"/>
      <c r="H2814" s="131"/>
      <c r="I2814" s="131"/>
      <c r="J2814" s="132"/>
      <c r="K2814" s="131"/>
    </row>
    <row r="2815" spans="7:11" x14ac:dyDescent="0.2">
      <c r="G2815" s="131"/>
      <c r="H2815" s="131"/>
      <c r="I2815" s="131"/>
      <c r="J2815" s="132"/>
      <c r="K2815" s="131"/>
    </row>
    <row r="2816" spans="7:11" x14ac:dyDescent="0.2">
      <c r="G2816" s="131"/>
      <c r="H2816" s="131"/>
      <c r="I2816" s="131"/>
      <c r="J2816" s="132"/>
      <c r="K2816" s="131"/>
    </row>
    <row r="2817" spans="7:11" x14ac:dyDescent="0.2">
      <c r="G2817" s="131"/>
      <c r="H2817" s="131"/>
      <c r="I2817" s="131"/>
      <c r="J2817" s="132"/>
      <c r="K2817" s="131"/>
    </row>
    <row r="2818" spans="7:11" x14ac:dyDescent="0.2">
      <c r="G2818" s="131"/>
      <c r="H2818" s="131"/>
      <c r="I2818" s="131"/>
      <c r="J2818" s="132"/>
      <c r="K2818" s="131"/>
    </row>
    <row r="2819" spans="7:11" x14ac:dyDescent="0.2">
      <c r="G2819" s="131"/>
      <c r="H2819" s="131"/>
      <c r="I2819" s="131"/>
      <c r="J2819" s="132"/>
      <c r="K2819" s="131"/>
    </row>
    <row r="2820" spans="7:11" x14ac:dyDescent="0.2">
      <c r="G2820" s="131"/>
      <c r="H2820" s="131"/>
      <c r="I2820" s="131"/>
      <c r="J2820" s="132"/>
      <c r="K2820" s="131"/>
    </row>
    <row r="2821" spans="7:11" x14ac:dyDescent="0.2">
      <c r="G2821" s="131"/>
      <c r="H2821" s="131"/>
      <c r="I2821" s="131"/>
      <c r="J2821" s="132"/>
      <c r="K2821" s="131"/>
    </row>
    <row r="2822" spans="7:11" x14ac:dyDescent="0.2">
      <c r="G2822" s="131"/>
      <c r="H2822" s="131"/>
      <c r="I2822" s="131"/>
      <c r="J2822" s="132"/>
      <c r="K2822" s="131"/>
    </row>
    <row r="2823" spans="7:11" x14ac:dyDescent="0.2">
      <c r="G2823" s="131"/>
      <c r="H2823" s="131"/>
      <c r="I2823" s="131"/>
      <c r="J2823" s="132"/>
      <c r="K2823" s="131"/>
    </row>
    <row r="2824" spans="7:11" x14ac:dyDescent="0.2">
      <c r="G2824" s="131"/>
      <c r="H2824" s="131"/>
      <c r="I2824" s="131"/>
      <c r="J2824" s="132"/>
      <c r="K2824" s="131"/>
    </row>
    <row r="2825" spans="7:11" x14ac:dyDescent="0.2">
      <c r="G2825" s="131"/>
      <c r="H2825" s="131"/>
      <c r="I2825" s="131"/>
      <c r="J2825" s="132"/>
      <c r="K2825" s="131"/>
    </row>
    <row r="2826" spans="7:11" x14ac:dyDescent="0.2">
      <c r="G2826" s="131"/>
      <c r="H2826" s="131"/>
      <c r="I2826" s="131"/>
      <c r="J2826" s="132"/>
      <c r="K2826" s="131"/>
    </row>
    <row r="2827" spans="7:11" x14ac:dyDescent="0.2">
      <c r="G2827" s="131"/>
      <c r="H2827" s="131"/>
      <c r="I2827" s="131"/>
      <c r="J2827" s="132"/>
      <c r="K2827" s="131"/>
    </row>
    <row r="2828" spans="7:11" x14ac:dyDescent="0.2">
      <c r="G2828" s="131"/>
      <c r="H2828" s="131"/>
      <c r="I2828" s="131"/>
      <c r="J2828" s="132"/>
      <c r="K2828" s="131"/>
    </row>
    <row r="2829" spans="7:11" x14ac:dyDescent="0.2">
      <c r="G2829" s="131"/>
      <c r="H2829" s="131"/>
      <c r="I2829" s="131"/>
      <c r="J2829" s="132"/>
      <c r="K2829" s="131"/>
    </row>
    <row r="2830" spans="7:11" x14ac:dyDescent="0.2">
      <c r="G2830" s="131"/>
      <c r="H2830" s="131"/>
      <c r="I2830" s="131"/>
      <c r="J2830" s="132"/>
      <c r="K2830" s="131"/>
    </row>
    <row r="2831" spans="7:11" x14ac:dyDescent="0.2">
      <c r="G2831" s="131"/>
      <c r="H2831" s="131"/>
      <c r="I2831" s="131"/>
      <c r="J2831" s="132"/>
      <c r="K2831" s="131"/>
    </row>
    <row r="2832" spans="7:11" x14ac:dyDescent="0.2">
      <c r="G2832" s="131"/>
      <c r="H2832" s="131"/>
      <c r="I2832" s="131"/>
      <c r="J2832" s="132"/>
      <c r="K2832" s="131"/>
    </row>
    <row r="2833" spans="7:11" x14ac:dyDescent="0.2">
      <c r="G2833" s="131"/>
      <c r="H2833" s="131"/>
      <c r="I2833" s="131"/>
      <c r="J2833" s="132"/>
      <c r="K2833" s="131"/>
    </row>
    <row r="2834" spans="7:11" x14ac:dyDescent="0.2">
      <c r="G2834" s="131"/>
      <c r="H2834" s="131"/>
      <c r="I2834" s="131"/>
      <c r="J2834" s="132"/>
      <c r="K2834" s="131"/>
    </row>
    <row r="2835" spans="7:11" x14ac:dyDescent="0.2">
      <c r="G2835" s="131"/>
      <c r="H2835" s="131"/>
      <c r="I2835" s="131"/>
      <c r="J2835" s="132"/>
      <c r="K2835" s="131"/>
    </row>
    <row r="2836" spans="7:11" x14ac:dyDescent="0.2">
      <c r="G2836" s="131"/>
      <c r="H2836" s="131"/>
      <c r="I2836" s="131"/>
      <c r="J2836" s="132"/>
      <c r="K2836" s="131"/>
    </row>
    <row r="2837" spans="7:11" x14ac:dyDescent="0.2">
      <c r="G2837" s="131"/>
      <c r="H2837" s="131"/>
      <c r="I2837" s="131"/>
      <c r="J2837" s="132"/>
      <c r="K2837" s="131"/>
    </row>
    <row r="2838" spans="7:11" x14ac:dyDescent="0.2">
      <c r="G2838" s="131"/>
      <c r="H2838" s="131"/>
      <c r="I2838" s="131"/>
      <c r="J2838" s="132"/>
      <c r="K2838" s="131"/>
    </row>
    <row r="2839" spans="7:11" x14ac:dyDescent="0.2">
      <c r="G2839" s="131"/>
      <c r="H2839" s="131"/>
      <c r="I2839" s="131"/>
      <c r="J2839" s="132"/>
      <c r="K2839" s="131"/>
    </row>
    <row r="2840" spans="7:11" x14ac:dyDescent="0.2">
      <c r="G2840" s="131"/>
      <c r="H2840" s="131"/>
      <c r="I2840" s="131"/>
      <c r="J2840" s="132"/>
      <c r="K2840" s="131"/>
    </row>
    <row r="2841" spans="7:11" x14ac:dyDescent="0.2">
      <c r="G2841" s="131"/>
      <c r="H2841" s="131"/>
      <c r="I2841" s="131"/>
      <c r="J2841" s="132"/>
      <c r="K2841" s="131"/>
    </row>
    <row r="2842" spans="7:11" x14ac:dyDescent="0.2">
      <c r="G2842" s="131"/>
      <c r="H2842" s="131"/>
      <c r="I2842" s="131"/>
      <c r="J2842" s="132"/>
      <c r="K2842" s="131"/>
    </row>
    <row r="2843" spans="7:11" x14ac:dyDescent="0.2">
      <c r="G2843" s="131"/>
      <c r="H2843" s="131"/>
      <c r="I2843" s="131"/>
      <c r="J2843" s="132"/>
      <c r="K2843" s="131"/>
    </row>
    <row r="2844" spans="7:11" x14ac:dyDescent="0.2">
      <c r="G2844" s="131"/>
      <c r="H2844" s="131"/>
      <c r="I2844" s="131"/>
      <c r="J2844" s="132"/>
      <c r="K2844" s="131"/>
    </row>
    <row r="2845" spans="7:11" x14ac:dyDescent="0.2">
      <c r="G2845" s="131"/>
      <c r="H2845" s="131"/>
      <c r="I2845" s="131"/>
      <c r="J2845" s="132"/>
      <c r="K2845" s="131"/>
    </row>
    <row r="2846" spans="7:11" x14ac:dyDescent="0.2">
      <c r="G2846" s="131"/>
      <c r="H2846" s="131"/>
      <c r="I2846" s="131"/>
      <c r="J2846" s="132"/>
      <c r="K2846" s="131"/>
    </row>
    <row r="2847" spans="7:11" x14ac:dyDescent="0.2">
      <c r="G2847" s="131"/>
      <c r="H2847" s="131"/>
      <c r="I2847" s="131"/>
      <c r="J2847" s="132"/>
      <c r="K2847" s="131"/>
    </row>
    <row r="2848" spans="7:11" x14ac:dyDescent="0.2">
      <c r="G2848" s="131"/>
      <c r="H2848" s="131"/>
      <c r="I2848" s="131"/>
      <c r="J2848" s="132"/>
      <c r="K2848" s="131"/>
    </row>
    <row r="2849" spans="7:11" x14ac:dyDescent="0.2">
      <c r="G2849" s="131"/>
      <c r="H2849" s="131"/>
      <c r="I2849" s="131"/>
      <c r="J2849" s="132"/>
      <c r="K2849" s="131"/>
    </row>
    <row r="2850" spans="7:11" x14ac:dyDescent="0.2">
      <c r="G2850" s="131"/>
      <c r="H2850" s="131"/>
      <c r="I2850" s="131"/>
      <c r="J2850" s="132"/>
      <c r="K2850" s="131"/>
    </row>
    <row r="2851" spans="7:11" x14ac:dyDescent="0.2">
      <c r="G2851" s="131"/>
      <c r="H2851" s="131"/>
      <c r="I2851" s="131"/>
      <c r="J2851" s="132"/>
      <c r="K2851" s="131"/>
    </row>
    <row r="2852" spans="7:11" x14ac:dyDescent="0.2">
      <c r="G2852" s="131"/>
      <c r="H2852" s="131"/>
      <c r="I2852" s="131"/>
      <c r="J2852" s="132"/>
      <c r="K2852" s="131"/>
    </row>
    <row r="2853" spans="7:11" x14ac:dyDescent="0.2">
      <c r="G2853" s="131"/>
      <c r="H2853" s="131"/>
      <c r="I2853" s="131"/>
      <c r="J2853" s="132"/>
      <c r="K2853" s="131"/>
    </row>
    <row r="2854" spans="7:11" x14ac:dyDescent="0.2">
      <c r="G2854" s="131"/>
      <c r="H2854" s="131"/>
      <c r="I2854" s="131"/>
      <c r="J2854" s="132"/>
      <c r="K2854" s="131"/>
    </row>
    <row r="2855" spans="7:11" x14ac:dyDescent="0.2">
      <c r="G2855" s="131"/>
      <c r="H2855" s="131"/>
      <c r="I2855" s="131"/>
      <c r="J2855" s="132"/>
      <c r="K2855" s="131"/>
    </row>
    <row r="2856" spans="7:11" x14ac:dyDescent="0.2">
      <c r="G2856" s="131"/>
      <c r="H2856" s="131"/>
      <c r="I2856" s="131"/>
      <c r="J2856" s="132"/>
      <c r="K2856" s="131"/>
    </row>
    <row r="2857" spans="7:11" x14ac:dyDescent="0.2">
      <c r="G2857" s="131"/>
      <c r="H2857" s="131"/>
      <c r="I2857" s="131"/>
      <c r="J2857" s="132"/>
      <c r="K2857" s="131"/>
    </row>
    <row r="2858" spans="7:11" x14ac:dyDescent="0.2">
      <c r="G2858" s="131"/>
      <c r="H2858" s="131"/>
      <c r="I2858" s="131"/>
      <c r="J2858" s="132"/>
      <c r="K2858" s="131"/>
    </row>
    <row r="2859" spans="7:11" x14ac:dyDescent="0.2">
      <c r="G2859" s="131"/>
      <c r="H2859" s="131"/>
      <c r="I2859" s="131"/>
      <c r="J2859" s="132"/>
      <c r="K2859" s="131"/>
    </row>
    <row r="2860" spans="7:11" x14ac:dyDescent="0.2">
      <c r="G2860" s="131"/>
      <c r="H2860" s="131"/>
      <c r="I2860" s="131"/>
      <c r="J2860" s="132"/>
      <c r="K2860" s="131"/>
    </row>
    <row r="2861" spans="7:11" x14ac:dyDescent="0.2">
      <c r="G2861" s="131"/>
      <c r="H2861" s="131"/>
      <c r="I2861" s="131"/>
      <c r="J2861" s="132"/>
      <c r="K2861" s="131"/>
    </row>
    <row r="2862" spans="7:11" x14ac:dyDescent="0.2">
      <c r="G2862" s="131"/>
      <c r="H2862" s="131"/>
      <c r="I2862" s="131"/>
      <c r="J2862" s="132"/>
      <c r="K2862" s="131"/>
    </row>
    <row r="2863" spans="7:11" x14ac:dyDescent="0.2">
      <c r="G2863" s="131"/>
      <c r="H2863" s="131"/>
      <c r="I2863" s="131"/>
      <c r="J2863" s="132"/>
      <c r="K2863" s="131"/>
    </row>
    <row r="2864" spans="7:11" x14ac:dyDescent="0.2">
      <c r="G2864" s="131"/>
      <c r="H2864" s="131"/>
      <c r="I2864" s="131"/>
      <c r="J2864" s="132"/>
      <c r="K2864" s="131"/>
    </row>
    <row r="2865" spans="7:11" x14ac:dyDescent="0.2">
      <c r="G2865" s="131"/>
      <c r="H2865" s="131"/>
      <c r="I2865" s="131"/>
      <c r="J2865" s="132"/>
      <c r="K2865" s="131"/>
    </row>
    <row r="2866" spans="7:11" x14ac:dyDescent="0.2">
      <c r="G2866" s="131"/>
      <c r="H2866" s="131"/>
      <c r="I2866" s="131"/>
      <c r="J2866" s="132"/>
      <c r="K2866" s="131"/>
    </row>
    <row r="2867" spans="7:11" x14ac:dyDescent="0.2">
      <c r="G2867" s="131"/>
      <c r="H2867" s="131"/>
      <c r="I2867" s="131"/>
      <c r="J2867" s="132"/>
      <c r="K2867" s="131"/>
    </row>
    <row r="2868" spans="7:11" x14ac:dyDescent="0.2">
      <c r="G2868" s="131"/>
      <c r="H2868" s="131"/>
      <c r="I2868" s="131"/>
      <c r="J2868" s="132"/>
      <c r="K2868" s="131"/>
    </row>
    <row r="2869" spans="7:11" x14ac:dyDescent="0.2">
      <c r="G2869" s="131"/>
      <c r="H2869" s="131"/>
      <c r="I2869" s="131"/>
      <c r="J2869" s="132"/>
      <c r="K2869" s="131"/>
    </row>
    <row r="2870" spans="7:11" x14ac:dyDescent="0.2">
      <c r="G2870" s="131"/>
      <c r="H2870" s="131"/>
      <c r="I2870" s="131"/>
      <c r="J2870" s="132"/>
      <c r="K2870" s="131"/>
    </row>
    <row r="2871" spans="7:11" x14ac:dyDescent="0.2">
      <c r="G2871" s="131"/>
      <c r="H2871" s="131"/>
      <c r="I2871" s="131"/>
      <c r="J2871" s="132"/>
      <c r="K2871" s="131"/>
    </row>
    <row r="2872" spans="7:11" x14ac:dyDescent="0.2">
      <c r="G2872" s="131"/>
      <c r="H2872" s="131"/>
      <c r="I2872" s="131"/>
      <c r="J2872" s="132"/>
      <c r="K2872" s="131"/>
    </row>
    <row r="2873" spans="7:11" x14ac:dyDescent="0.2">
      <c r="G2873" s="131"/>
      <c r="H2873" s="131"/>
      <c r="I2873" s="131"/>
      <c r="J2873" s="132"/>
      <c r="K2873" s="131"/>
    </row>
    <row r="2874" spans="7:11" x14ac:dyDescent="0.2">
      <c r="G2874" s="131"/>
      <c r="H2874" s="131"/>
      <c r="I2874" s="131"/>
      <c r="J2874" s="132"/>
      <c r="K2874" s="131"/>
    </row>
    <row r="2875" spans="7:11" x14ac:dyDescent="0.2">
      <c r="G2875" s="131"/>
      <c r="H2875" s="131"/>
      <c r="I2875" s="131"/>
      <c r="J2875" s="132"/>
      <c r="K2875" s="131"/>
    </row>
    <row r="2876" spans="7:11" x14ac:dyDescent="0.2">
      <c r="G2876" s="131"/>
      <c r="H2876" s="131"/>
      <c r="I2876" s="131"/>
      <c r="J2876" s="132"/>
      <c r="K2876" s="131"/>
    </row>
    <row r="2877" spans="7:11" x14ac:dyDescent="0.2">
      <c r="G2877" s="131"/>
      <c r="H2877" s="131"/>
      <c r="I2877" s="131"/>
      <c r="J2877" s="132"/>
      <c r="K2877" s="131"/>
    </row>
    <row r="2878" spans="7:11" x14ac:dyDescent="0.2">
      <c r="G2878" s="131"/>
      <c r="H2878" s="131"/>
      <c r="I2878" s="131"/>
      <c r="J2878" s="132"/>
      <c r="K2878" s="131"/>
    </row>
    <row r="2879" spans="7:11" x14ac:dyDescent="0.2">
      <c r="G2879" s="131"/>
      <c r="H2879" s="131"/>
      <c r="I2879" s="131"/>
      <c r="J2879" s="132"/>
      <c r="K2879" s="131"/>
    </row>
    <row r="2880" spans="7:11" x14ac:dyDescent="0.2">
      <c r="G2880" s="131"/>
      <c r="H2880" s="131"/>
      <c r="I2880" s="131"/>
      <c r="J2880" s="132"/>
      <c r="K2880" s="131"/>
    </row>
    <row r="2881" spans="7:11" x14ac:dyDescent="0.2">
      <c r="G2881" s="131"/>
      <c r="H2881" s="131"/>
      <c r="I2881" s="131"/>
      <c r="J2881" s="132"/>
      <c r="K2881" s="131"/>
    </row>
    <row r="2882" spans="7:11" x14ac:dyDescent="0.2">
      <c r="G2882" s="131"/>
      <c r="H2882" s="131"/>
      <c r="I2882" s="131"/>
      <c r="J2882" s="132"/>
      <c r="K2882" s="131"/>
    </row>
    <row r="2883" spans="7:11" x14ac:dyDescent="0.2">
      <c r="G2883" s="131"/>
      <c r="H2883" s="131"/>
      <c r="I2883" s="131"/>
      <c r="J2883" s="132"/>
      <c r="K2883" s="131"/>
    </row>
    <row r="2884" spans="7:11" x14ac:dyDescent="0.2">
      <c r="G2884" s="131"/>
      <c r="H2884" s="131"/>
      <c r="I2884" s="131"/>
      <c r="J2884" s="132"/>
      <c r="K2884" s="131"/>
    </row>
    <row r="2885" spans="7:11" x14ac:dyDescent="0.2">
      <c r="G2885" s="131"/>
      <c r="H2885" s="131"/>
      <c r="I2885" s="131"/>
      <c r="J2885" s="132"/>
      <c r="K2885" s="131"/>
    </row>
    <row r="2886" spans="7:11" x14ac:dyDescent="0.2">
      <c r="G2886" s="131"/>
      <c r="H2886" s="131"/>
      <c r="I2886" s="131"/>
      <c r="J2886" s="132"/>
      <c r="K2886" s="131"/>
    </row>
    <row r="2887" spans="7:11" x14ac:dyDescent="0.2">
      <c r="G2887" s="131"/>
      <c r="H2887" s="131"/>
      <c r="I2887" s="131"/>
      <c r="J2887" s="132"/>
      <c r="K2887" s="131"/>
    </row>
    <row r="2888" spans="7:11" x14ac:dyDescent="0.2">
      <c r="G2888" s="131"/>
      <c r="H2888" s="131"/>
      <c r="I2888" s="131"/>
      <c r="J2888" s="132"/>
      <c r="K2888" s="131"/>
    </row>
    <row r="2889" spans="7:11" x14ac:dyDescent="0.2">
      <c r="G2889" s="131"/>
      <c r="H2889" s="131"/>
      <c r="I2889" s="131"/>
      <c r="J2889" s="132"/>
      <c r="K2889" s="131"/>
    </row>
    <row r="2890" spans="7:11" x14ac:dyDescent="0.2">
      <c r="G2890" s="131"/>
      <c r="H2890" s="131"/>
      <c r="I2890" s="131"/>
      <c r="J2890" s="132"/>
      <c r="K2890" s="131"/>
    </row>
    <row r="2891" spans="7:11" x14ac:dyDescent="0.2">
      <c r="G2891" s="131"/>
      <c r="H2891" s="131"/>
      <c r="I2891" s="131"/>
      <c r="J2891" s="132"/>
      <c r="K2891" s="131"/>
    </row>
    <row r="2892" spans="7:11" x14ac:dyDescent="0.2">
      <c r="G2892" s="131"/>
      <c r="H2892" s="131"/>
      <c r="I2892" s="131"/>
      <c r="J2892" s="132"/>
      <c r="K2892" s="131"/>
    </row>
    <row r="2893" spans="7:11" x14ac:dyDescent="0.2">
      <c r="G2893" s="131"/>
      <c r="H2893" s="131"/>
      <c r="I2893" s="131"/>
      <c r="J2893" s="132"/>
      <c r="K2893" s="131"/>
    </row>
    <row r="2894" spans="7:11" x14ac:dyDescent="0.2">
      <c r="G2894" s="131"/>
      <c r="H2894" s="131"/>
      <c r="I2894" s="131"/>
      <c r="J2894" s="132"/>
      <c r="K2894" s="131"/>
    </row>
    <row r="2895" spans="7:11" x14ac:dyDescent="0.2">
      <c r="G2895" s="131"/>
      <c r="H2895" s="131"/>
      <c r="I2895" s="131"/>
      <c r="J2895" s="132"/>
      <c r="K2895" s="131"/>
    </row>
    <row r="2896" spans="7:11" x14ac:dyDescent="0.2">
      <c r="G2896" s="131"/>
      <c r="H2896" s="131"/>
      <c r="I2896" s="131"/>
      <c r="J2896" s="132"/>
      <c r="K2896" s="131"/>
    </row>
    <row r="2897" spans="7:11" x14ac:dyDescent="0.2">
      <c r="G2897" s="131"/>
      <c r="H2897" s="131"/>
      <c r="I2897" s="131"/>
      <c r="J2897" s="132"/>
      <c r="K2897" s="131"/>
    </row>
    <row r="2898" spans="7:11" x14ac:dyDescent="0.2">
      <c r="G2898" s="131"/>
      <c r="H2898" s="131"/>
      <c r="I2898" s="131"/>
      <c r="J2898" s="132"/>
      <c r="K2898" s="131"/>
    </row>
    <row r="2899" spans="7:11" x14ac:dyDescent="0.2">
      <c r="G2899" s="131"/>
      <c r="H2899" s="131"/>
      <c r="I2899" s="131"/>
      <c r="J2899" s="132"/>
      <c r="K2899" s="131"/>
    </row>
    <row r="2900" spans="7:11" x14ac:dyDescent="0.2">
      <c r="G2900" s="131"/>
      <c r="H2900" s="131"/>
      <c r="I2900" s="131"/>
      <c r="J2900" s="132"/>
      <c r="K2900" s="131"/>
    </row>
    <row r="2901" spans="7:11" x14ac:dyDescent="0.2">
      <c r="G2901" s="131"/>
      <c r="H2901" s="131"/>
      <c r="I2901" s="131"/>
      <c r="J2901" s="132"/>
      <c r="K2901" s="131"/>
    </row>
    <row r="2902" spans="7:11" x14ac:dyDescent="0.2">
      <c r="G2902" s="131"/>
      <c r="H2902" s="131"/>
      <c r="I2902" s="131"/>
      <c r="J2902" s="132"/>
      <c r="K2902" s="131"/>
    </row>
    <row r="2903" spans="7:11" x14ac:dyDescent="0.2">
      <c r="G2903" s="131"/>
      <c r="H2903" s="131"/>
      <c r="I2903" s="131"/>
      <c r="J2903" s="132"/>
      <c r="K2903" s="131"/>
    </row>
    <row r="2904" spans="7:11" x14ac:dyDescent="0.2">
      <c r="G2904" s="131"/>
      <c r="H2904" s="131"/>
      <c r="I2904" s="131"/>
      <c r="J2904" s="132"/>
      <c r="K2904" s="131"/>
    </row>
    <row r="2905" spans="7:11" x14ac:dyDescent="0.2">
      <c r="G2905" s="131"/>
      <c r="H2905" s="131"/>
      <c r="I2905" s="131"/>
      <c r="J2905" s="132"/>
      <c r="K2905" s="131"/>
    </row>
    <row r="2906" spans="7:11" x14ac:dyDescent="0.2">
      <c r="G2906" s="131"/>
      <c r="H2906" s="131"/>
      <c r="I2906" s="131"/>
      <c r="J2906" s="132"/>
      <c r="K2906" s="131"/>
    </row>
    <row r="2907" spans="7:11" x14ac:dyDescent="0.2">
      <c r="G2907" s="131"/>
      <c r="H2907" s="131"/>
      <c r="I2907" s="131"/>
      <c r="J2907" s="132"/>
      <c r="K2907" s="131"/>
    </row>
    <row r="2908" spans="7:11" x14ac:dyDescent="0.2">
      <c r="G2908" s="131"/>
      <c r="H2908" s="131"/>
      <c r="I2908" s="131"/>
      <c r="J2908" s="132"/>
      <c r="K2908" s="131"/>
    </row>
    <row r="2909" spans="7:11" x14ac:dyDescent="0.2">
      <c r="G2909" s="131"/>
      <c r="H2909" s="131"/>
      <c r="I2909" s="131"/>
      <c r="J2909" s="132"/>
      <c r="K2909" s="131"/>
    </row>
    <row r="2910" spans="7:11" x14ac:dyDescent="0.2">
      <c r="G2910" s="131"/>
      <c r="H2910" s="131"/>
      <c r="I2910" s="131"/>
      <c r="J2910" s="132"/>
      <c r="K2910" s="131"/>
    </row>
    <row r="2911" spans="7:11" x14ac:dyDescent="0.2">
      <c r="G2911" s="131"/>
      <c r="H2911" s="131"/>
      <c r="I2911" s="131"/>
      <c r="J2911" s="132"/>
      <c r="K2911" s="131"/>
    </row>
    <row r="2912" spans="7:11" x14ac:dyDescent="0.2">
      <c r="G2912" s="131"/>
      <c r="H2912" s="131"/>
      <c r="I2912" s="131"/>
      <c r="J2912" s="132"/>
      <c r="K2912" s="131"/>
    </row>
    <row r="2913" spans="7:11" x14ac:dyDescent="0.2">
      <c r="G2913" s="131"/>
      <c r="H2913" s="131"/>
      <c r="I2913" s="131"/>
      <c r="J2913" s="132"/>
      <c r="K2913" s="131"/>
    </row>
    <row r="2914" spans="7:11" x14ac:dyDescent="0.2">
      <c r="G2914" s="131"/>
      <c r="H2914" s="131"/>
      <c r="I2914" s="131"/>
      <c r="J2914" s="132"/>
      <c r="K2914" s="131"/>
    </row>
    <row r="2915" spans="7:11" x14ac:dyDescent="0.2">
      <c r="G2915" s="131"/>
      <c r="H2915" s="131"/>
      <c r="I2915" s="131"/>
      <c r="J2915" s="132"/>
      <c r="K2915" s="131"/>
    </row>
    <row r="2916" spans="7:11" x14ac:dyDescent="0.2">
      <c r="G2916" s="131"/>
      <c r="H2916" s="131"/>
      <c r="I2916" s="131"/>
      <c r="J2916" s="132"/>
      <c r="K2916" s="131"/>
    </row>
    <row r="2917" spans="7:11" x14ac:dyDescent="0.2">
      <c r="G2917" s="131"/>
      <c r="H2917" s="131"/>
      <c r="I2917" s="131"/>
      <c r="J2917" s="132"/>
      <c r="K2917" s="131"/>
    </row>
    <row r="2918" spans="7:11" x14ac:dyDescent="0.2">
      <c r="G2918" s="131"/>
      <c r="H2918" s="131"/>
      <c r="I2918" s="131"/>
      <c r="J2918" s="132"/>
      <c r="K2918" s="131"/>
    </row>
    <row r="2919" spans="7:11" x14ac:dyDescent="0.2">
      <c r="G2919" s="131"/>
      <c r="H2919" s="131"/>
      <c r="I2919" s="131"/>
      <c r="J2919" s="132"/>
      <c r="K2919" s="131"/>
    </row>
    <row r="2920" spans="7:11" x14ac:dyDescent="0.2">
      <c r="G2920" s="131"/>
      <c r="H2920" s="131"/>
      <c r="I2920" s="131"/>
      <c r="J2920" s="132"/>
      <c r="K2920" s="131"/>
    </row>
    <row r="2921" spans="7:11" x14ac:dyDescent="0.2">
      <c r="G2921" s="131"/>
      <c r="H2921" s="131"/>
      <c r="I2921" s="131"/>
      <c r="J2921" s="132"/>
      <c r="K2921" s="131"/>
    </row>
    <row r="2922" spans="7:11" x14ac:dyDescent="0.2">
      <c r="G2922" s="131"/>
      <c r="H2922" s="131"/>
      <c r="I2922" s="131"/>
      <c r="J2922" s="132"/>
      <c r="K2922" s="131"/>
    </row>
    <row r="2923" spans="7:11" x14ac:dyDescent="0.2">
      <c r="G2923" s="131"/>
      <c r="H2923" s="131"/>
      <c r="I2923" s="131"/>
      <c r="J2923" s="132"/>
      <c r="K2923" s="131"/>
    </row>
    <row r="2924" spans="7:11" x14ac:dyDescent="0.2">
      <c r="G2924" s="131"/>
      <c r="H2924" s="131"/>
      <c r="I2924" s="131"/>
      <c r="J2924" s="132"/>
      <c r="K2924" s="131"/>
    </row>
    <row r="2925" spans="7:11" x14ac:dyDescent="0.2">
      <c r="G2925" s="131"/>
      <c r="H2925" s="131"/>
      <c r="I2925" s="131"/>
      <c r="J2925" s="132"/>
      <c r="K2925" s="131"/>
    </row>
    <row r="2926" spans="7:11" x14ac:dyDescent="0.2">
      <c r="G2926" s="131"/>
      <c r="H2926" s="131"/>
      <c r="I2926" s="131"/>
      <c r="J2926" s="132"/>
      <c r="K2926" s="131"/>
    </row>
    <row r="2927" spans="7:11" x14ac:dyDescent="0.2">
      <c r="G2927" s="131"/>
      <c r="H2927" s="131"/>
      <c r="I2927" s="131"/>
      <c r="J2927" s="132"/>
      <c r="K2927" s="131"/>
    </row>
    <row r="2928" spans="7:11" x14ac:dyDescent="0.2">
      <c r="G2928" s="131"/>
      <c r="H2928" s="131"/>
      <c r="I2928" s="131"/>
      <c r="J2928" s="132"/>
      <c r="K2928" s="131"/>
    </row>
    <row r="2929" spans="7:11" x14ac:dyDescent="0.2">
      <c r="G2929" s="131"/>
      <c r="H2929" s="131"/>
      <c r="I2929" s="131"/>
      <c r="J2929" s="132"/>
      <c r="K2929" s="131"/>
    </row>
    <row r="2930" spans="7:11" x14ac:dyDescent="0.2">
      <c r="G2930" s="131"/>
      <c r="H2930" s="131"/>
      <c r="I2930" s="131"/>
      <c r="J2930" s="132"/>
      <c r="K2930" s="131"/>
    </row>
    <row r="2931" spans="7:11" x14ac:dyDescent="0.2">
      <c r="G2931" s="131"/>
      <c r="H2931" s="131"/>
      <c r="I2931" s="131"/>
      <c r="J2931" s="132"/>
      <c r="K2931" s="131"/>
    </row>
    <row r="2932" spans="7:11" x14ac:dyDescent="0.2">
      <c r="G2932" s="131"/>
      <c r="H2932" s="131"/>
      <c r="I2932" s="131"/>
      <c r="J2932" s="132"/>
      <c r="K2932" s="131"/>
    </row>
    <row r="2933" spans="7:11" x14ac:dyDescent="0.2">
      <c r="G2933" s="131"/>
      <c r="H2933" s="131"/>
      <c r="I2933" s="131"/>
      <c r="J2933" s="132"/>
      <c r="K2933" s="131"/>
    </row>
    <row r="2934" spans="7:11" x14ac:dyDescent="0.2">
      <c r="G2934" s="131"/>
      <c r="H2934" s="131"/>
      <c r="I2934" s="131"/>
      <c r="J2934" s="132"/>
      <c r="K2934" s="131"/>
    </row>
    <row r="2935" spans="7:11" x14ac:dyDescent="0.2">
      <c r="G2935" s="131"/>
      <c r="H2935" s="131"/>
      <c r="I2935" s="131"/>
      <c r="J2935" s="132"/>
      <c r="K2935" s="131"/>
    </row>
    <row r="2936" spans="7:11" x14ac:dyDescent="0.2">
      <c r="G2936" s="131"/>
      <c r="H2936" s="131"/>
      <c r="I2936" s="131"/>
      <c r="J2936" s="132"/>
      <c r="K2936" s="131"/>
    </row>
    <row r="2937" spans="7:11" x14ac:dyDescent="0.2">
      <c r="G2937" s="131"/>
      <c r="H2937" s="131"/>
      <c r="I2937" s="131"/>
      <c r="J2937" s="132"/>
      <c r="K2937" s="131"/>
    </row>
    <row r="2938" spans="7:11" x14ac:dyDescent="0.2">
      <c r="G2938" s="131"/>
      <c r="H2938" s="131"/>
      <c r="I2938" s="131"/>
      <c r="J2938" s="132"/>
      <c r="K2938" s="131"/>
    </row>
    <row r="2939" spans="7:11" x14ac:dyDescent="0.2">
      <c r="G2939" s="131"/>
      <c r="H2939" s="131"/>
      <c r="I2939" s="131"/>
      <c r="J2939" s="132"/>
      <c r="K2939" s="131"/>
    </row>
    <row r="2940" spans="7:11" x14ac:dyDescent="0.2">
      <c r="G2940" s="131"/>
      <c r="H2940" s="131"/>
      <c r="I2940" s="131"/>
      <c r="J2940" s="132"/>
      <c r="K2940" s="131"/>
    </row>
    <row r="2941" spans="7:11" x14ac:dyDescent="0.2">
      <c r="G2941" s="131"/>
      <c r="H2941" s="131"/>
      <c r="I2941" s="131"/>
      <c r="J2941" s="132"/>
      <c r="K2941" s="131"/>
    </row>
    <row r="2942" spans="7:11" x14ac:dyDescent="0.2">
      <c r="G2942" s="131"/>
      <c r="H2942" s="131"/>
      <c r="I2942" s="131"/>
      <c r="J2942" s="132"/>
      <c r="K2942" s="131"/>
    </row>
    <row r="2943" spans="7:11" x14ac:dyDescent="0.2">
      <c r="G2943" s="131"/>
      <c r="H2943" s="131"/>
      <c r="I2943" s="131"/>
      <c r="J2943" s="132"/>
      <c r="K2943" s="131"/>
    </row>
    <row r="2944" spans="7:11" x14ac:dyDescent="0.2">
      <c r="G2944" s="131"/>
      <c r="H2944" s="131"/>
      <c r="I2944" s="131"/>
      <c r="J2944" s="132"/>
      <c r="K2944" s="131"/>
    </row>
    <row r="2945" spans="7:11" x14ac:dyDescent="0.2">
      <c r="G2945" s="131"/>
      <c r="H2945" s="131"/>
      <c r="I2945" s="131"/>
      <c r="J2945" s="132"/>
      <c r="K2945" s="131"/>
    </row>
    <row r="2946" spans="7:11" x14ac:dyDescent="0.2">
      <c r="G2946" s="131"/>
      <c r="H2946" s="131"/>
      <c r="I2946" s="131"/>
      <c r="J2946" s="132"/>
      <c r="K2946" s="131"/>
    </row>
    <row r="2947" spans="7:11" x14ac:dyDescent="0.2">
      <c r="G2947" s="131"/>
      <c r="H2947" s="131"/>
      <c r="I2947" s="131"/>
      <c r="J2947" s="132"/>
      <c r="K2947" s="131"/>
    </row>
    <row r="2948" spans="7:11" x14ac:dyDescent="0.2">
      <c r="G2948" s="131"/>
      <c r="H2948" s="131"/>
      <c r="I2948" s="131"/>
      <c r="J2948" s="132"/>
      <c r="K2948" s="131"/>
    </row>
    <row r="2949" spans="7:11" x14ac:dyDescent="0.2">
      <c r="G2949" s="131"/>
      <c r="H2949" s="131"/>
      <c r="I2949" s="131"/>
      <c r="J2949" s="132"/>
      <c r="K2949" s="131"/>
    </row>
    <row r="2950" spans="7:11" x14ac:dyDescent="0.2">
      <c r="G2950" s="131"/>
      <c r="H2950" s="131"/>
      <c r="I2950" s="131"/>
      <c r="J2950" s="132"/>
      <c r="K2950" s="131"/>
    </row>
    <row r="2951" spans="7:11" x14ac:dyDescent="0.2">
      <c r="G2951" s="131"/>
      <c r="H2951" s="131"/>
      <c r="I2951" s="131"/>
      <c r="J2951" s="132"/>
      <c r="K2951" s="131"/>
    </row>
    <row r="2952" spans="7:11" x14ac:dyDescent="0.2">
      <c r="G2952" s="131"/>
      <c r="H2952" s="131"/>
      <c r="I2952" s="131"/>
      <c r="J2952" s="132"/>
      <c r="K2952" s="131"/>
    </row>
    <row r="2953" spans="7:11" x14ac:dyDescent="0.2">
      <c r="G2953" s="131"/>
      <c r="H2953" s="131"/>
      <c r="I2953" s="131"/>
      <c r="J2953" s="132"/>
      <c r="K2953" s="131"/>
    </row>
    <row r="2954" spans="7:11" x14ac:dyDescent="0.2">
      <c r="G2954" s="131"/>
      <c r="H2954" s="131"/>
      <c r="I2954" s="131"/>
      <c r="J2954" s="132"/>
      <c r="K2954" s="131"/>
    </row>
    <row r="2955" spans="7:11" x14ac:dyDescent="0.2">
      <c r="G2955" s="131"/>
      <c r="H2955" s="131"/>
      <c r="I2955" s="131"/>
      <c r="J2955" s="132"/>
      <c r="K2955" s="131"/>
    </row>
    <row r="2956" spans="7:11" x14ac:dyDescent="0.2">
      <c r="G2956" s="131"/>
      <c r="H2956" s="131"/>
      <c r="I2956" s="131"/>
      <c r="J2956" s="132"/>
      <c r="K2956" s="131"/>
    </row>
    <row r="2957" spans="7:11" x14ac:dyDescent="0.2">
      <c r="G2957" s="131"/>
      <c r="H2957" s="131"/>
      <c r="I2957" s="131"/>
      <c r="J2957" s="132"/>
      <c r="K2957" s="131"/>
    </row>
    <row r="2958" spans="7:11" x14ac:dyDescent="0.2">
      <c r="G2958" s="131"/>
      <c r="H2958" s="131"/>
      <c r="I2958" s="131"/>
      <c r="J2958" s="132"/>
      <c r="K2958" s="131"/>
    </row>
    <row r="2959" spans="7:11" x14ac:dyDescent="0.2">
      <c r="G2959" s="131"/>
      <c r="H2959" s="131"/>
      <c r="I2959" s="131"/>
      <c r="J2959" s="132"/>
      <c r="K2959" s="131"/>
    </row>
    <row r="2960" spans="7:11" x14ac:dyDescent="0.2">
      <c r="G2960" s="131"/>
      <c r="H2960" s="131"/>
      <c r="I2960" s="131"/>
      <c r="J2960" s="132"/>
      <c r="K2960" s="131"/>
    </row>
    <row r="2961" spans="7:11" x14ac:dyDescent="0.2">
      <c r="G2961" s="131"/>
      <c r="H2961" s="131"/>
      <c r="I2961" s="131"/>
      <c r="J2961" s="132"/>
      <c r="K2961" s="131"/>
    </row>
    <row r="2962" spans="7:11" x14ac:dyDescent="0.2">
      <c r="G2962" s="131"/>
      <c r="H2962" s="131"/>
      <c r="I2962" s="131"/>
      <c r="J2962" s="132"/>
      <c r="K2962" s="131"/>
    </row>
    <row r="2963" spans="7:11" x14ac:dyDescent="0.2">
      <c r="G2963" s="131"/>
      <c r="H2963" s="131"/>
      <c r="I2963" s="131"/>
      <c r="J2963" s="132"/>
      <c r="K2963" s="131"/>
    </row>
    <row r="2964" spans="7:11" x14ac:dyDescent="0.2">
      <c r="G2964" s="131"/>
      <c r="H2964" s="131"/>
      <c r="I2964" s="131"/>
      <c r="J2964" s="132"/>
      <c r="K2964" s="131"/>
    </row>
    <row r="2965" spans="7:11" x14ac:dyDescent="0.2">
      <c r="G2965" s="131"/>
      <c r="H2965" s="131"/>
      <c r="I2965" s="131"/>
      <c r="J2965" s="132"/>
      <c r="K2965" s="131"/>
    </row>
    <row r="2966" spans="7:11" x14ac:dyDescent="0.2">
      <c r="G2966" s="131"/>
      <c r="H2966" s="131"/>
      <c r="I2966" s="131"/>
      <c r="J2966" s="132"/>
      <c r="K2966" s="131"/>
    </row>
    <row r="2967" spans="7:11" x14ac:dyDescent="0.2">
      <c r="G2967" s="131"/>
      <c r="H2967" s="131"/>
      <c r="I2967" s="131"/>
      <c r="J2967" s="132"/>
      <c r="K2967" s="131"/>
    </row>
    <row r="2968" spans="7:11" x14ac:dyDescent="0.2">
      <c r="G2968" s="131"/>
      <c r="H2968" s="131"/>
      <c r="I2968" s="131"/>
      <c r="J2968" s="132"/>
      <c r="K2968" s="131"/>
    </row>
    <row r="2969" spans="7:11" x14ac:dyDescent="0.2">
      <c r="G2969" s="131"/>
      <c r="H2969" s="131"/>
      <c r="I2969" s="131"/>
      <c r="J2969" s="132"/>
      <c r="K2969" s="131"/>
    </row>
    <row r="2970" spans="7:11" x14ac:dyDescent="0.2">
      <c r="G2970" s="131"/>
      <c r="H2970" s="131"/>
      <c r="I2970" s="131"/>
      <c r="J2970" s="132"/>
      <c r="K2970" s="131"/>
    </row>
    <row r="2971" spans="7:11" x14ac:dyDescent="0.2">
      <c r="G2971" s="131"/>
      <c r="H2971" s="131"/>
      <c r="I2971" s="131"/>
      <c r="J2971" s="132"/>
      <c r="K2971" s="131"/>
    </row>
    <row r="2972" spans="7:11" x14ac:dyDescent="0.2">
      <c r="G2972" s="131"/>
      <c r="H2972" s="131"/>
      <c r="I2972" s="131"/>
      <c r="J2972" s="132"/>
      <c r="K2972" s="131"/>
    </row>
    <row r="2973" spans="7:11" x14ac:dyDescent="0.2">
      <c r="G2973" s="131"/>
      <c r="H2973" s="131"/>
      <c r="I2973" s="131"/>
      <c r="J2973" s="132"/>
      <c r="K2973" s="131"/>
    </row>
    <row r="2974" spans="7:11" x14ac:dyDescent="0.2">
      <c r="G2974" s="131"/>
      <c r="H2974" s="131"/>
      <c r="I2974" s="131"/>
      <c r="J2974" s="132"/>
      <c r="K2974" s="131"/>
    </row>
    <row r="2975" spans="7:11" x14ac:dyDescent="0.2">
      <c r="G2975" s="131"/>
      <c r="H2975" s="131"/>
      <c r="I2975" s="131"/>
      <c r="J2975" s="132"/>
      <c r="K2975" s="131"/>
    </row>
    <row r="2976" spans="7:11" x14ac:dyDescent="0.2">
      <c r="G2976" s="131"/>
      <c r="H2976" s="131"/>
      <c r="I2976" s="131"/>
      <c r="J2976" s="132"/>
      <c r="K2976" s="131"/>
    </row>
    <row r="2977" spans="7:11" x14ac:dyDescent="0.2">
      <c r="G2977" s="131"/>
      <c r="H2977" s="131"/>
      <c r="I2977" s="131"/>
      <c r="J2977" s="132"/>
      <c r="K2977" s="131"/>
    </row>
    <row r="2978" spans="7:11" x14ac:dyDescent="0.2">
      <c r="G2978" s="131"/>
      <c r="H2978" s="131"/>
      <c r="I2978" s="131"/>
      <c r="J2978" s="132"/>
      <c r="K2978" s="131"/>
    </row>
    <row r="2979" spans="7:11" x14ac:dyDescent="0.2">
      <c r="G2979" s="131"/>
      <c r="H2979" s="131"/>
      <c r="I2979" s="131"/>
      <c r="J2979" s="132"/>
      <c r="K2979" s="131"/>
    </row>
    <row r="2980" spans="7:11" x14ac:dyDescent="0.2">
      <c r="G2980" s="131"/>
      <c r="H2980" s="131"/>
      <c r="I2980" s="131"/>
      <c r="J2980" s="132"/>
      <c r="K2980" s="131"/>
    </row>
    <row r="2981" spans="7:11" x14ac:dyDescent="0.2">
      <c r="G2981" s="131"/>
      <c r="H2981" s="131"/>
      <c r="I2981" s="131"/>
      <c r="J2981" s="132"/>
      <c r="K2981" s="131"/>
    </row>
    <row r="2982" spans="7:11" x14ac:dyDescent="0.2">
      <c r="G2982" s="131"/>
      <c r="H2982" s="131"/>
      <c r="I2982" s="131"/>
      <c r="J2982" s="132"/>
      <c r="K2982" s="131"/>
    </row>
    <row r="2983" spans="7:11" x14ac:dyDescent="0.2">
      <c r="G2983" s="131"/>
      <c r="H2983" s="131"/>
      <c r="I2983" s="131"/>
      <c r="J2983" s="132"/>
      <c r="K2983" s="131"/>
    </row>
    <row r="2984" spans="7:11" x14ac:dyDescent="0.2">
      <c r="G2984" s="131"/>
      <c r="H2984" s="131"/>
      <c r="I2984" s="131"/>
      <c r="J2984" s="132"/>
      <c r="K2984" s="131"/>
    </row>
    <row r="2985" spans="7:11" x14ac:dyDescent="0.2">
      <c r="G2985" s="131"/>
      <c r="H2985" s="131"/>
      <c r="I2985" s="131"/>
      <c r="J2985" s="132"/>
      <c r="K2985" s="131"/>
    </row>
    <row r="2986" spans="7:11" x14ac:dyDescent="0.2">
      <c r="G2986" s="131"/>
      <c r="H2986" s="131"/>
      <c r="I2986" s="131"/>
      <c r="J2986" s="132"/>
      <c r="K2986" s="131"/>
    </row>
    <row r="2987" spans="7:11" x14ac:dyDescent="0.2">
      <c r="G2987" s="131"/>
      <c r="H2987" s="131"/>
      <c r="I2987" s="131"/>
      <c r="J2987" s="132"/>
      <c r="K2987" s="131"/>
    </row>
    <row r="2988" spans="7:11" x14ac:dyDescent="0.2">
      <c r="G2988" s="131"/>
      <c r="H2988" s="131"/>
      <c r="I2988" s="131"/>
      <c r="J2988" s="132"/>
      <c r="K2988" s="131"/>
    </row>
    <row r="2989" spans="7:11" x14ac:dyDescent="0.2">
      <c r="G2989" s="131"/>
      <c r="H2989" s="131"/>
      <c r="I2989" s="131"/>
      <c r="J2989" s="132"/>
      <c r="K2989" s="131"/>
    </row>
    <row r="2990" spans="7:11" x14ac:dyDescent="0.2">
      <c r="G2990" s="131"/>
      <c r="H2990" s="131"/>
      <c r="I2990" s="131"/>
      <c r="J2990" s="132"/>
      <c r="K2990" s="131"/>
    </row>
    <row r="2991" spans="7:11" x14ac:dyDescent="0.2">
      <c r="G2991" s="131"/>
      <c r="H2991" s="131"/>
      <c r="I2991" s="131"/>
      <c r="J2991" s="132"/>
      <c r="K2991" s="131"/>
    </row>
    <row r="2992" spans="7:11" x14ac:dyDescent="0.2">
      <c r="G2992" s="131"/>
      <c r="H2992" s="131"/>
      <c r="I2992" s="131"/>
      <c r="J2992" s="132"/>
      <c r="K2992" s="131"/>
    </row>
    <row r="2993" spans="7:11" x14ac:dyDescent="0.2">
      <c r="G2993" s="131"/>
      <c r="H2993" s="131"/>
      <c r="I2993" s="131"/>
      <c r="J2993" s="132"/>
      <c r="K2993" s="131"/>
    </row>
    <row r="2994" spans="7:11" x14ac:dyDescent="0.2">
      <c r="G2994" s="131"/>
      <c r="H2994" s="131"/>
      <c r="I2994" s="131"/>
      <c r="J2994" s="132"/>
      <c r="K2994" s="131"/>
    </row>
    <row r="2995" spans="7:11" x14ac:dyDescent="0.2">
      <c r="G2995" s="131"/>
      <c r="H2995" s="131"/>
      <c r="I2995" s="131"/>
      <c r="J2995" s="132"/>
      <c r="K2995" s="131"/>
    </row>
    <row r="2996" spans="7:11" x14ac:dyDescent="0.2">
      <c r="G2996" s="131"/>
      <c r="H2996" s="131"/>
      <c r="I2996" s="131"/>
      <c r="J2996" s="132"/>
      <c r="K2996" s="131"/>
    </row>
    <row r="2997" spans="7:11" x14ac:dyDescent="0.2">
      <c r="G2997" s="131"/>
      <c r="H2997" s="131"/>
      <c r="I2997" s="131"/>
      <c r="J2997" s="132"/>
      <c r="K2997" s="131"/>
    </row>
    <row r="2998" spans="7:11" x14ac:dyDescent="0.2">
      <c r="G2998" s="131"/>
      <c r="H2998" s="131"/>
      <c r="I2998" s="131"/>
      <c r="J2998" s="132"/>
      <c r="K2998" s="131"/>
    </row>
    <row r="2999" spans="7:11" x14ac:dyDescent="0.2">
      <c r="G2999" s="131"/>
      <c r="H2999" s="131"/>
      <c r="I2999" s="131"/>
      <c r="J2999" s="132"/>
      <c r="K2999" s="131"/>
    </row>
    <row r="3000" spans="7:11" x14ac:dyDescent="0.2">
      <c r="G3000" s="131"/>
      <c r="H3000" s="131"/>
      <c r="I3000" s="131"/>
      <c r="J3000" s="132"/>
      <c r="K3000" s="131"/>
    </row>
    <row r="3001" spans="7:11" x14ac:dyDescent="0.2">
      <c r="G3001" s="131"/>
      <c r="H3001" s="131"/>
      <c r="I3001" s="131"/>
      <c r="J3001" s="132"/>
      <c r="K3001" s="131"/>
    </row>
    <row r="3002" spans="7:11" x14ac:dyDescent="0.2">
      <c r="G3002" s="131"/>
      <c r="H3002" s="131"/>
      <c r="I3002" s="131"/>
      <c r="J3002" s="132"/>
      <c r="K3002" s="131"/>
    </row>
    <row r="3003" spans="7:11" x14ac:dyDescent="0.2">
      <c r="G3003" s="131"/>
      <c r="H3003" s="131"/>
      <c r="I3003" s="131"/>
      <c r="J3003" s="132"/>
      <c r="K3003" s="131"/>
    </row>
    <row r="3004" spans="7:11" x14ac:dyDescent="0.2">
      <c r="G3004" s="131"/>
      <c r="H3004" s="131"/>
      <c r="I3004" s="131"/>
      <c r="J3004" s="132"/>
      <c r="K3004" s="131"/>
    </row>
    <row r="3005" spans="7:11" x14ac:dyDescent="0.2">
      <c r="G3005" s="131"/>
      <c r="H3005" s="131"/>
      <c r="I3005" s="131"/>
      <c r="J3005" s="132"/>
      <c r="K3005" s="131"/>
    </row>
    <row r="3006" spans="7:11" x14ac:dyDescent="0.2">
      <c r="G3006" s="131"/>
      <c r="H3006" s="131"/>
      <c r="I3006" s="131"/>
      <c r="J3006" s="132"/>
      <c r="K3006" s="131"/>
    </row>
    <row r="3007" spans="7:11" x14ac:dyDescent="0.2">
      <c r="G3007" s="131"/>
      <c r="H3007" s="131"/>
      <c r="I3007" s="131"/>
      <c r="J3007" s="132"/>
      <c r="K3007" s="131"/>
    </row>
    <row r="3008" spans="7:11" x14ac:dyDescent="0.2">
      <c r="G3008" s="131"/>
      <c r="H3008" s="131"/>
      <c r="I3008" s="131"/>
      <c r="J3008" s="132"/>
      <c r="K3008" s="131"/>
    </row>
    <row r="3009" spans="7:11" x14ac:dyDescent="0.2">
      <c r="G3009" s="131"/>
      <c r="H3009" s="131"/>
      <c r="I3009" s="131"/>
      <c r="J3009" s="132"/>
      <c r="K3009" s="131"/>
    </row>
    <row r="3010" spans="7:11" x14ac:dyDescent="0.2">
      <c r="G3010" s="131"/>
      <c r="H3010" s="131"/>
      <c r="I3010" s="131"/>
      <c r="J3010" s="132"/>
      <c r="K3010" s="131"/>
    </row>
    <row r="3011" spans="7:11" x14ac:dyDescent="0.2">
      <c r="G3011" s="131"/>
      <c r="H3011" s="131"/>
      <c r="I3011" s="131"/>
      <c r="J3011" s="132"/>
      <c r="K3011" s="131"/>
    </row>
    <row r="3012" spans="7:11" x14ac:dyDescent="0.2">
      <c r="G3012" s="131"/>
      <c r="H3012" s="131"/>
      <c r="I3012" s="131"/>
      <c r="J3012" s="132"/>
      <c r="K3012" s="131"/>
    </row>
    <row r="3013" spans="7:11" x14ac:dyDescent="0.2">
      <c r="G3013" s="131"/>
      <c r="H3013" s="131"/>
      <c r="I3013" s="131"/>
      <c r="J3013" s="132"/>
      <c r="K3013" s="131"/>
    </row>
    <row r="3014" spans="7:11" x14ac:dyDescent="0.2">
      <c r="G3014" s="131"/>
      <c r="H3014" s="131"/>
      <c r="I3014" s="131"/>
      <c r="J3014" s="132"/>
      <c r="K3014" s="131"/>
    </row>
    <row r="3015" spans="7:11" x14ac:dyDescent="0.2">
      <c r="G3015" s="131"/>
      <c r="H3015" s="131"/>
      <c r="I3015" s="131"/>
      <c r="J3015" s="132"/>
      <c r="K3015" s="131"/>
    </row>
    <row r="3016" spans="7:11" x14ac:dyDescent="0.2">
      <c r="G3016" s="131"/>
      <c r="H3016" s="131"/>
      <c r="I3016" s="131"/>
      <c r="J3016" s="132"/>
      <c r="K3016" s="131"/>
    </row>
    <row r="3017" spans="7:11" x14ac:dyDescent="0.2">
      <c r="G3017" s="131"/>
      <c r="H3017" s="131"/>
      <c r="I3017" s="131"/>
      <c r="J3017" s="132"/>
      <c r="K3017" s="131"/>
    </row>
    <row r="3018" spans="7:11" x14ac:dyDescent="0.2">
      <c r="G3018" s="131"/>
      <c r="H3018" s="131"/>
      <c r="I3018" s="131"/>
      <c r="J3018" s="132"/>
      <c r="K3018" s="131"/>
    </row>
    <row r="3019" spans="7:11" x14ac:dyDescent="0.2">
      <c r="G3019" s="131"/>
      <c r="H3019" s="131"/>
      <c r="I3019" s="131"/>
      <c r="J3019" s="132"/>
      <c r="K3019" s="131"/>
    </row>
    <row r="3020" spans="7:11" x14ac:dyDescent="0.2">
      <c r="G3020" s="131"/>
      <c r="H3020" s="131"/>
      <c r="I3020" s="131"/>
      <c r="J3020" s="132"/>
      <c r="K3020" s="131"/>
    </row>
    <row r="3021" spans="7:11" x14ac:dyDescent="0.2">
      <c r="G3021" s="131"/>
      <c r="H3021" s="131"/>
      <c r="I3021" s="131"/>
      <c r="J3021" s="132"/>
      <c r="K3021" s="131"/>
    </row>
    <row r="3022" spans="7:11" x14ac:dyDescent="0.2">
      <c r="G3022" s="131"/>
      <c r="H3022" s="131"/>
      <c r="I3022" s="131"/>
      <c r="J3022" s="132"/>
      <c r="K3022" s="131"/>
    </row>
    <row r="3023" spans="7:11" x14ac:dyDescent="0.2">
      <c r="G3023" s="131"/>
      <c r="H3023" s="131"/>
      <c r="I3023" s="131"/>
      <c r="J3023" s="132"/>
      <c r="K3023" s="131"/>
    </row>
    <row r="3024" spans="7:11" x14ac:dyDescent="0.2">
      <c r="G3024" s="131"/>
      <c r="H3024" s="131"/>
      <c r="I3024" s="131"/>
      <c r="J3024" s="132"/>
      <c r="K3024" s="131"/>
    </row>
    <row r="3025" spans="7:11" x14ac:dyDescent="0.2">
      <c r="G3025" s="131"/>
      <c r="H3025" s="131"/>
      <c r="I3025" s="131"/>
      <c r="J3025" s="132"/>
      <c r="K3025" s="131"/>
    </row>
    <row r="3026" spans="7:11" x14ac:dyDescent="0.2">
      <c r="G3026" s="131"/>
      <c r="H3026" s="131"/>
      <c r="I3026" s="131"/>
      <c r="J3026" s="132"/>
      <c r="K3026" s="131"/>
    </row>
    <row r="3027" spans="7:11" x14ac:dyDescent="0.2">
      <c r="G3027" s="131"/>
      <c r="H3027" s="131"/>
      <c r="I3027" s="131"/>
      <c r="J3027" s="132"/>
      <c r="K3027" s="131"/>
    </row>
    <row r="3028" spans="7:11" x14ac:dyDescent="0.2">
      <c r="G3028" s="131"/>
      <c r="H3028" s="131"/>
      <c r="I3028" s="131"/>
      <c r="J3028" s="132"/>
      <c r="K3028" s="131"/>
    </row>
    <row r="3029" spans="7:11" x14ac:dyDescent="0.2">
      <c r="G3029" s="131"/>
      <c r="H3029" s="131"/>
      <c r="I3029" s="131"/>
      <c r="J3029" s="132"/>
      <c r="K3029" s="131"/>
    </row>
    <row r="3030" spans="7:11" x14ac:dyDescent="0.2">
      <c r="G3030" s="131"/>
      <c r="H3030" s="131"/>
      <c r="I3030" s="131"/>
      <c r="J3030" s="132"/>
      <c r="K3030" s="131"/>
    </row>
    <row r="3031" spans="7:11" x14ac:dyDescent="0.2">
      <c r="G3031" s="131"/>
      <c r="H3031" s="131"/>
      <c r="I3031" s="131"/>
      <c r="J3031" s="132"/>
      <c r="K3031" s="131"/>
    </row>
    <row r="3032" spans="7:11" x14ac:dyDescent="0.2">
      <c r="G3032" s="131"/>
      <c r="H3032" s="131"/>
      <c r="I3032" s="131"/>
      <c r="J3032" s="132"/>
      <c r="K3032" s="131"/>
    </row>
    <row r="3033" spans="7:11" x14ac:dyDescent="0.2">
      <c r="G3033" s="131"/>
      <c r="H3033" s="131"/>
      <c r="I3033" s="131"/>
      <c r="J3033" s="132"/>
      <c r="K3033" s="131"/>
    </row>
    <row r="3034" spans="7:11" x14ac:dyDescent="0.2">
      <c r="G3034" s="131"/>
      <c r="H3034" s="131"/>
      <c r="I3034" s="131"/>
      <c r="J3034" s="132"/>
      <c r="K3034" s="131"/>
    </row>
    <row r="3035" spans="7:11" x14ac:dyDescent="0.2">
      <c r="G3035" s="131"/>
      <c r="H3035" s="131"/>
      <c r="I3035" s="131"/>
      <c r="J3035" s="132"/>
      <c r="K3035" s="131"/>
    </row>
    <row r="3036" spans="7:11" x14ac:dyDescent="0.2">
      <c r="G3036" s="131"/>
      <c r="H3036" s="131"/>
      <c r="I3036" s="131"/>
      <c r="J3036" s="132"/>
      <c r="K3036" s="131"/>
    </row>
    <row r="3037" spans="7:11" x14ac:dyDescent="0.2">
      <c r="G3037" s="131"/>
      <c r="H3037" s="131"/>
      <c r="I3037" s="131"/>
      <c r="J3037" s="132"/>
      <c r="K3037" s="131"/>
    </row>
    <row r="3038" spans="7:11" x14ac:dyDescent="0.2">
      <c r="G3038" s="131"/>
      <c r="H3038" s="131"/>
      <c r="I3038" s="131"/>
      <c r="J3038" s="132"/>
      <c r="K3038" s="131"/>
    </row>
    <row r="3039" spans="7:11" x14ac:dyDescent="0.2">
      <c r="G3039" s="131"/>
      <c r="H3039" s="131"/>
      <c r="I3039" s="131"/>
      <c r="J3039" s="132"/>
      <c r="K3039" s="131"/>
    </row>
    <row r="3040" spans="7:11" x14ac:dyDescent="0.2">
      <c r="G3040" s="131"/>
      <c r="H3040" s="131"/>
      <c r="I3040" s="131"/>
      <c r="J3040" s="132"/>
      <c r="K3040" s="131"/>
    </row>
    <row r="3041" spans="7:11" x14ac:dyDescent="0.2">
      <c r="G3041" s="131"/>
      <c r="H3041" s="131"/>
      <c r="I3041" s="131"/>
      <c r="J3041" s="132"/>
      <c r="K3041" s="131"/>
    </row>
    <row r="3042" spans="7:11" x14ac:dyDescent="0.2">
      <c r="G3042" s="131"/>
      <c r="H3042" s="131"/>
      <c r="I3042" s="131"/>
      <c r="J3042" s="132"/>
      <c r="K3042" s="131"/>
    </row>
    <row r="3043" spans="7:11" x14ac:dyDescent="0.2">
      <c r="G3043" s="131"/>
      <c r="H3043" s="131"/>
      <c r="I3043" s="131"/>
      <c r="J3043" s="132"/>
      <c r="K3043" s="131"/>
    </row>
    <row r="3044" spans="7:11" x14ac:dyDescent="0.2">
      <c r="G3044" s="131"/>
      <c r="H3044" s="131"/>
      <c r="I3044" s="131"/>
      <c r="J3044" s="132"/>
      <c r="K3044" s="131"/>
    </row>
    <row r="3045" spans="7:11" x14ac:dyDescent="0.2">
      <c r="G3045" s="131"/>
      <c r="H3045" s="131"/>
      <c r="I3045" s="131"/>
      <c r="J3045" s="132"/>
      <c r="K3045" s="131"/>
    </row>
    <row r="3046" spans="7:11" x14ac:dyDescent="0.2">
      <c r="G3046" s="131"/>
      <c r="H3046" s="131"/>
      <c r="I3046" s="131"/>
      <c r="J3046" s="132"/>
      <c r="K3046" s="131"/>
    </row>
    <row r="3047" spans="7:11" x14ac:dyDescent="0.2">
      <c r="G3047" s="131"/>
      <c r="H3047" s="131"/>
      <c r="I3047" s="131"/>
      <c r="J3047" s="132"/>
      <c r="K3047" s="131"/>
    </row>
    <row r="3048" spans="7:11" x14ac:dyDescent="0.2">
      <c r="G3048" s="131"/>
      <c r="H3048" s="131"/>
      <c r="I3048" s="131"/>
      <c r="J3048" s="132"/>
      <c r="K3048" s="131"/>
    </row>
    <row r="3049" spans="7:11" x14ac:dyDescent="0.2">
      <c r="G3049" s="131"/>
      <c r="H3049" s="131"/>
      <c r="I3049" s="131"/>
      <c r="J3049" s="132"/>
      <c r="K3049" s="131"/>
    </row>
    <row r="3050" spans="7:11" x14ac:dyDescent="0.2">
      <c r="G3050" s="131"/>
      <c r="H3050" s="131"/>
      <c r="I3050" s="131"/>
      <c r="J3050" s="132"/>
      <c r="K3050" s="131"/>
    </row>
    <row r="3051" spans="7:11" x14ac:dyDescent="0.2">
      <c r="G3051" s="131"/>
      <c r="H3051" s="131"/>
      <c r="I3051" s="131"/>
      <c r="J3051" s="132"/>
      <c r="K3051" s="131"/>
    </row>
    <row r="3052" spans="7:11" x14ac:dyDescent="0.2">
      <c r="G3052" s="131"/>
      <c r="H3052" s="131"/>
      <c r="I3052" s="131"/>
      <c r="J3052" s="132"/>
      <c r="K3052" s="131"/>
    </row>
    <row r="3053" spans="7:11" x14ac:dyDescent="0.2">
      <c r="G3053" s="131"/>
      <c r="H3053" s="131"/>
      <c r="I3053" s="131"/>
      <c r="J3053" s="132"/>
      <c r="K3053" s="131"/>
    </row>
    <row r="3054" spans="7:11" x14ac:dyDescent="0.2">
      <c r="G3054" s="131"/>
      <c r="H3054" s="131"/>
      <c r="I3054" s="131"/>
      <c r="J3054" s="132"/>
      <c r="K3054" s="131"/>
    </row>
    <row r="3055" spans="7:11" x14ac:dyDescent="0.2">
      <c r="G3055" s="131"/>
      <c r="H3055" s="131"/>
      <c r="I3055" s="131"/>
      <c r="J3055" s="132"/>
      <c r="K3055" s="131"/>
    </row>
    <row r="3056" spans="7:11" x14ac:dyDescent="0.2">
      <c r="G3056" s="131"/>
      <c r="H3056" s="131"/>
      <c r="I3056" s="131"/>
      <c r="J3056" s="132"/>
      <c r="K3056" s="131"/>
    </row>
    <row r="3057" spans="7:11" x14ac:dyDescent="0.2">
      <c r="G3057" s="131"/>
      <c r="H3057" s="131"/>
      <c r="I3057" s="131"/>
      <c r="J3057" s="132"/>
      <c r="K3057" s="131"/>
    </row>
    <row r="3058" spans="7:11" x14ac:dyDescent="0.2">
      <c r="G3058" s="131"/>
      <c r="H3058" s="131"/>
      <c r="I3058" s="131"/>
      <c r="J3058" s="132"/>
      <c r="K3058" s="131"/>
    </row>
    <row r="3059" spans="7:11" x14ac:dyDescent="0.2">
      <c r="G3059" s="131"/>
      <c r="H3059" s="131"/>
      <c r="I3059" s="131"/>
      <c r="J3059" s="132"/>
      <c r="K3059" s="131"/>
    </row>
    <row r="3060" spans="7:11" x14ac:dyDescent="0.2">
      <c r="G3060" s="131"/>
      <c r="H3060" s="131"/>
      <c r="I3060" s="131"/>
      <c r="J3060" s="132"/>
      <c r="K3060" s="131"/>
    </row>
    <row r="3061" spans="7:11" x14ac:dyDescent="0.2">
      <c r="G3061" s="131"/>
      <c r="H3061" s="131"/>
      <c r="I3061" s="131"/>
      <c r="J3061" s="132"/>
      <c r="K3061" s="131"/>
    </row>
    <row r="3062" spans="7:11" x14ac:dyDescent="0.2">
      <c r="G3062" s="131"/>
      <c r="H3062" s="131"/>
      <c r="I3062" s="131"/>
      <c r="J3062" s="132"/>
      <c r="K3062" s="131"/>
    </row>
    <row r="3063" spans="7:11" x14ac:dyDescent="0.2">
      <c r="G3063" s="131"/>
      <c r="H3063" s="131"/>
      <c r="I3063" s="131"/>
      <c r="J3063" s="132"/>
      <c r="K3063" s="131"/>
    </row>
    <row r="3064" spans="7:11" x14ac:dyDescent="0.2">
      <c r="G3064" s="131"/>
      <c r="H3064" s="131"/>
      <c r="I3064" s="131"/>
      <c r="J3064" s="132"/>
      <c r="K3064" s="131"/>
    </row>
    <row r="3065" spans="7:11" x14ac:dyDescent="0.2">
      <c r="G3065" s="131"/>
      <c r="H3065" s="131"/>
      <c r="I3065" s="131"/>
      <c r="J3065" s="132"/>
      <c r="K3065" s="131"/>
    </row>
    <row r="3066" spans="7:11" x14ac:dyDescent="0.2">
      <c r="G3066" s="131"/>
      <c r="H3066" s="131"/>
      <c r="I3066" s="131"/>
      <c r="J3066" s="132"/>
      <c r="K3066" s="131"/>
    </row>
    <row r="3067" spans="7:11" x14ac:dyDescent="0.2">
      <c r="G3067" s="131"/>
      <c r="H3067" s="131"/>
      <c r="I3067" s="131"/>
      <c r="J3067" s="132"/>
      <c r="K3067" s="131"/>
    </row>
    <row r="3068" spans="7:11" x14ac:dyDescent="0.2">
      <c r="G3068" s="131"/>
      <c r="H3068" s="131"/>
      <c r="I3068" s="131"/>
      <c r="J3068" s="132"/>
      <c r="K3068" s="131"/>
    </row>
    <row r="3069" spans="7:11" x14ac:dyDescent="0.2">
      <c r="G3069" s="131"/>
      <c r="H3069" s="131"/>
      <c r="I3069" s="131"/>
      <c r="J3069" s="132"/>
      <c r="K3069" s="131"/>
    </row>
    <row r="3070" spans="7:11" x14ac:dyDescent="0.2">
      <c r="G3070" s="131"/>
      <c r="H3070" s="131"/>
      <c r="I3070" s="131"/>
      <c r="J3070" s="132"/>
      <c r="K3070" s="131"/>
    </row>
    <row r="3071" spans="7:11" x14ac:dyDescent="0.2">
      <c r="G3071" s="131"/>
      <c r="H3071" s="131"/>
      <c r="I3071" s="131"/>
      <c r="J3071" s="132"/>
      <c r="K3071" s="131"/>
    </row>
    <row r="3072" spans="7:11" x14ac:dyDescent="0.2">
      <c r="G3072" s="131"/>
      <c r="H3072" s="131"/>
      <c r="I3072" s="131"/>
      <c r="J3072" s="132"/>
      <c r="K3072" s="131"/>
    </row>
    <row r="3073" spans="7:11" x14ac:dyDescent="0.2">
      <c r="G3073" s="131"/>
      <c r="H3073" s="131"/>
      <c r="I3073" s="131"/>
      <c r="J3073" s="132"/>
      <c r="K3073" s="131"/>
    </row>
    <row r="3074" spans="7:11" x14ac:dyDescent="0.2">
      <c r="G3074" s="131"/>
      <c r="H3074" s="131"/>
      <c r="I3074" s="131"/>
      <c r="J3074" s="132"/>
      <c r="K3074" s="131"/>
    </row>
    <row r="3075" spans="7:11" x14ac:dyDescent="0.2">
      <c r="G3075" s="131"/>
      <c r="H3075" s="131"/>
      <c r="I3075" s="131"/>
      <c r="J3075" s="132"/>
      <c r="K3075" s="131"/>
    </row>
    <row r="3076" spans="7:11" x14ac:dyDescent="0.2">
      <c r="G3076" s="131"/>
      <c r="H3076" s="131"/>
      <c r="I3076" s="131"/>
      <c r="J3076" s="132"/>
      <c r="K3076" s="131"/>
    </row>
    <row r="3077" spans="7:11" x14ac:dyDescent="0.2">
      <c r="G3077" s="131"/>
      <c r="H3077" s="131"/>
      <c r="I3077" s="131"/>
      <c r="J3077" s="132"/>
      <c r="K3077" s="131"/>
    </row>
    <row r="3078" spans="7:11" x14ac:dyDescent="0.2">
      <c r="G3078" s="131"/>
      <c r="H3078" s="131"/>
      <c r="I3078" s="131"/>
      <c r="J3078" s="132"/>
      <c r="K3078" s="131"/>
    </row>
    <row r="3079" spans="7:11" x14ac:dyDescent="0.2">
      <c r="G3079" s="131"/>
      <c r="H3079" s="131"/>
      <c r="I3079" s="131"/>
      <c r="J3079" s="132"/>
      <c r="K3079" s="131"/>
    </row>
    <row r="3080" spans="7:11" x14ac:dyDescent="0.2">
      <c r="G3080" s="131"/>
      <c r="H3080" s="131"/>
      <c r="I3080" s="131"/>
      <c r="J3080" s="132"/>
      <c r="K3080" s="131"/>
    </row>
    <row r="3081" spans="7:11" x14ac:dyDescent="0.2">
      <c r="G3081" s="131"/>
      <c r="H3081" s="131"/>
      <c r="I3081" s="131"/>
      <c r="J3081" s="132"/>
      <c r="K3081" s="131"/>
    </row>
    <row r="3082" spans="7:11" x14ac:dyDescent="0.2">
      <c r="G3082" s="131"/>
      <c r="H3082" s="131"/>
      <c r="I3082" s="131"/>
      <c r="J3082" s="132"/>
      <c r="K3082" s="131"/>
    </row>
    <row r="3083" spans="7:11" x14ac:dyDescent="0.2">
      <c r="G3083" s="131"/>
      <c r="H3083" s="131"/>
      <c r="I3083" s="131"/>
      <c r="J3083" s="132"/>
      <c r="K3083" s="131"/>
    </row>
    <row r="3084" spans="7:11" x14ac:dyDescent="0.2">
      <c r="G3084" s="131"/>
      <c r="H3084" s="131"/>
      <c r="I3084" s="131"/>
      <c r="J3084" s="132"/>
      <c r="K3084" s="131"/>
    </row>
    <row r="3085" spans="7:11" x14ac:dyDescent="0.2">
      <c r="G3085" s="131"/>
      <c r="H3085" s="131"/>
      <c r="I3085" s="131"/>
      <c r="J3085" s="132"/>
      <c r="K3085" s="131"/>
    </row>
    <row r="3086" spans="7:11" x14ac:dyDescent="0.2">
      <c r="G3086" s="131"/>
      <c r="H3086" s="131"/>
      <c r="I3086" s="131"/>
      <c r="J3086" s="132"/>
      <c r="K3086" s="131"/>
    </row>
    <row r="3087" spans="7:11" x14ac:dyDescent="0.2">
      <c r="G3087" s="131"/>
      <c r="H3087" s="131"/>
      <c r="I3087" s="131"/>
      <c r="J3087" s="132"/>
      <c r="K3087" s="131"/>
    </row>
    <row r="3088" spans="7:11" x14ac:dyDescent="0.2">
      <c r="G3088" s="131"/>
      <c r="H3088" s="131"/>
      <c r="I3088" s="131"/>
      <c r="J3088" s="132"/>
      <c r="K3088" s="131"/>
    </row>
    <row r="3089" spans="7:11" x14ac:dyDescent="0.2">
      <c r="G3089" s="131"/>
      <c r="H3089" s="131"/>
      <c r="I3089" s="131"/>
      <c r="J3089" s="132"/>
      <c r="K3089" s="131"/>
    </row>
    <row r="3090" spans="7:11" x14ac:dyDescent="0.2">
      <c r="G3090" s="131"/>
      <c r="H3090" s="131"/>
      <c r="I3090" s="131"/>
      <c r="J3090" s="132"/>
      <c r="K3090" s="131"/>
    </row>
    <row r="3091" spans="7:11" x14ac:dyDescent="0.2">
      <c r="G3091" s="131"/>
      <c r="H3091" s="131"/>
      <c r="I3091" s="131"/>
      <c r="J3091" s="132"/>
      <c r="K3091" s="131"/>
    </row>
    <row r="3092" spans="7:11" x14ac:dyDescent="0.2">
      <c r="G3092" s="131"/>
      <c r="H3092" s="131"/>
      <c r="I3092" s="131"/>
      <c r="J3092" s="132"/>
      <c r="K3092" s="131"/>
    </row>
    <row r="3093" spans="7:11" x14ac:dyDescent="0.2">
      <c r="G3093" s="131"/>
      <c r="H3093" s="131"/>
      <c r="I3093" s="131"/>
      <c r="J3093" s="132"/>
      <c r="K3093" s="131"/>
    </row>
    <row r="3094" spans="7:11" x14ac:dyDescent="0.2">
      <c r="G3094" s="131"/>
      <c r="H3094" s="131"/>
      <c r="I3094" s="131"/>
      <c r="J3094" s="132"/>
      <c r="K3094" s="131"/>
    </row>
    <row r="3095" spans="7:11" x14ac:dyDescent="0.2">
      <c r="G3095" s="131"/>
      <c r="H3095" s="131"/>
      <c r="I3095" s="131"/>
      <c r="J3095" s="132"/>
      <c r="K3095" s="131"/>
    </row>
    <row r="3096" spans="7:11" x14ac:dyDescent="0.2">
      <c r="G3096" s="131"/>
      <c r="H3096" s="131"/>
      <c r="I3096" s="131"/>
      <c r="J3096" s="132"/>
      <c r="K3096" s="131"/>
    </row>
    <row r="3097" spans="7:11" x14ac:dyDescent="0.2">
      <c r="G3097" s="131"/>
      <c r="H3097" s="131"/>
      <c r="I3097" s="131"/>
      <c r="J3097" s="132"/>
      <c r="K3097" s="131"/>
    </row>
    <row r="3098" spans="7:11" x14ac:dyDescent="0.2">
      <c r="G3098" s="131"/>
      <c r="H3098" s="131"/>
      <c r="I3098" s="131"/>
      <c r="J3098" s="132"/>
      <c r="K3098" s="131"/>
    </row>
    <row r="3099" spans="7:11" x14ac:dyDescent="0.2">
      <c r="G3099" s="131"/>
      <c r="H3099" s="131"/>
      <c r="I3099" s="131"/>
      <c r="J3099" s="132"/>
      <c r="K3099" s="131"/>
    </row>
    <row r="3100" spans="7:11" x14ac:dyDescent="0.2">
      <c r="G3100" s="131"/>
      <c r="H3100" s="131"/>
      <c r="I3100" s="131"/>
      <c r="J3100" s="132"/>
      <c r="K3100" s="131"/>
    </row>
    <row r="3101" spans="7:11" x14ac:dyDescent="0.2">
      <c r="G3101" s="131"/>
      <c r="H3101" s="131"/>
      <c r="I3101" s="131"/>
      <c r="J3101" s="132"/>
      <c r="K3101" s="131"/>
    </row>
    <row r="3102" spans="7:11" x14ac:dyDescent="0.2">
      <c r="G3102" s="131"/>
      <c r="H3102" s="131"/>
      <c r="I3102" s="131"/>
      <c r="J3102" s="132"/>
      <c r="K3102" s="131"/>
    </row>
    <row r="3103" spans="7:11" x14ac:dyDescent="0.2">
      <c r="G3103" s="131"/>
      <c r="H3103" s="131"/>
      <c r="I3103" s="131"/>
      <c r="J3103" s="132"/>
      <c r="K3103" s="131"/>
    </row>
    <row r="3104" spans="7:11" x14ac:dyDescent="0.2">
      <c r="G3104" s="131"/>
      <c r="H3104" s="131"/>
      <c r="I3104" s="131"/>
      <c r="J3104" s="132"/>
      <c r="K3104" s="131"/>
    </row>
    <row r="3105" spans="7:11" x14ac:dyDescent="0.2">
      <c r="G3105" s="131"/>
      <c r="H3105" s="131"/>
      <c r="I3105" s="131"/>
      <c r="J3105" s="132"/>
      <c r="K3105" s="131"/>
    </row>
    <row r="3106" spans="7:11" x14ac:dyDescent="0.2">
      <c r="G3106" s="131"/>
      <c r="H3106" s="131"/>
      <c r="I3106" s="131"/>
      <c r="J3106" s="132"/>
      <c r="K3106" s="131"/>
    </row>
    <row r="3107" spans="7:11" x14ac:dyDescent="0.2">
      <c r="G3107" s="131"/>
      <c r="H3107" s="131"/>
      <c r="I3107" s="131"/>
      <c r="J3107" s="132"/>
      <c r="K3107" s="131"/>
    </row>
    <row r="3108" spans="7:11" x14ac:dyDescent="0.2">
      <c r="G3108" s="131"/>
      <c r="H3108" s="131"/>
      <c r="I3108" s="131"/>
      <c r="J3108" s="132"/>
      <c r="K3108" s="131"/>
    </row>
    <row r="3109" spans="7:11" x14ac:dyDescent="0.2">
      <c r="G3109" s="131"/>
      <c r="H3109" s="131"/>
      <c r="I3109" s="131"/>
      <c r="J3109" s="132"/>
      <c r="K3109" s="131"/>
    </row>
    <row r="3110" spans="7:11" x14ac:dyDescent="0.2">
      <c r="G3110" s="131"/>
      <c r="H3110" s="131"/>
      <c r="I3110" s="131"/>
      <c r="J3110" s="132"/>
      <c r="K3110" s="131"/>
    </row>
    <row r="3111" spans="7:11" x14ac:dyDescent="0.2">
      <c r="G3111" s="131"/>
      <c r="H3111" s="131"/>
      <c r="I3111" s="131"/>
      <c r="J3111" s="132"/>
      <c r="K3111" s="131"/>
    </row>
    <row r="3112" spans="7:11" x14ac:dyDescent="0.2">
      <c r="G3112" s="131"/>
      <c r="H3112" s="131"/>
      <c r="I3112" s="131"/>
      <c r="J3112" s="132"/>
      <c r="K3112" s="131"/>
    </row>
    <row r="3113" spans="7:11" x14ac:dyDescent="0.2">
      <c r="G3113" s="131"/>
      <c r="H3113" s="131"/>
      <c r="I3113" s="131"/>
      <c r="J3113" s="132"/>
      <c r="K3113" s="131"/>
    </row>
    <row r="3114" spans="7:11" x14ac:dyDescent="0.2">
      <c r="G3114" s="131"/>
      <c r="H3114" s="131"/>
      <c r="I3114" s="131"/>
      <c r="J3114" s="132"/>
      <c r="K3114" s="131"/>
    </row>
    <row r="3115" spans="7:11" x14ac:dyDescent="0.2">
      <c r="G3115" s="131"/>
      <c r="H3115" s="131"/>
      <c r="I3115" s="131"/>
      <c r="J3115" s="132"/>
      <c r="K3115" s="131"/>
    </row>
    <row r="3116" spans="7:11" x14ac:dyDescent="0.2">
      <c r="G3116" s="131"/>
      <c r="H3116" s="131"/>
      <c r="I3116" s="131"/>
      <c r="J3116" s="132"/>
      <c r="K3116" s="131"/>
    </row>
    <row r="3117" spans="7:11" x14ac:dyDescent="0.2">
      <c r="G3117" s="131"/>
      <c r="H3117" s="131"/>
      <c r="I3117" s="131"/>
      <c r="J3117" s="132"/>
      <c r="K3117" s="131"/>
    </row>
    <row r="3118" spans="7:11" x14ac:dyDescent="0.2">
      <c r="G3118" s="131"/>
      <c r="H3118" s="131"/>
      <c r="I3118" s="131"/>
      <c r="J3118" s="132"/>
      <c r="K3118" s="131"/>
    </row>
    <row r="3119" spans="7:11" x14ac:dyDescent="0.2">
      <c r="G3119" s="131"/>
      <c r="H3119" s="131"/>
      <c r="I3119" s="131"/>
      <c r="J3119" s="132"/>
      <c r="K3119" s="131"/>
    </row>
    <row r="3120" spans="7:11" x14ac:dyDescent="0.2">
      <c r="G3120" s="131"/>
      <c r="H3120" s="131"/>
      <c r="I3120" s="131"/>
      <c r="J3120" s="132"/>
      <c r="K3120" s="131"/>
    </row>
    <row r="3121" spans="7:11" x14ac:dyDescent="0.2">
      <c r="G3121" s="131"/>
      <c r="H3121" s="131"/>
      <c r="I3121" s="131"/>
      <c r="J3121" s="132"/>
      <c r="K3121" s="131"/>
    </row>
    <row r="3122" spans="7:11" x14ac:dyDescent="0.2">
      <c r="G3122" s="131"/>
      <c r="H3122" s="131"/>
      <c r="I3122" s="131"/>
      <c r="J3122" s="132"/>
      <c r="K3122" s="131"/>
    </row>
    <row r="3123" spans="7:11" x14ac:dyDescent="0.2">
      <c r="G3123" s="131"/>
      <c r="H3123" s="131"/>
      <c r="I3123" s="131"/>
      <c r="J3123" s="132"/>
      <c r="K3123" s="131"/>
    </row>
    <row r="3124" spans="7:11" x14ac:dyDescent="0.2">
      <c r="G3124" s="131"/>
      <c r="H3124" s="131"/>
      <c r="I3124" s="131"/>
      <c r="J3124" s="132"/>
      <c r="K3124" s="131"/>
    </row>
    <row r="3125" spans="7:11" x14ac:dyDescent="0.2">
      <c r="G3125" s="131"/>
      <c r="H3125" s="131"/>
      <c r="I3125" s="131"/>
      <c r="J3125" s="132"/>
      <c r="K3125" s="131"/>
    </row>
    <row r="3126" spans="7:11" x14ac:dyDescent="0.2">
      <c r="G3126" s="131"/>
      <c r="H3126" s="131"/>
      <c r="I3126" s="131"/>
      <c r="J3126" s="132"/>
      <c r="K3126" s="131"/>
    </row>
    <row r="3127" spans="7:11" x14ac:dyDescent="0.2">
      <c r="G3127" s="131"/>
      <c r="H3127" s="131"/>
      <c r="I3127" s="131"/>
      <c r="J3127" s="132"/>
      <c r="K3127" s="131"/>
    </row>
    <row r="3128" spans="7:11" x14ac:dyDescent="0.2">
      <c r="G3128" s="131"/>
      <c r="H3128" s="131"/>
      <c r="I3128" s="131"/>
      <c r="J3128" s="132"/>
      <c r="K3128" s="131"/>
    </row>
    <row r="3129" spans="7:11" x14ac:dyDescent="0.2">
      <c r="G3129" s="131"/>
      <c r="H3129" s="131"/>
      <c r="I3129" s="131"/>
      <c r="J3129" s="132"/>
      <c r="K3129" s="131"/>
    </row>
    <row r="3130" spans="7:11" x14ac:dyDescent="0.2">
      <c r="G3130" s="131"/>
      <c r="H3130" s="131"/>
      <c r="I3130" s="131"/>
      <c r="J3130" s="132"/>
      <c r="K3130" s="131"/>
    </row>
    <row r="3131" spans="7:11" x14ac:dyDescent="0.2">
      <c r="G3131" s="131"/>
      <c r="H3131" s="131"/>
      <c r="I3131" s="131"/>
      <c r="J3131" s="132"/>
      <c r="K3131" s="131"/>
    </row>
    <row r="3132" spans="7:11" x14ac:dyDescent="0.2">
      <c r="G3132" s="131"/>
      <c r="H3132" s="131"/>
      <c r="I3132" s="131"/>
      <c r="J3132" s="132"/>
      <c r="K3132" s="131"/>
    </row>
    <row r="3133" spans="7:11" x14ac:dyDescent="0.2">
      <c r="G3133" s="131"/>
      <c r="H3133" s="131"/>
      <c r="I3133" s="131"/>
      <c r="J3133" s="132"/>
      <c r="K3133" s="131"/>
    </row>
    <row r="3134" spans="7:11" x14ac:dyDescent="0.2">
      <c r="G3134" s="131"/>
      <c r="H3134" s="131"/>
      <c r="I3134" s="131"/>
      <c r="J3134" s="132"/>
      <c r="K3134" s="131"/>
    </row>
    <row r="3135" spans="7:11" x14ac:dyDescent="0.2">
      <c r="G3135" s="131"/>
      <c r="H3135" s="131"/>
      <c r="I3135" s="131"/>
      <c r="J3135" s="132"/>
      <c r="K3135" s="131"/>
    </row>
    <row r="3136" spans="7:11" x14ac:dyDescent="0.2">
      <c r="G3136" s="131"/>
      <c r="H3136" s="131"/>
      <c r="I3136" s="131"/>
      <c r="J3136" s="132"/>
      <c r="K3136" s="131"/>
    </row>
    <row r="3137" spans="7:11" x14ac:dyDescent="0.2">
      <c r="G3137" s="131"/>
      <c r="H3137" s="131"/>
      <c r="I3137" s="131"/>
      <c r="J3137" s="132"/>
      <c r="K3137" s="131"/>
    </row>
    <row r="3138" spans="7:11" x14ac:dyDescent="0.2">
      <c r="G3138" s="131"/>
      <c r="H3138" s="131"/>
      <c r="I3138" s="131"/>
      <c r="J3138" s="132"/>
      <c r="K3138" s="131"/>
    </row>
    <row r="3139" spans="7:11" x14ac:dyDescent="0.2">
      <c r="G3139" s="131"/>
      <c r="H3139" s="131"/>
      <c r="I3139" s="131"/>
      <c r="J3139" s="132"/>
      <c r="K3139" s="131"/>
    </row>
    <row r="3140" spans="7:11" x14ac:dyDescent="0.2">
      <c r="G3140" s="131"/>
      <c r="H3140" s="131"/>
      <c r="I3140" s="131"/>
      <c r="J3140" s="132"/>
      <c r="K3140" s="131"/>
    </row>
    <row r="3141" spans="7:11" x14ac:dyDescent="0.2">
      <c r="G3141" s="131"/>
      <c r="H3141" s="131"/>
      <c r="I3141" s="131"/>
      <c r="J3141" s="132"/>
      <c r="K3141" s="131"/>
    </row>
    <row r="3142" spans="7:11" x14ac:dyDescent="0.2">
      <c r="G3142" s="131"/>
      <c r="H3142" s="131"/>
      <c r="I3142" s="131"/>
      <c r="J3142" s="132"/>
      <c r="K3142" s="131"/>
    </row>
    <row r="3143" spans="7:11" x14ac:dyDescent="0.2">
      <c r="G3143" s="131"/>
      <c r="H3143" s="131"/>
      <c r="I3143" s="131"/>
      <c r="J3143" s="132"/>
      <c r="K3143" s="131"/>
    </row>
    <row r="3144" spans="7:11" x14ac:dyDescent="0.2">
      <c r="G3144" s="131"/>
      <c r="H3144" s="131"/>
      <c r="I3144" s="131"/>
      <c r="J3144" s="132"/>
      <c r="K3144" s="131"/>
    </row>
    <row r="3145" spans="7:11" x14ac:dyDescent="0.2">
      <c r="G3145" s="131"/>
      <c r="H3145" s="131"/>
      <c r="I3145" s="131"/>
      <c r="J3145" s="132"/>
      <c r="K3145" s="131"/>
    </row>
    <row r="3146" spans="7:11" x14ac:dyDescent="0.2">
      <c r="G3146" s="131"/>
      <c r="H3146" s="131"/>
      <c r="I3146" s="131"/>
      <c r="J3146" s="132"/>
      <c r="K3146" s="131"/>
    </row>
    <row r="3147" spans="7:11" x14ac:dyDescent="0.2">
      <c r="G3147" s="131"/>
      <c r="H3147" s="131"/>
      <c r="I3147" s="131"/>
      <c r="J3147" s="132"/>
      <c r="K3147" s="131"/>
    </row>
    <row r="3148" spans="7:11" x14ac:dyDescent="0.2">
      <c r="G3148" s="131"/>
      <c r="H3148" s="131"/>
      <c r="I3148" s="131"/>
      <c r="J3148" s="132"/>
      <c r="K3148" s="131"/>
    </row>
    <row r="3149" spans="7:11" x14ac:dyDescent="0.2">
      <c r="G3149" s="131"/>
      <c r="H3149" s="131"/>
      <c r="I3149" s="131"/>
      <c r="J3149" s="132"/>
      <c r="K3149" s="131"/>
    </row>
    <row r="3150" spans="7:11" x14ac:dyDescent="0.2">
      <c r="G3150" s="131"/>
      <c r="H3150" s="131"/>
      <c r="I3150" s="131"/>
      <c r="J3150" s="132"/>
      <c r="K3150" s="131"/>
    </row>
    <row r="3151" spans="7:11" x14ac:dyDescent="0.2">
      <c r="G3151" s="131"/>
      <c r="H3151" s="131"/>
      <c r="I3151" s="131"/>
      <c r="J3151" s="132"/>
      <c r="K3151" s="131"/>
    </row>
    <row r="3152" spans="7:11" x14ac:dyDescent="0.2">
      <c r="G3152" s="131"/>
      <c r="H3152" s="131"/>
      <c r="I3152" s="131"/>
      <c r="J3152" s="132"/>
      <c r="K3152" s="131"/>
    </row>
    <row r="3153" spans="7:11" x14ac:dyDescent="0.2">
      <c r="G3153" s="131"/>
      <c r="H3153" s="131"/>
      <c r="I3153" s="131"/>
      <c r="J3153" s="132"/>
      <c r="K3153" s="131"/>
    </row>
    <row r="3154" spans="7:11" x14ac:dyDescent="0.2">
      <c r="G3154" s="131"/>
      <c r="H3154" s="131"/>
      <c r="I3154" s="131"/>
      <c r="J3154" s="132"/>
      <c r="K3154" s="131"/>
    </row>
    <row r="3155" spans="7:11" x14ac:dyDescent="0.2">
      <c r="G3155" s="131"/>
      <c r="H3155" s="131"/>
      <c r="I3155" s="131"/>
      <c r="J3155" s="132"/>
      <c r="K3155" s="131"/>
    </row>
    <row r="3156" spans="7:11" x14ac:dyDescent="0.2">
      <c r="G3156" s="131"/>
      <c r="H3156" s="131"/>
      <c r="I3156" s="131"/>
      <c r="J3156" s="132"/>
      <c r="K3156" s="131"/>
    </row>
    <row r="3157" spans="7:11" x14ac:dyDescent="0.2">
      <c r="G3157" s="131"/>
      <c r="H3157" s="131"/>
      <c r="I3157" s="131"/>
      <c r="J3157" s="132"/>
      <c r="K3157" s="131"/>
    </row>
    <row r="3158" spans="7:11" x14ac:dyDescent="0.2">
      <c r="G3158" s="131"/>
      <c r="H3158" s="131"/>
      <c r="I3158" s="131"/>
      <c r="J3158" s="132"/>
      <c r="K3158" s="131"/>
    </row>
    <row r="3159" spans="7:11" x14ac:dyDescent="0.2">
      <c r="G3159" s="131"/>
      <c r="H3159" s="131"/>
      <c r="I3159" s="131"/>
      <c r="J3159" s="132"/>
      <c r="K3159" s="131"/>
    </row>
    <row r="3160" spans="7:11" x14ac:dyDescent="0.2">
      <c r="G3160" s="131"/>
      <c r="H3160" s="131"/>
      <c r="I3160" s="131"/>
      <c r="J3160" s="132"/>
      <c r="K3160" s="131"/>
    </row>
    <row r="3161" spans="7:11" x14ac:dyDescent="0.2">
      <c r="G3161" s="131"/>
      <c r="H3161" s="131"/>
      <c r="I3161" s="131"/>
      <c r="J3161" s="132"/>
      <c r="K3161" s="131"/>
    </row>
    <row r="3162" spans="7:11" x14ac:dyDescent="0.2">
      <c r="G3162" s="131"/>
      <c r="H3162" s="131"/>
      <c r="I3162" s="131"/>
      <c r="J3162" s="132"/>
      <c r="K3162" s="131"/>
    </row>
    <row r="3163" spans="7:11" x14ac:dyDescent="0.2">
      <c r="G3163" s="131"/>
      <c r="H3163" s="131"/>
      <c r="I3163" s="131"/>
      <c r="J3163" s="132"/>
      <c r="K3163" s="131"/>
    </row>
    <row r="3164" spans="7:11" x14ac:dyDescent="0.2">
      <c r="G3164" s="131"/>
      <c r="H3164" s="131"/>
      <c r="I3164" s="131"/>
      <c r="J3164" s="132"/>
      <c r="K3164" s="131"/>
    </row>
    <row r="3165" spans="7:11" x14ac:dyDescent="0.2">
      <c r="G3165" s="131"/>
      <c r="H3165" s="131"/>
      <c r="I3165" s="131"/>
      <c r="J3165" s="132"/>
      <c r="K3165" s="131"/>
    </row>
    <row r="3166" spans="7:11" x14ac:dyDescent="0.2">
      <c r="G3166" s="131"/>
      <c r="H3166" s="131"/>
      <c r="I3166" s="131"/>
      <c r="J3166" s="132"/>
      <c r="K3166" s="131"/>
    </row>
    <row r="3167" spans="7:11" x14ac:dyDescent="0.2">
      <c r="G3167" s="131"/>
      <c r="H3167" s="131"/>
      <c r="I3167" s="131"/>
      <c r="J3167" s="132"/>
      <c r="K3167" s="131"/>
    </row>
    <row r="3168" spans="7:11" x14ac:dyDescent="0.2">
      <c r="G3168" s="131"/>
      <c r="H3168" s="131"/>
      <c r="I3168" s="131"/>
      <c r="J3168" s="132"/>
      <c r="K3168" s="131"/>
    </row>
    <row r="3169" spans="7:11" x14ac:dyDescent="0.2">
      <c r="G3169" s="131"/>
      <c r="H3169" s="131"/>
      <c r="I3169" s="131"/>
      <c r="J3169" s="132"/>
      <c r="K3169" s="131"/>
    </row>
    <row r="3170" spans="7:11" x14ac:dyDescent="0.2">
      <c r="G3170" s="131"/>
      <c r="H3170" s="131"/>
      <c r="I3170" s="131"/>
      <c r="J3170" s="132"/>
      <c r="K3170" s="131"/>
    </row>
    <row r="3171" spans="7:11" x14ac:dyDescent="0.2">
      <c r="G3171" s="131"/>
      <c r="H3171" s="131"/>
      <c r="I3171" s="131"/>
      <c r="J3171" s="132"/>
      <c r="K3171" s="131"/>
    </row>
    <row r="3172" spans="7:11" x14ac:dyDescent="0.2">
      <c r="G3172" s="131"/>
      <c r="H3172" s="131"/>
      <c r="I3172" s="131"/>
      <c r="J3172" s="132"/>
      <c r="K3172" s="131"/>
    </row>
    <row r="3173" spans="7:11" x14ac:dyDescent="0.2">
      <c r="G3173" s="131"/>
      <c r="H3173" s="131"/>
      <c r="I3173" s="131"/>
      <c r="J3173" s="132"/>
      <c r="K3173" s="131"/>
    </row>
    <row r="3174" spans="7:11" x14ac:dyDescent="0.2">
      <c r="G3174" s="131"/>
      <c r="H3174" s="131"/>
      <c r="I3174" s="131"/>
      <c r="J3174" s="132"/>
      <c r="K3174" s="131"/>
    </row>
    <row r="3175" spans="7:11" x14ac:dyDescent="0.2">
      <c r="G3175" s="131"/>
      <c r="H3175" s="131"/>
      <c r="I3175" s="131"/>
      <c r="J3175" s="132"/>
      <c r="K3175" s="131"/>
    </row>
    <row r="3176" spans="7:11" x14ac:dyDescent="0.2">
      <c r="G3176" s="131"/>
      <c r="H3176" s="131"/>
      <c r="I3176" s="131"/>
      <c r="J3176" s="132"/>
      <c r="K3176" s="131"/>
    </row>
    <row r="3177" spans="7:11" x14ac:dyDescent="0.2">
      <c r="G3177" s="131"/>
      <c r="H3177" s="131"/>
      <c r="I3177" s="131"/>
      <c r="J3177" s="132"/>
      <c r="K3177" s="131"/>
    </row>
    <row r="3178" spans="7:11" x14ac:dyDescent="0.2">
      <c r="G3178" s="131"/>
      <c r="H3178" s="131"/>
      <c r="I3178" s="131"/>
      <c r="J3178" s="132"/>
      <c r="K3178" s="131"/>
    </row>
    <row r="3179" spans="7:11" x14ac:dyDescent="0.2">
      <c r="G3179" s="131"/>
      <c r="H3179" s="131"/>
      <c r="I3179" s="131"/>
      <c r="J3179" s="132"/>
      <c r="K3179" s="131"/>
    </row>
    <row r="3180" spans="7:11" x14ac:dyDescent="0.2">
      <c r="G3180" s="131"/>
      <c r="H3180" s="131"/>
      <c r="I3180" s="131"/>
      <c r="J3180" s="132"/>
      <c r="K3180" s="131"/>
    </row>
    <row r="3181" spans="7:11" x14ac:dyDescent="0.2">
      <c r="G3181" s="131"/>
      <c r="H3181" s="131"/>
      <c r="I3181" s="131"/>
      <c r="J3181" s="132"/>
      <c r="K3181" s="131"/>
    </row>
    <row r="3182" spans="7:11" x14ac:dyDescent="0.2">
      <c r="G3182" s="131"/>
      <c r="H3182" s="131"/>
      <c r="I3182" s="131"/>
      <c r="J3182" s="132"/>
      <c r="K3182" s="131"/>
    </row>
    <row r="3183" spans="7:11" x14ac:dyDescent="0.2">
      <c r="G3183" s="131"/>
      <c r="H3183" s="131"/>
      <c r="I3183" s="131"/>
      <c r="J3183" s="132"/>
      <c r="K3183" s="131"/>
    </row>
    <row r="3184" spans="7:11" x14ac:dyDescent="0.2">
      <c r="G3184" s="131"/>
      <c r="H3184" s="131"/>
      <c r="I3184" s="131"/>
      <c r="J3184" s="132"/>
      <c r="K3184" s="131"/>
    </row>
    <row r="3185" spans="7:11" x14ac:dyDescent="0.2">
      <c r="G3185" s="131"/>
      <c r="H3185" s="131"/>
      <c r="I3185" s="131"/>
      <c r="J3185" s="132"/>
      <c r="K3185" s="131"/>
    </row>
    <row r="3186" spans="7:11" x14ac:dyDescent="0.2">
      <c r="G3186" s="131"/>
      <c r="H3186" s="131"/>
      <c r="I3186" s="131"/>
      <c r="J3186" s="132"/>
      <c r="K3186" s="131"/>
    </row>
    <row r="3187" spans="7:11" x14ac:dyDescent="0.2">
      <c r="G3187" s="131"/>
      <c r="H3187" s="131"/>
      <c r="I3187" s="131"/>
      <c r="J3187" s="132"/>
      <c r="K3187" s="131"/>
    </row>
    <row r="3188" spans="7:11" x14ac:dyDescent="0.2">
      <c r="G3188" s="131"/>
      <c r="H3188" s="131"/>
      <c r="I3188" s="131"/>
      <c r="J3188" s="132"/>
      <c r="K3188" s="131"/>
    </row>
    <row r="3189" spans="7:11" x14ac:dyDescent="0.2">
      <c r="G3189" s="131"/>
      <c r="H3189" s="131"/>
      <c r="I3189" s="131"/>
      <c r="J3189" s="132"/>
      <c r="K3189" s="131"/>
    </row>
    <row r="3190" spans="7:11" x14ac:dyDescent="0.2">
      <c r="G3190" s="131"/>
      <c r="H3190" s="131"/>
      <c r="I3190" s="131"/>
      <c r="J3190" s="132"/>
      <c r="K3190" s="131"/>
    </row>
    <row r="3191" spans="7:11" x14ac:dyDescent="0.2">
      <c r="G3191" s="131"/>
      <c r="H3191" s="131"/>
      <c r="I3191" s="131"/>
      <c r="J3191" s="132"/>
      <c r="K3191" s="131"/>
    </row>
    <row r="3192" spans="7:11" x14ac:dyDescent="0.2">
      <c r="G3192" s="131"/>
      <c r="H3192" s="131"/>
      <c r="I3192" s="131"/>
      <c r="J3192" s="132"/>
      <c r="K3192" s="131"/>
    </row>
    <row r="3193" spans="7:11" x14ac:dyDescent="0.2">
      <c r="G3193" s="131"/>
      <c r="H3193" s="131"/>
      <c r="I3193" s="131"/>
      <c r="J3193" s="132"/>
      <c r="K3193" s="131"/>
    </row>
    <row r="3194" spans="7:11" x14ac:dyDescent="0.2">
      <c r="G3194" s="131"/>
      <c r="H3194" s="131"/>
      <c r="I3194" s="131"/>
      <c r="J3194" s="132"/>
      <c r="K3194" s="131"/>
    </row>
    <row r="3195" spans="7:11" x14ac:dyDescent="0.2">
      <c r="G3195" s="131"/>
      <c r="H3195" s="131"/>
      <c r="I3195" s="131"/>
      <c r="J3195" s="132"/>
      <c r="K3195" s="131"/>
    </row>
    <row r="3196" spans="7:11" x14ac:dyDescent="0.2">
      <c r="G3196" s="131"/>
      <c r="H3196" s="131"/>
      <c r="I3196" s="131"/>
      <c r="J3196" s="132"/>
      <c r="K3196" s="131"/>
    </row>
    <row r="3197" spans="7:11" x14ac:dyDescent="0.2">
      <c r="G3197" s="131"/>
      <c r="H3197" s="131"/>
      <c r="I3197" s="131"/>
      <c r="J3197" s="132"/>
      <c r="K3197" s="131"/>
    </row>
    <row r="3198" spans="7:11" x14ac:dyDescent="0.2">
      <c r="G3198" s="131"/>
      <c r="H3198" s="131"/>
      <c r="I3198" s="131"/>
      <c r="J3198" s="132"/>
      <c r="K3198" s="131"/>
    </row>
    <row r="3199" spans="7:11" x14ac:dyDescent="0.2">
      <c r="G3199" s="131"/>
      <c r="H3199" s="131"/>
      <c r="I3199" s="131"/>
      <c r="J3199" s="132"/>
      <c r="K3199" s="131"/>
    </row>
    <row r="3200" spans="7:11" x14ac:dyDescent="0.2">
      <c r="G3200" s="131"/>
      <c r="H3200" s="131"/>
      <c r="I3200" s="131"/>
      <c r="J3200" s="132"/>
      <c r="K3200" s="131"/>
    </row>
    <row r="3201" spans="7:11" x14ac:dyDescent="0.2">
      <c r="G3201" s="131"/>
      <c r="H3201" s="131"/>
      <c r="I3201" s="131"/>
      <c r="J3201" s="132"/>
      <c r="K3201" s="131"/>
    </row>
    <row r="3202" spans="7:11" x14ac:dyDescent="0.2">
      <c r="G3202" s="131"/>
      <c r="H3202" s="131"/>
      <c r="I3202" s="131"/>
      <c r="J3202" s="132"/>
      <c r="K3202" s="131"/>
    </row>
    <row r="3203" spans="7:11" x14ac:dyDescent="0.2">
      <c r="G3203" s="131"/>
      <c r="H3203" s="131"/>
      <c r="I3203" s="131"/>
      <c r="J3203" s="132"/>
      <c r="K3203" s="131"/>
    </row>
    <row r="3204" spans="7:11" x14ac:dyDescent="0.2">
      <c r="G3204" s="131"/>
      <c r="H3204" s="131"/>
      <c r="I3204" s="131"/>
      <c r="J3204" s="132"/>
      <c r="K3204" s="131"/>
    </row>
    <row r="3205" spans="7:11" x14ac:dyDescent="0.2">
      <c r="G3205" s="131"/>
      <c r="H3205" s="131"/>
      <c r="I3205" s="131"/>
      <c r="J3205" s="132"/>
      <c r="K3205" s="131"/>
    </row>
    <row r="3206" spans="7:11" x14ac:dyDescent="0.2">
      <c r="G3206" s="131"/>
      <c r="H3206" s="131"/>
      <c r="I3206" s="131"/>
      <c r="J3206" s="132"/>
      <c r="K3206" s="131"/>
    </row>
    <row r="3207" spans="7:11" x14ac:dyDescent="0.2">
      <c r="G3207" s="131"/>
      <c r="H3207" s="131"/>
      <c r="I3207" s="131"/>
      <c r="J3207" s="132"/>
      <c r="K3207" s="131"/>
    </row>
    <row r="3208" spans="7:11" x14ac:dyDescent="0.2">
      <c r="G3208" s="131"/>
      <c r="H3208" s="131"/>
      <c r="I3208" s="131"/>
      <c r="J3208" s="132"/>
      <c r="K3208" s="131"/>
    </row>
    <row r="3209" spans="7:11" x14ac:dyDescent="0.2">
      <c r="G3209" s="131"/>
      <c r="H3209" s="131"/>
      <c r="I3209" s="131"/>
      <c r="J3209" s="132"/>
      <c r="K3209" s="131"/>
    </row>
    <row r="3210" spans="7:11" x14ac:dyDescent="0.2">
      <c r="G3210" s="131"/>
      <c r="H3210" s="131"/>
      <c r="I3210" s="131"/>
      <c r="J3210" s="132"/>
      <c r="K3210" s="131"/>
    </row>
    <row r="3211" spans="7:11" x14ac:dyDescent="0.2">
      <c r="G3211" s="131"/>
      <c r="H3211" s="131"/>
      <c r="I3211" s="131"/>
      <c r="J3211" s="132"/>
      <c r="K3211" s="131"/>
    </row>
    <row r="3212" spans="7:11" x14ac:dyDescent="0.2">
      <c r="G3212" s="131"/>
      <c r="H3212" s="131"/>
      <c r="I3212" s="131"/>
      <c r="J3212" s="132"/>
      <c r="K3212" s="131"/>
    </row>
    <row r="3213" spans="7:11" x14ac:dyDescent="0.2">
      <c r="G3213" s="131"/>
      <c r="H3213" s="131"/>
      <c r="I3213" s="131"/>
      <c r="J3213" s="132"/>
      <c r="K3213" s="131"/>
    </row>
    <row r="3214" spans="7:11" x14ac:dyDescent="0.2">
      <c r="G3214" s="131"/>
      <c r="H3214" s="131"/>
      <c r="I3214" s="131"/>
      <c r="J3214" s="132"/>
      <c r="K3214" s="131"/>
    </row>
    <row r="3215" spans="7:11" x14ac:dyDescent="0.2">
      <c r="G3215" s="131"/>
      <c r="H3215" s="131"/>
      <c r="I3215" s="131"/>
      <c r="J3215" s="132"/>
      <c r="K3215" s="131"/>
    </row>
    <row r="3216" spans="7:11" x14ac:dyDescent="0.2">
      <c r="G3216" s="131"/>
      <c r="H3216" s="131"/>
      <c r="I3216" s="131"/>
      <c r="J3216" s="132"/>
      <c r="K3216" s="131"/>
    </row>
    <row r="3217" spans="7:11" x14ac:dyDescent="0.2">
      <c r="G3217" s="131"/>
      <c r="H3217" s="131"/>
      <c r="I3217" s="131"/>
      <c r="J3217" s="132"/>
      <c r="K3217" s="131"/>
    </row>
    <row r="3218" spans="7:11" x14ac:dyDescent="0.2">
      <c r="G3218" s="131"/>
      <c r="H3218" s="131"/>
      <c r="I3218" s="131"/>
      <c r="J3218" s="132"/>
      <c r="K3218" s="131"/>
    </row>
    <row r="3219" spans="7:11" x14ac:dyDescent="0.2">
      <c r="G3219" s="131"/>
      <c r="H3219" s="131"/>
      <c r="I3219" s="131"/>
      <c r="J3219" s="132"/>
      <c r="K3219" s="131"/>
    </row>
    <row r="3220" spans="7:11" x14ac:dyDescent="0.2">
      <c r="G3220" s="131"/>
      <c r="H3220" s="131"/>
      <c r="I3220" s="131"/>
      <c r="J3220" s="132"/>
      <c r="K3220" s="131"/>
    </row>
    <row r="3221" spans="7:11" x14ac:dyDescent="0.2">
      <c r="G3221" s="131"/>
      <c r="H3221" s="131"/>
      <c r="I3221" s="131"/>
      <c r="J3221" s="132"/>
      <c r="K3221" s="131"/>
    </row>
    <row r="3222" spans="7:11" x14ac:dyDescent="0.2">
      <c r="G3222" s="131"/>
      <c r="H3222" s="131"/>
      <c r="I3222" s="131"/>
      <c r="J3222" s="132"/>
      <c r="K3222" s="131"/>
    </row>
    <row r="3223" spans="7:11" x14ac:dyDescent="0.2">
      <c r="G3223" s="131"/>
      <c r="H3223" s="131"/>
      <c r="I3223" s="131"/>
      <c r="J3223" s="132"/>
      <c r="K3223" s="131"/>
    </row>
    <row r="3224" spans="7:11" x14ac:dyDescent="0.2">
      <c r="G3224" s="131"/>
      <c r="H3224" s="131"/>
      <c r="I3224" s="131"/>
      <c r="J3224" s="132"/>
      <c r="K3224" s="131"/>
    </row>
    <row r="3225" spans="7:11" x14ac:dyDescent="0.2">
      <c r="G3225" s="131"/>
      <c r="H3225" s="131"/>
      <c r="I3225" s="131"/>
      <c r="J3225" s="132"/>
      <c r="K3225" s="131"/>
    </row>
    <row r="3226" spans="7:11" x14ac:dyDescent="0.2">
      <c r="G3226" s="131"/>
      <c r="H3226" s="131"/>
      <c r="I3226" s="131"/>
      <c r="J3226" s="132"/>
      <c r="K3226" s="131"/>
    </row>
    <row r="3227" spans="7:11" x14ac:dyDescent="0.2">
      <c r="G3227" s="131"/>
      <c r="H3227" s="131"/>
      <c r="I3227" s="131"/>
      <c r="J3227" s="132"/>
      <c r="K3227" s="131"/>
    </row>
    <row r="3228" spans="7:11" x14ac:dyDescent="0.2">
      <c r="G3228" s="131"/>
      <c r="H3228" s="131"/>
      <c r="I3228" s="131"/>
      <c r="J3228" s="132"/>
      <c r="K3228" s="131"/>
    </row>
    <row r="3229" spans="7:11" x14ac:dyDescent="0.2">
      <c r="G3229" s="131"/>
      <c r="H3229" s="131"/>
      <c r="I3229" s="131"/>
      <c r="J3229" s="132"/>
      <c r="K3229" s="131"/>
    </row>
    <row r="3230" spans="7:11" x14ac:dyDescent="0.2">
      <c r="G3230" s="131"/>
      <c r="H3230" s="131"/>
      <c r="I3230" s="131"/>
      <c r="J3230" s="132"/>
      <c r="K3230" s="131"/>
    </row>
    <row r="3231" spans="7:11" x14ac:dyDescent="0.2">
      <c r="G3231" s="131"/>
      <c r="H3231" s="131"/>
      <c r="I3231" s="131"/>
      <c r="J3231" s="132"/>
      <c r="K3231" s="131"/>
    </row>
    <row r="3232" spans="7:11" x14ac:dyDescent="0.2">
      <c r="G3232" s="131"/>
      <c r="H3232" s="131"/>
      <c r="I3232" s="131"/>
      <c r="J3232" s="132"/>
      <c r="K3232" s="131"/>
    </row>
    <row r="3233" spans="7:11" x14ac:dyDescent="0.2">
      <c r="G3233" s="131"/>
      <c r="H3233" s="131"/>
      <c r="I3233" s="131"/>
      <c r="J3233" s="132"/>
      <c r="K3233" s="131"/>
    </row>
    <row r="3234" spans="7:11" x14ac:dyDescent="0.2">
      <c r="G3234" s="131"/>
      <c r="H3234" s="131"/>
      <c r="I3234" s="131"/>
      <c r="J3234" s="132"/>
      <c r="K3234" s="131"/>
    </row>
    <row r="3235" spans="7:11" x14ac:dyDescent="0.2">
      <c r="G3235" s="131"/>
      <c r="H3235" s="131"/>
      <c r="I3235" s="131"/>
      <c r="J3235" s="132"/>
      <c r="K3235" s="131"/>
    </row>
    <row r="3236" spans="7:11" x14ac:dyDescent="0.2">
      <c r="G3236" s="131"/>
      <c r="H3236" s="131"/>
      <c r="I3236" s="131"/>
      <c r="J3236" s="132"/>
      <c r="K3236" s="131"/>
    </row>
    <row r="3237" spans="7:11" x14ac:dyDescent="0.2">
      <c r="G3237" s="131"/>
      <c r="H3237" s="131"/>
      <c r="I3237" s="131"/>
      <c r="J3237" s="132"/>
      <c r="K3237" s="131"/>
    </row>
    <row r="3238" spans="7:11" x14ac:dyDescent="0.2">
      <c r="G3238" s="131"/>
      <c r="H3238" s="131"/>
      <c r="I3238" s="131"/>
      <c r="J3238" s="132"/>
      <c r="K3238" s="131"/>
    </row>
    <row r="3239" spans="7:11" x14ac:dyDescent="0.2">
      <c r="G3239" s="131"/>
      <c r="H3239" s="131"/>
      <c r="I3239" s="131"/>
      <c r="J3239" s="132"/>
      <c r="K3239" s="131"/>
    </row>
    <row r="3240" spans="7:11" x14ac:dyDescent="0.2">
      <c r="G3240" s="131"/>
      <c r="H3240" s="131"/>
      <c r="I3240" s="131"/>
      <c r="J3240" s="132"/>
      <c r="K3240" s="131"/>
    </row>
    <row r="3241" spans="7:11" x14ac:dyDescent="0.2">
      <c r="G3241" s="131"/>
      <c r="H3241" s="131"/>
      <c r="I3241" s="131"/>
      <c r="J3241" s="132"/>
      <c r="K3241" s="131"/>
    </row>
    <row r="3242" spans="7:11" x14ac:dyDescent="0.2">
      <c r="G3242" s="131"/>
      <c r="H3242" s="131"/>
      <c r="I3242" s="131"/>
      <c r="J3242" s="132"/>
      <c r="K3242" s="131"/>
    </row>
    <row r="3243" spans="7:11" x14ac:dyDescent="0.2">
      <c r="G3243" s="131"/>
      <c r="H3243" s="131"/>
      <c r="I3243" s="131"/>
      <c r="J3243" s="132"/>
      <c r="K3243" s="131"/>
    </row>
    <row r="3244" spans="7:11" x14ac:dyDescent="0.2">
      <c r="G3244" s="131"/>
      <c r="H3244" s="131"/>
      <c r="I3244" s="131"/>
      <c r="J3244" s="132"/>
      <c r="K3244" s="131"/>
    </row>
    <row r="3245" spans="7:11" x14ac:dyDescent="0.2">
      <c r="G3245" s="131"/>
      <c r="H3245" s="131"/>
      <c r="I3245" s="131"/>
      <c r="J3245" s="132"/>
      <c r="K3245" s="131"/>
    </row>
    <row r="3246" spans="7:11" x14ac:dyDescent="0.2">
      <c r="G3246" s="131"/>
      <c r="H3246" s="131"/>
      <c r="I3246" s="131"/>
      <c r="J3246" s="132"/>
      <c r="K3246" s="131"/>
    </row>
    <row r="3247" spans="7:11" x14ac:dyDescent="0.2">
      <c r="G3247" s="131"/>
      <c r="H3247" s="131"/>
      <c r="I3247" s="131"/>
      <c r="J3247" s="132"/>
      <c r="K3247" s="131"/>
    </row>
    <row r="3248" spans="7:11" x14ac:dyDescent="0.2">
      <c r="G3248" s="131"/>
      <c r="H3248" s="131"/>
      <c r="I3248" s="131"/>
      <c r="J3248" s="132"/>
      <c r="K3248" s="131"/>
    </row>
    <row r="3249" spans="7:11" x14ac:dyDescent="0.2">
      <c r="G3249" s="131"/>
      <c r="H3249" s="131"/>
      <c r="I3249" s="131"/>
      <c r="J3249" s="132"/>
      <c r="K3249" s="131"/>
    </row>
    <row r="3250" spans="7:11" x14ac:dyDescent="0.2">
      <c r="G3250" s="131"/>
      <c r="H3250" s="131"/>
      <c r="I3250" s="131"/>
      <c r="J3250" s="132"/>
      <c r="K3250" s="131"/>
    </row>
    <row r="3251" spans="7:11" x14ac:dyDescent="0.2">
      <c r="G3251" s="131"/>
      <c r="H3251" s="131"/>
      <c r="I3251" s="131"/>
      <c r="J3251" s="132"/>
      <c r="K3251" s="131"/>
    </row>
    <row r="3252" spans="7:11" x14ac:dyDescent="0.2">
      <c r="G3252" s="131"/>
      <c r="H3252" s="131"/>
      <c r="I3252" s="131"/>
      <c r="J3252" s="132"/>
      <c r="K3252" s="131"/>
    </row>
    <row r="3253" spans="7:11" x14ac:dyDescent="0.2">
      <c r="G3253" s="131"/>
      <c r="H3253" s="131"/>
      <c r="I3253" s="131"/>
      <c r="J3253" s="132"/>
      <c r="K3253" s="131"/>
    </row>
    <row r="3254" spans="7:11" x14ac:dyDescent="0.2">
      <c r="G3254" s="131"/>
      <c r="H3254" s="131"/>
      <c r="I3254" s="131"/>
      <c r="J3254" s="132"/>
      <c r="K3254" s="131"/>
    </row>
    <row r="3255" spans="7:11" x14ac:dyDescent="0.2">
      <c r="G3255" s="131"/>
      <c r="H3255" s="131"/>
      <c r="I3255" s="131"/>
      <c r="J3255" s="132"/>
      <c r="K3255" s="131"/>
    </row>
    <row r="3256" spans="7:11" x14ac:dyDescent="0.2">
      <c r="G3256" s="131"/>
      <c r="H3256" s="131"/>
      <c r="I3256" s="131"/>
      <c r="J3256" s="132"/>
      <c r="K3256" s="131"/>
    </row>
    <row r="3257" spans="7:11" x14ac:dyDescent="0.2">
      <c r="G3257" s="131"/>
      <c r="H3257" s="131"/>
      <c r="I3257" s="131"/>
      <c r="J3257" s="132"/>
      <c r="K3257" s="131"/>
    </row>
    <row r="3258" spans="7:11" x14ac:dyDescent="0.2">
      <c r="G3258" s="131"/>
      <c r="H3258" s="131"/>
      <c r="I3258" s="131"/>
      <c r="J3258" s="132"/>
      <c r="K3258" s="131"/>
    </row>
    <row r="3259" spans="7:11" x14ac:dyDescent="0.2">
      <c r="G3259" s="131"/>
      <c r="H3259" s="131"/>
      <c r="I3259" s="131"/>
      <c r="J3259" s="132"/>
      <c r="K3259" s="131"/>
    </row>
    <row r="3260" spans="7:11" x14ac:dyDescent="0.2">
      <c r="G3260" s="131"/>
      <c r="H3260" s="131"/>
      <c r="I3260" s="131"/>
      <c r="J3260" s="132"/>
      <c r="K3260" s="131"/>
    </row>
    <row r="3261" spans="7:11" x14ac:dyDescent="0.2">
      <c r="G3261" s="131"/>
      <c r="H3261" s="131"/>
      <c r="I3261" s="131"/>
      <c r="J3261" s="132"/>
      <c r="K3261" s="131"/>
    </row>
    <row r="3262" spans="7:11" x14ac:dyDescent="0.2">
      <c r="G3262" s="131"/>
      <c r="H3262" s="131"/>
      <c r="I3262" s="131"/>
      <c r="J3262" s="132"/>
      <c r="K3262" s="131"/>
    </row>
    <row r="3263" spans="7:11" x14ac:dyDescent="0.2">
      <c r="G3263" s="131"/>
      <c r="H3263" s="131"/>
      <c r="I3263" s="131"/>
      <c r="J3263" s="132"/>
      <c r="K3263" s="131"/>
    </row>
    <row r="3264" spans="7:11" x14ac:dyDescent="0.2">
      <c r="G3264" s="131"/>
      <c r="H3264" s="131"/>
      <c r="I3264" s="131"/>
      <c r="J3264" s="132"/>
      <c r="K3264" s="131"/>
    </row>
    <row r="3265" spans="7:11" x14ac:dyDescent="0.2">
      <c r="G3265" s="131"/>
      <c r="H3265" s="131"/>
      <c r="I3265" s="131"/>
      <c r="J3265" s="132"/>
      <c r="K3265" s="131"/>
    </row>
    <row r="3266" spans="7:11" x14ac:dyDescent="0.2">
      <c r="G3266" s="131"/>
      <c r="H3266" s="131"/>
      <c r="I3266" s="131"/>
      <c r="J3266" s="132"/>
      <c r="K3266" s="131"/>
    </row>
    <row r="3267" spans="7:11" x14ac:dyDescent="0.2">
      <c r="G3267" s="131"/>
      <c r="H3267" s="131"/>
      <c r="I3267" s="131"/>
      <c r="J3267" s="132"/>
      <c r="K3267" s="131"/>
    </row>
    <row r="3268" spans="7:11" x14ac:dyDescent="0.2">
      <c r="G3268" s="131"/>
      <c r="H3268" s="131"/>
      <c r="I3268" s="131"/>
      <c r="J3268" s="132"/>
      <c r="K3268" s="131"/>
    </row>
    <row r="3269" spans="7:11" x14ac:dyDescent="0.2">
      <c r="G3269" s="131"/>
      <c r="H3269" s="131"/>
      <c r="I3269" s="131"/>
      <c r="J3269" s="132"/>
      <c r="K3269" s="131"/>
    </row>
    <row r="3270" spans="7:11" x14ac:dyDescent="0.2">
      <c r="G3270" s="131"/>
      <c r="H3270" s="131"/>
      <c r="I3270" s="131"/>
      <c r="J3270" s="132"/>
      <c r="K3270" s="131"/>
    </row>
    <row r="3271" spans="7:11" x14ac:dyDescent="0.2">
      <c r="G3271" s="131"/>
      <c r="H3271" s="131"/>
      <c r="I3271" s="131"/>
      <c r="J3271" s="132"/>
      <c r="K3271" s="131"/>
    </row>
    <row r="3272" spans="7:11" x14ac:dyDescent="0.2">
      <c r="G3272" s="131"/>
      <c r="H3272" s="131"/>
      <c r="I3272" s="131"/>
      <c r="J3272" s="132"/>
      <c r="K3272" s="131"/>
    </row>
    <row r="3273" spans="7:11" x14ac:dyDescent="0.2">
      <c r="G3273" s="131"/>
      <c r="H3273" s="131"/>
      <c r="I3273" s="131"/>
      <c r="J3273" s="132"/>
      <c r="K3273" s="131"/>
    </row>
    <row r="3274" spans="7:11" x14ac:dyDescent="0.2">
      <c r="G3274" s="131"/>
      <c r="H3274" s="131"/>
      <c r="I3274" s="131"/>
      <c r="J3274" s="132"/>
      <c r="K3274" s="131"/>
    </row>
    <row r="3275" spans="7:11" x14ac:dyDescent="0.2">
      <c r="G3275" s="131"/>
      <c r="H3275" s="131"/>
      <c r="I3275" s="131"/>
      <c r="J3275" s="132"/>
      <c r="K3275" s="131"/>
    </row>
    <row r="3276" spans="7:11" x14ac:dyDescent="0.2">
      <c r="G3276" s="131"/>
      <c r="H3276" s="131"/>
      <c r="I3276" s="131"/>
      <c r="J3276" s="132"/>
      <c r="K3276" s="131"/>
    </row>
    <row r="3277" spans="7:11" x14ac:dyDescent="0.2">
      <c r="G3277" s="131"/>
      <c r="H3277" s="131"/>
      <c r="I3277" s="131"/>
      <c r="J3277" s="132"/>
      <c r="K3277" s="131"/>
    </row>
    <row r="3278" spans="7:11" x14ac:dyDescent="0.2">
      <c r="G3278" s="131"/>
      <c r="H3278" s="131"/>
      <c r="I3278" s="131"/>
      <c r="J3278" s="132"/>
      <c r="K3278" s="131"/>
    </row>
    <row r="3279" spans="7:11" x14ac:dyDescent="0.2">
      <c r="G3279" s="131"/>
      <c r="H3279" s="131"/>
      <c r="I3279" s="131"/>
      <c r="J3279" s="132"/>
      <c r="K3279" s="131"/>
    </row>
    <row r="3280" spans="7:11" x14ac:dyDescent="0.2">
      <c r="G3280" s="131"/>
      <c r="H3280" s="131"/>
      <c r="I3280" s="131"/>
      <c r="J3280" s="132"/>
      <c r="K3280" s="131"/>
    </row>
    <row r="3281" spans="7:11" x14ac:dyDescent="0.2">
      <c r="G3281" s="131"/>
      <c r="H3281" s="131"/>
      <c r="I3281" s="131"/>
      <c r="J3281" s="132"/>
      <c r="K3281" s="131"/>
    </row>
    <row r="3282" spans="7:11" x14ac:dyDescent="0.2">
      <c r="G3282" s="131"/>
      <c r="H3282" s="131"/>
      <c r="I3282" s="131"/>
      <c r="J3282" s="132"/>
      <c r="K3282" s="131"/>
    </row>
    <row r="3283" spans="7:11" x14ac:dyDescent="0.2">
      <c r="G3283" s="131"/>
      <c r="H3283" s="131"/>
      <c r="I3283" s="131"/>
      <c r="J3283" s="132"/>
      <c r="K3283" s="131"/>
    </row>
    <row r="3284" spans="7:11" x14ac:dyDescent="0.2">
      <c r="G3284" s="131"/>
      <c r="H3284" s="131"/>
      <c r="I3284" s="131"/>
      <c r="J3284" s="132"/>
      <c r="K3284" s="131"/>
    </row>
    <row r="3285" spans="7:11" x14ac:dyDescent="0.2">
      <c r="G3285" s="131"/>
      <c r="H3285" s="131"/>
      <c r="I3285" s="131"/>
      <c r="J3285" s="132"/>
      <c r="K3285" s="131"/>
    </row>
    <row r="3286" spans="7:11" x14ac:dyDescent="0.2">
      <c r="G3286" s="131"/>
      <c r="H3286" s="131"/>
      <c r="I3286" s="131"/>
      <c r="J3286" s="132"/>
      <c r="K3286" s="131"/>
    </row>
    <row r="3287" spans="7:11" x14ac:dyDescent="0.2">
      <c r="G3287" s="131"/>
      <c r="H3287" s="131"/>
      <c r="I3287" s="131"/>
      <c r="J3287" s="132"/>
      <c r="K3287" s="131"/>
    </row>
    <row r="3288" spans="7:11" x14ac:dyDescent="0.2">
      <c r="G3288" s="131"/>
      <c r="H3288" s="131"/>
      <c r="I3288" s="131"/>
      <c r="J3288" s="132"/>
      <c r="K3288" s="131"/>
    </row>
    <row r="3289" spans="7:11" x14ac:dyDescent="0.2">
      <c r="G3289" s="131"/>
      <c r="H3289" s="131"/>
      <c r="I3289" s="131"/>
      <c r="J3289" s="132"/>
      <c r="K3289" s="131"/>
    </row>
    <row r="3290" spans="7:11" x14ac:dyDescent="0.2">
      <c r="G3290" s="131"/>
      <c r="H3290" s="131"/>
      <c r="I3290" s="131"/>
      <c r="J3290" s="132"/>
      <c r="K3290" s="131"/>
    </row>
    <row r="3291" spans="7:11" x14ac:dyDescent="0.2">
      <c r="G3291" s="131"/>
      <c r="H3291" s="131"/>
      <c r="I3291" s="131"/>
      <c r="J3291" s="132"/>
      <c r="K3291" s="131"/>
    </row>
    <row r="3292" spans="7:11" x14ac:dyDescent="0.2">
      <c r="G3292" s="131"/>
      <c r="H3292" s="131"/>
      <c r="I3292" s="131"/>
      <c r="J3292" s="132"/>
      <c r="K3292" s="131"/>
    </row>
    <row r="3293" spans="7:11" x14ac:dyDescent="0.2">
      <c r="G3293" s="131"/>
      <c r="H3293" s="131"/>
      <c r="I3293" s="131"/>
      <c r="J3293" s="132"/>
      <c r="K3293" s="131"/>
    </row>
    <row r="3294" spans="7:11" x14ac:dyDescent="0.2">
      <c r="G3294" s="131"/>
      <c r="H3294" s="131"/>
      <c r="I3294" s="131"/>
      <c r="J3294" s="132"/>
      <c r="K3294" s="131"/>
    </row>
    <row r="3295" spans="7:11" x14ac:dyDescent="0.2">
      <c r="G3295" s="131"/>
      <c r="H3295" s="131"/>
      <c r="I3295" s="131"/>
      <c r="J3295" s="132"/>
      <c r="K3295" s="131"/>
    </row>
    <row r="3296" spans="7:11" x14ac:dyDescent="0.2">
      <c r="G3296" s="131"/>
      <c r="H3296" s="131"/>
      <c r="I3296" s="131"/>
      <c r="J3296" s="132"/>
      <c r="K3296" s="131"/>
    </row>
    <row r="3297" spans="7:11" x14ac:dyDescent="0.2">
      <c r="G3297" s="131"/>
      <c r="H3297" s="131"/>
      <c r="I3297" s="131"/>
      <c r="J3297" s="132"/>
      <c r="K3297" s="131"/>
    </row>
    <row r="3298" spans="7:11" x14ac:dyDescent="0.2">
      <c r="G3298" s="131"/>
      <c r="H3298" s="131"/>
      <c r="I3298" s="131"/>
      <c r="J3298" s="132"/>
      <c r="K3298" s="131"/>
    </row>
    <row r="3299" spans="7:11" x14ac:dyDescent="0.2">
      <c r="G3299" s="131"/>
      <c r="H3299" s="131"/>
      <c r="I3299" s="131"/>
      <c r="J3299" s="132"/>
      <c r="K3299" s="131"/>
    </row>
    <row r="3300" spans="7:11" x14ac:dyDescent="0.2">
      <c r="G3300" s="131"/>
      <c r="H3300" s="131"/>
      <c r="I3300" s="131"/>
      <c r="J3300" s="132"/>
      <c r="K3300" s="131"/>
    </row>
    <row r="3301" spans="7:11" x14ac:dyDescent="0.2">
      <c r="G3301" s="131"/>
      <c r="H3301" s="131"/>
      <c r="I3301" s="131"/>
      <c r="J3301" s="132"/>
      <c r="K3301" s="131"/>
    </row>
    <row r="3302" spans="7:11" x14ac:dyDescent="0.2">
      <c r="G3302" s="131"/>
      <c r="H3302" s="131"/>
      <c r="I3302" s="131"/>
      <c r="J3302" s="132"/>
      <c r="K3302" s="131"/>
    </row>
    <row r="3303" spans="7:11" x14ac:dyDescent="0.2">
      <c r="G3303" s="131"/>
      <c r="H3303" s="131"/>
      <c r="I3303" s="131"/>
      <c r="J3303" s="132"/>
      <c r="K3303" s="131"/>
    </row>
    <row r="3304" spans="7:11" x14ac:dyDescent="0.2">
      <c r="G3304" s="131"/>
      <c r="H3304" s="131"/>
      <c r="I3304" s="131"/>
      <c r="J3304" s="132"/>
      <c r="K3304" s="131"/>
    </row>
    <row r="3305" spans="7:11" x14ac:dyDescent="0.2">
      <c r="G3305" s="131"/>
      <c r="H3305" s="131"/>
      <c r="I3305" s="131"/>
      <c r="J3305" s="132"/>
      <c r="K3305" s="131"/>
    </row>
    <row r="3306" spans="7:11" x14ac:dyDescent="0.2">
      <c r="G3306" s="131"/>
      <c r="H3306" s="131"/>
      <c r="I3306" s="131"/>
      <c r="J3306" s="132"/>
      <c r="K3306" s="131"/>
    </row>
    <row r="3307" spans="7:11" x14ac:dyDescent="0.2">
      <c r="G3307" s="131"/>
      <c r="H3307" s="131"/>
      <c r="I3307" s="131"/>
      <c r="J3307" s="132"/>
      <c r="K3307" s="131"/>
    </row>
    <row r="3308" spans="7:11" x14ac:dyDescent="0.2">
      <c r="G3308" s="131"/>
      <c r="H3308" s="131"/>
      <c r="I3308" s="131"/>
      <c r="J3308" s="132"/>
      <c r="K3308" s="131"/>
    </row>
    <row r="3309" spans="7:11" x14ac:dyDescent="0.2">
      <c r="G3309" s="131"/>
      <c r="H3309" s="131"/>
      <c r="I3309" s="131"/>
      <c r="J3309" s="132"/>
      <c r="K3309" s="131"/>
    </row>
    <row r="3310" spans="7:11" x14ac:dyDescent="0.2">
      <c r="G3310" s="131"/>
      <c r="H3310" s="131"/>
      <c r="I3310" s="131"/>
      <c r="J3310" s="132"/>
      <c r="K3310" s="131"/>
    </row>
    <row r="3311" spans="7:11" x14ac:dyDescent="0.2">
      <c r="G3311" s="131"/>
      <c r="H3311" s="131"/>
      <c r="I3311" s="131"/>
      <c r="J3311" s="132"/>
      <c r="K3311" s="131"/>
    </row>
    <row r="3312" spans="7:11" x14ac:dyDescent="0.2">
      <c r="G3312" s="131"/>
      <c r="H3312" s="131"/>
      <c r="I3312" s="131"/>
      <c r="J3312" s="132"/>
      <c r="K3312" s="131"/>
    </row>
    <row r="3313" spans="7:11" x14ac:dyDescent="0.2">
      <c r="G3313" s="131"/>
      <c r="H3313" s="131"/>
      <c r="I3313" s="131"/>
      <c r="J3313" s="132"/>
      <c r="K3313" s="131"/>
    </row>
    <row r="3314" spans="7:11" x14ac:dyDescent="0.2">
      <c r="G3314" s="131"/>
      <c r="H3314" s="131"/>
      <c r="I3314" s="131"/>
      <c r="J3314" s="132"/>
      <c r="K3314" s="131"/>
    </row>
    <row r="3315" spans="7:11" x14ac:dyDescent="0.2">
      <c r="G3315" s="131"/>
      <c r="H3315" s="131"/>
      <c r="I3315" s="131"/>
      <c r="J3315" s="132"/>
      <c r="K3315" s="131"/>
    </row>
    <row r="3316" spans="7:11" x14ac:dyDescent="0.2">
      <c r="G3316" s="131"/>
      <c r="H3316" s="131"/>
      <c r="I3316" s="131"/>
      <c r="J3316" s="132"/>
      <c r="K3316" s="131"/>
    </row>
    <row r="3317" spans="7:11" x14ac:dyDescent="0.2">
      <c r="G3317" s="131"/>
      <c r="H3317" s="131"/>
      <c r="I3317" s="131"/>
      <c r="J3317" s="132"/>
      <c r="K3317" s="131"/>
    </row>
    <row r="3318" spans="7:11" x14ac:dyDescent="0.2">
      <c r="G3318" s="131"/>
      <c r="H3318" s="131"/>
      <c r="I3318" s="131"/>
      <c r="J3318" s="132"/>
      <c r="K3318" s="131"/>
    </row>
    <row r="3319" spans="7:11" x14ac:dyDescent="0.2">
      <c r="G3319" s="131"/>
      <c r="H3319" s="131"/>
      <c r="I3319" s="131"/>
      <c r="J3319" s="132"/>
      <c r="K3319" s="131"/>
    </row>
    <row r="3320" spans="7:11" x14ac:dyDescent="0.2">
      <c r="G3320" s="131"/>
      <c r="H3320" s="131"/>
      <c r="I3320" s="131"/>
      <c r="J3320" s="132"/>
      <c r="K3320" s="131"/>
    </row>
    <row r="3321" spans="7:11" x14ac:dyDescent="0.2">
      <c r="G3321" s="131"/>
      <c r="H3321" s="131"/>
      <c r="I3321" s="131"/>
      <c r="J3321" s="132"/>
      <c r="K3321" s="131"/>
    </row>
    <row r="3322" spans="7:11" x14ac:dyDescent="0.2">
      <c r="G3322" s="131"/>
      <c r="H3322" s="131"/>
      <c r="I3322" s="131"/>
      <c r="J3322" s="132"/>
      <c r="K3322" s="131"/>
    </row>
    <row r="3323" spans="7:11" x14ac:dyDescent="0.2">
      <c r="G3323" s="131"/>
      <c r="H3323" s="131"/>
      <c r="I3323" s="131"/>
      <c r="J3323" s="132"/>
      <c r="K3323" s="131"/>
    </row>
    <row r="3324" spans="7:11" x14ac:dyDescent="0.2">
      <c r="G3324" s="131"/>
      <c r="H3324" s="131"/>
      <c r="I3324" s="131"/>
      <c r="J3324" s="132"/>
      <c r="K3324" s="131"/>
    </row>
    <row r="3325" spans="7:11" x14ac:dyDescent="0.2">
      <c r="G3325" s="131"/>
      <c r="H3325" s="131"/>
      <c r="I3325" s="131"/>
      <c r="J3325" s="132"/>
      <c r="K3325" s="131"/>
    </row>
    <row r="3326" spans="7:11" x14ac:dyDescent="0.2">
      <c r="G3326" s="131"/>
      <c r="H3326" s="131"/>
      <c r="I3326" s="131"/>
      <c r="J3326" s="132"/>
      <c r="K3326" s="131"/>
    </row>
    <row r="3327" spans="7:11" x14ac:dyDescent="0.2">
      <c r="G3327" s="131"/>
      <c r="H3327" s="131"/>
      <c r="I3327" s="131"/>
      <c r="J3327" s="132"/>
      <c r="K3327" s="131"/>
    </row>
    <row r="3328" spans="7:11" x14ac:dyDescent="0.2">
      <c r="G3328" s="131"/>
      <c r="H3328" s="131"/>
      <c r="I3328" s="131"/>
      <c r="J3328" s="132"/>
      <c r="K3328" s="131"/>
    </row>
    <row r="3329" spans="7:11" x14ac:dyDescent="0.2">
      <c r="G3329" s="131"/>
      <c r="H3329" s="131"/>
      <c r="I3329" s="131"/>
      <c r="J3329" s="132"/>
      <c r="K3329" s="131"/>
    </row>
    <row r="3330" spans="7:11" x14ac:dyDescent="0.2">
      <c r="G3330" s="131"/>
      <c r="H3330" s="131"/>
      <c r="I3330" s="131"/>
      <c r="J3330" s="132"/>
      <c r="K3330" s="131"/>
    </row>
    <row r="3331" spans="7:11" x14ac:dyDescent="0.2">
      <c r="G3331" s="131"/>
      <c r="H3331" s="131"/>
      <c r="I3331" s="131"/>
      <c r="J3331" s="132"/>
      <c r="K3331" s="131"/>
    </row>
    <row r="3332" spans="7:11" x14ac:dyDescent="0.2">
      <c r="G3332" s="131"/>
      <c r="H3332" s="131"/>
      <c r="I3332" s="131"/>
      <c r="J3332" s="132"/>
      <c r="K3332" s="131"/>
    </row>
    <row r="3333" spans="7:11" x14ac:dyDescent="0.2">
      <c r="G3333" s="131"/>
      <c r="H3333" s="131"/>
      <c r="I3333" s="131"/>
      <c r="J3333" s="132"/>
      <c r="K3333" s="131"/>
    </row>
    <row r="3334" spans="7:11" x14ac:dyDescent="0.2">
      <c r="G3334" s="131"/>
      <c r="H3334" s="131"/>
      <c r="I3334" s="131"/>
      <c r="J3334" s="132"/>
      <c r="K3334" s="131"/>
    </row>
    <row r="3335" spans="7:11" x14ac:dyDescent="0.2">
      <c r="G3335" s="131"/>
      <c r="H3335" s="131"/>
      <c r="I3335" s="131"/>
      <c r="J3335" s="132"/>
      <c r="K3335" s="131"/>
    </row>
    <row r="3336" spans="7:11" x14ac:dyDescent="0.2">
      <c r="G3336" s="131"/>
      <c r="H3336" s="131"/>
      <c r="I3336" s="131"/>
      <c r="J3336" s="132"/>
      <c r="K3336" s="131"/>
    </row>
    <row r="3337" spans="7:11" x14ac:dyDescent="0.2">
      <c r="G3337" s="131"/>
      <c r="H3337" s="131"/>
      <c r="I3337" s="131"/>
      <c r="J3337" s="132"/>
      <c r="K3337" s="131"/>
    </row>
    <row r="3338" spans="7:11" x14ac:dyDescent="0.2">
      <c r="G3338" s="131"/>
      <c r="H3338" s="131"/>
      <c r="I3338" s="131"/>
      <c r="J3338" s="132"/>
      <c r="K3338" s="131"/>
    </row>
    <row r="3339" spans="7:11" x14ac:dyDescent="0.2">
      <c r="G3339" s="131"/>
      <c r="H3339" s="131"/>
      <c r="I3339" s="131"/>
      <c r="J3339" s="132"/>
      <c r="K3339" s="131"/>
    </row>
    <row r="3340" spans="7:11" x14ac:dyDescent="0.2">
      <c r="G3340" s="131"/>
      <c r="H3340" s="131"/>
      <c r="I3340" s="131"/>
      <c r="J3340" s="132"/>
      <c r="K3340" s="131"/>
    </row>
    <row r="3341" spans="7:11" x14ac:dyDescent="0.2">
      <c r="G3341" s="131"/>
      <c r="H3341" s="131"/>
      <c r="I3341" s="131"/>
      <c r="J3341" s="132"/>
      <c r="K3341" s="131"/>
    </row>
    <row r="3342" spans="7:11" x14ac:dyDescent="0.2">
      <c r="G3342" s="131"/>
      <c r="H3342" s="131"/>
      <c r="I3342" s="131"/>
      <c r="J3342" s="132"/>
      <c r="K3342" s="131"/>
    </row>
    <row r="3343" spans="7:11" x14ac:dyDescent="0.2">
      <c r="G3343" s="131"/>
      <c r="H3343" s="131"/>
      <c r="I3343" s="131"/>
      <c r="J3343" s="132"/>
      <c r="K3343" s="131"/>
    </row>
    <row r="3344" spans="7:11" x14ac:dyDescent="0.2">
      <c r="G3344" s="131"/>
      <c r="H3344" s="131"/>
      <c r="I3344" s="131"/>
      <c r="J3344" s="132"/>
      <c r="K3344" s="131"/>
    </row>
    <row r="3345" spans="7:11" x14ac:dyDescent="0.2">
      <c r="G3345" s="131"/>
      <c r="H3345" s="131"/>
      <c r="I3345" s="131"/>
      <c r="J3345" s="132"/>
      <c r="K3345" s="131"/>
    </row>
    <row r="3346" spans="7:11" x14ac:dyDescent="0.2">
      <c r="G3346" s="131"/>
      <c r="H3346" s="131"/>
      <c r="I3346" s="131"/>
      <c r="J3346" s="132"/>
      <c r="K3346" s="131"/>
    </row>
    <row r="3347" spans="7:11" x14ac:dyDescent="0.2">
      <c r="G3347" s="131"/>
      <c r="H3347" s="131"/>
      <c r="I3347" s="131"/>
      <c r="J3347" s="132"/>
      <c r="K3347" s="131"/>
    </row>
    <row r="3348" spans="7:11" x14ac:dyDescent="0.2">
      <c r="G3348" s="131"/>
      <c r="H3348" s="131"/>
      <c r="I3348" s="131"/>
      <c r="J3348" s="132"/>
      <c r="K3348" s="131"/>
    </row>
    <row r="3349" spans="7:11" x14ac:dyDescent="0.2">
      <c r="G3349" s="131"/>
      <c r="H3349" s="131"/>
      <c r="I3349" s="131"/>
      <c r="J3349" s="132"/>
      <c r="K3349" s="131"/>
    </row>
    <row r="3350" spans="7:11" x14ac:dyDescent="0.2">
      <c r="G3350" s="131"/>
      <c r="H3350" s="131"/>
      <c r="I3350" s="131"/>
      <c r="J3350" s="132"/>
      <c r="K3350" s="131"/>
    </row>
    <row r="3351" spans="7:11" x14ac:dyDescent="0.2">
      <c r="G3351" s="131"/>
      <c r="H3351" s="131"/>
      <c r="I3351" s="131"/>
      <c r="J3351" s="132"/>
      <c r="K3351" s="131"/>
    </row>
    <row r="3352" spans="7:11" x14ac:dyDescent="0.2">
      <c r="G3352" s="131"/>
      <c r="H3352" s="131"/>
      <c r="I3352" s="131"/>
      <c r="J3352" s="132"/>
      <c r="K3352" s="131"/>
    </row>
    <row r="3353" spans="7:11" x14ac:dyDescent="0.2">
      <c r="G3353" s="131"/>
      <c r="H3353" s="131"/>
      <c r="I3353" s="131"/>
      <c r="J3353" s="132"/>
      <c r="K3353" s="131"/>
    </row>
    <row r="3354" spans="7:11" x14ac:dyDescent="0.2">
      <c r="G3354" s="131"/>
      <c r="H3354" s="131"/>
      <c r="I3354" s="131"/>
      <c r="J3354" s="132"/>
      <c r="K3354" s="131"/>
    </row>
    <row r="3355" spans="7:11" x14ac:dyDescent="0.2">
      <c r="G3355" s="131"/>
      <c r="H3355" s="131"/>
      <c r="I3355" s="131"/>
      <c r="J3355" s="132"/>
      <c r="K3355" s="131"/>
    </row>
    <row r="3356" spans="7:11" x14ac:dyDescent="0.2">
      <c r="G3356" s="131"/>
      <c r="H3356" s="131"/>
      <c r="I3356" s="131"/>
      <c r="J3356" s="132"/>
      <c r="K3356" s="131"/>
    </row>
    <row r="3357" spans="7:11" x14ac:dyDescent="0.2">
      <c r="G3357" s="131"/>
      <c r="H3357" s="131"/>
      <c r="I3357" s="131"/>
      <c r="J3357" s="132"/>
      <c r="K3357" s="131"/>
    </row>
    <row r="3358" spans="7:11" x14ac:dyDescent="0.2">
      <c r="G3358" s="131"/>
      <c r="H3358" s="131"/>
      <c r="I3358" s="131"/>
      <c r="J3358" s="132"/>
      <c r="K3358" s="131"/>
    </row>
    <row r="3359" spans="7:11" x14ac:dyDescent="0.2">
      <c r="G3359" s="131"/>
      <c r="H3359" s="131"/>
      <c r="I3359" s="131"/>
      <c r="J3359" s="132"/>
      <c r="K3359" s="131"/>
    </row>
    <row r="3360" spans="7:11" x14ac:dyDescent="0.2">
      <c r="G3360" s="131"/>
      <c r="H3360" s="131"/>
      <c r="I3360" s="131"/>
      <c r="J3360" s="132"/>
      <c r="K3360" s="131"/>
    </row>
    <row r="3361" spans="7:11" x14ac:dyDescent="0.2">
      <c r="G3361" s="131"/>
      <c r="H3361" s="131"/>
      <c r="I3361" s="131"/>
      <c r="J3361" s="132"/>
      <c r="K3361" s="131"/>
    </row>
    <row r="3362" spans="7:11" x14ac:dyDescent="0.2">
      <c r="G3362" s="131"/>
      <c r="H3362" s="131"/>
      <c r="I3362" s="131"/>
      <c r="J3362" s="132"/>
      <c r="K3362" s="131"/>
    </row>
    <row r="3363" spans="7:11" x14ac:dyDescent="0.2">
      <c r="G3363" s="131"/>
      <c r="H3363" s="131"/>
      <c r="I3363" s="131"/>
      <c r="J3363" s="132"/>
      <c r="K3363" s="131"/>
    </row>
    <row r="3364" spans="7:11" x14ac:dyDescent="0.2">
      <c r="G3364" s="131"/>
      <c r="H3364" s="131"/>
      <c r="I3364" s="131"/>
      <c r="J3364" s="132"/>
      <c r="K3364" s="131"/>
    </row>
    <row r="3365" spans="7:11" x14ac:dyDescent="0.2">
      <c r="G3365" s="131"/>
      <c r="H3365" s="131"/>
      <c r="I3365" s="131"/>
      <c r="J3365" s="132"/>
      <c r="K3365" s="131"/>
    </row>
    <row r="3366" spans="7:11" x14ac:dyDescent="0.2">
      <c r="G3366" s="131"/>
      <c r="H3366" s="131"/>
      <c r="I3366" s="131"/>
      <c r="J3366" s="132"/>
      <c r="K3366" s="131"/>
    </row>
    <row r="3367" spans="7:11" x14ac:dyDescent="0.2">
      <c r="G3367" s="131"/>
      <c r="H3367" s="131"/>
      <c r="I3367" s="131"/>
      <c r="J3367" s="132"/>
      <c r="K3367" s="131"/>
    </row>
    <row r="3368" spans="7:11" x14ac:dyDescent="0.2">
      <c r="G3368" s="131"/>
      <c r="H3368" s="131"/>
      <c r="I3368" s="131"/>
      <c r="J3368" s="132"/>
      <c r="K3368" s="131"/>
    </row>
    <row r="3369" spans="7:11" x14ac:dyDescent="0.2">
      <c r="G3369" s="131"/>
      <c r="H3369" s="131"/>
      <c r="I3369" s="131"/>
      <c r="J3369" s="132"/>
      <c r="K3369" s="131"/>
    </row>
    <row r="3370" spans="7:11" x14ac:dyDescent="0.2">
      <c r="G3370" s="131"/>
      <c r="H3370" s="131"/>
      <c r="I3370" s="131"/>
      <c r="J3370" s="132"/>
      <c r="K3370" s="131"/>
    </row>
    <row r="3371" spans="7:11" x14ac:dyDescent="0.2">
      <c r="G3371" s="131"/>
      <c r="H3371" s="131"/>
      <c r="I3371" s="131"/>
      <c r="J3371" s="132"/>
      <c r="K3371" s="131"/>
    </row>
    <row r="3372" spans="7:11" x14ac:dyDescent="0.2">
      <c r="G3372" s="131"/>
      <c r="H3372" s="131"/>
      <c r="I3372" s="131"/>
      <c r="J3372" s="132"/>
      <c r="K3372" s="131"/>
    </row>
    <row r="3373" spans="7:11" x14ac:dyDescent="0.2">
      <c r="G3373" s="131"/>
      <c r="H3373" s="131"/>
      <c r="I3373" s="131"/>
      <c r="J3373" s="132"/>
      <c r="K3373" s="131"/>
    </row>
    <row r="3374" spans="7:11" x14ac:dyDescent="0.2">
      <c r="G3374" s="131"/>
      <c r="H3374" s="131"/>
      <c r="I3374" s="131"/>
      <c r="J3374" s="132"/>
      <c r="K3374" s="131"/>
    </row>
    <row r="3375" spans="7:11" x14ac:dyDescent="0.2">
      <c r="G3375" s="131"/>
      <c r="H3375" s="131"/>
      <c r="I3375" s="131"/>
      <c r="J3375" s="132"/>
      <c r="K3375" s="131"/>
    </row>
    <row r="3376" spans="7:11" x14ac:dyDescent="0.2">
      <c r="G3376" s="131"/>
      <c r="H3376" s="131"/>
      <c r="I3376" s="131"/>
      <c r="J3376" s="132"/>
      <c r="K3376" s="131"/>
    </row>
    <row r="3377" spans="7:11" x14ac:dyDescent="0.2">
      <c r="G3377" s="131"/>
      <c r="H3377" s="131"/>
      <c r="I3377" s="131"/>
      <c r="J3377" s="132"/>
      <c r="K3377" s="131"/>
    </row>
    <row r="3378" spans="7:11" x14ac:dyDescent="0.2">
      <c r="G3378" s="131"/>
      <c r="H3378" s="131"/>
      <c r="I3378" s="131"/>
      <c r="J3378" s="132"/>
      <c r="K3378" s="131"/>
    </row>
    <row r="3379" spans="7:11" x14ac:dyDescent="0.2">
      <c r="G3379" s="131"/>
      <c r="H3379" s="131"/>
      <c r="I3379" s="131"/>
      <c r="J3379" s="132"/>
      <c r="K3379" s="131"/>
    </row>
    <row r="3380" spans="7:11" x14ac:dyDescent="0.2">
      <c r="G3380" s="131"/>
      <c r="H3380" s="131"/>
      <c r="I3380" s="131"/>
      <c r="J3380" s="132"/>
      <c r="K3380" s="131"/>
    </row>
    <row r="3381" spans="7:11" x14ac:dyDescent="0.2">
      <c r="G3381" s="131"/>
      <c r="H3381" s="131"/>
      <c r="I3381" s="131"/>
      <c r="J3381" s="132"/>
      <c r="K3381" s="131"/>
    </row>
    <row r="3382" spans="7:11" x14ac:dyDescent="0.2">
      <c r="G3382" s="131"/>
      <c r="H3382" s="131"/>
      <c r="I3382" s="131"/>
      <c r="J3382" s="132"/>
      <c r="K3382" s="131"/>
    </row>
    <row r="3383" spans="7:11" x14ac:dyDescent="0.2">
      <c r="G3383" s="131"/>
      <c r="H3383" s="131"/>
      <c r="I3383" s="131"/>
      <c r="J3383" s="132"/>
      <c r="K3383" s="131"/>
    </row>
    <row r="3384" spans="7:11" x14ac:dyDescent="0.2">
      <c r="G3384" s="131"/>
      <c r="H3384" s="131"/>
      <c r="I3384" s="131"/>
      <c r="J3384" s="132"/>
      <c r="K3384" s="131"/>
    </row>
    <row r="3385" spans="7:11" x14ac:dyDescent="0.2">
      <c r="G3385" s="131"/>
      <c r="H3385" s="131"/>
      <c r="I3385" s="131"/>
      <c r="J3385" s="132"/>
      <c r="K3385" s="131"/>
    </row>
    <row r="3386" spans="7:11" x14ac:dyDescent="0.2">
      <c r="G3386" s="131"/>
      <c r="H3386" s="131"/>
      <c r="I3386" s="131"/>
      <c r="J3386" s="132"/>
      <c r="K3386" s="131"/>
    </row>
    <row r="3387" spans="7:11" x14ac:dyDescent="0.2">
      <c r="G3387" s="131"/>
      <c r="H3387" s="131"/>
      <c r="I3387" s="131"/>
      <c r="J3387" s="132"/>
      <c r="K3387" s="131"/>
    </row>
    <row r="3388" spans="7:11" x14ac:dyDescent="0.2">
      <c r="G3388" s="131"/>
      <c r="H3388" s="131"/>
      <c r="I3388" s="131"/>
      <c r="J3388" s="132"/>
      <c r="K3388" s="131"/>
    </row>
    <row r="3389" spans="7:11" x14ac:dyDescent="0.2">
      <c r="G3389" s="131"/>
      <c r="H3389" s="131"/>
      <c r="I3389" s="131"/>
      <c r="J3389" s="132"/>
      <c r="K3389" s="131"/>
    </row>
    <row r="3390" spans="7:11" x14ac:dyDescent="0.2">
      <c r="G3390" s="131"/>
      <c r="H3390" s="131"/>
      <c r="I3390" s="131"/>
      <c r="J3390" s="132"/>
      <c r="K3390" s="131"/>
    </row>
    <row r="3391" spans="7:11" x14ac:dyDescent="0.2">
      <c r="G3391" s="131"/>
      <c r="H3391" s="131"/>
      <c r="I3391" s="131"/>
      <c r="J3391" s="132"/>
      <c r="K3391" s="131"/>
    </row>
    <row r="3392" spans="7:11" x14ac:dyDescent="0.2">
      <c r="G3392" s="131"/>
      <c r="H3392" s="131"/>
      <c r="I3392" s="131"/>
      <c r="J3392" s="132"/>
      <c r="K3392" s="131"/>
    </row>
    <row r="3393" spans="7:11" x14ac:dyDescent="0.2">
      <c r="G3393" s="131"/>
      <c r="H3393" s="131"/>
      <c r="I3393" s="131"/>
      <c r="J3393" s="132"/>
      <c r="K3393" s="131"/>
    </row>
    <row r="3394" spans="7:11" x14ac:dyDescent="0.2">
      <c r="G3394" s="131"/>
      <c r="H3394" s="131"/>
      <c r="I3394" s="131"/>
      <c r="J3394" s="132"/>
      <c r="K3394" s="131"/>
    </row>
    <row r="3395" spans="7:11" x14ac:dyDescent="0.2">
      <c r="G3395" s="131"/>
      <c r="H3395" s="131"/>
      <c r="I3395" s="131"/>
      <c r="J3395" s="132"/>
      <c r="K3395" s="131"/>
    </row>
    <row r="3396" spans="7:11" x14ac:dyDescent="0.2">
      <c r="G3396" s="131"/>
      <c r="H3396" s="131"/>
      <c r="I3396" s="131"/>
      <c r="J3396" s="132"/>
      <c r="K3396" s="131"/>
    </row>
    <row r="3397" spans="7:11" x14ac:dyDescent="0.2">
      <c r="G3397" s="131"/>
      <c r="H3397" s="131"/>
      <c r="I3397" s="131"/>
      <c r="J3397" s="132"/>
      <c r="K3397" s="131"/>
    </row>
    <row r="3398" spans="7:11" x14ac:dyDescent="0.2">
      <c r="G3398" s="131"/>
      <c r="H3398" s="131"/>
      <c r="I3398" s="131"/>
      <c r="J3398" s="132"/>
      <c r="K3398" s="131"/>
    </row>
    <row r="3399" spans="7:11" x14ac:dyDescent="0.2">
      <c r="G3399" s="131"/>
      <c r="H3399" s="131"/>
      <c r="I3399" s="131"/>
      <c r="J3399" s="132"/>
      <c r="K3399" s="131"/>
    </row>
    <row r="3400" spans="7:11" x14ac:dyDescent="0.2">
      <c r="G3400" s="131"/>
      <c r="H3400" s="131"/>
      <c r="I3400" s="131"/>
      <c r="J3400" s="132"/>
      <c r="K3400" s="131"/>
    </row>
    <row r="3401" spans="7:11" x14ac:dyDescent="0.2">
      <c r="G3401" s="131"/>
      <c r="H3401" s="131"/>
      <c r="I3401" s="131"/>
      <c r="J3401" s="132"/>
      <c r="K3401" s="131"/>
    </row>
    <row r="3402" spans="7:11" x14ac:dyDescent="0.2">
      <c r="G3402" s="131"/>
      <c r="H3402" s="131"/>
      <c r="I3402" s="131"/>
      <c r="J3402" s="132"/>
      <c r="K3402" s="131"/>
    </row>
    <row r="3403" spans="7:11" x14ac:dyDescent="0.2">
      <c r="G3403" s="131"/>
      <c r="H3403" s="131"/>
      <c r="I3403" s="131"/>
      <c r="J3403" s="132"/>
      <c r="K3403" s="131"/>
    </row>
    <row r="3404" spans="7:11" x14ac:dyDescent="0.2">
      <c r="G3404" s="131"/>
      <c r="H3404" s="131"/>
      <c r="I3404" s="131"/>
      <c r="J3404" s="132"/>
      <c r="K3404" s="131"/>
    </row>
    <row r="3405" spans="7:11" x14ac:dyDescent="0.2">
      <c r="G3405" s="131"/>
      <c r="H3405" s="131"/>
      <c r="I3405" s="131"/>
      <c r="J3405" s="132"/>
      <c r="K3405" s="131"/>
    </row>
    <row r="3406" spans="7:11" x14ac:dyDescent="0.2">
      <c r="G3406" s="131"/>
      <c r="H3406" s="131"/>
      <c r="I3406" s="131"/>
      <c r="J3406" s="132"/>
      <c r="K3406" s="131"/>
    </row>
    <row r="3407" spans="7:11" x14ac:dyDescent="0.2">
      <c r="G3407" s="131"/>
      <c r="H3407" s="131"/>
      <c r="I3407" s="131"/>
      <c r="J3407" s="132"/>
      <c r="K3407" s="131"/>
    </row>
    <row r="3408" spans="7:11" x14ac:dyDescent="0.2">
      <c r="G3408" s="131"/>
      <c r="H3408" s="131"/>
      <c r="I3408" s="131"/>
      <c r="J3408" s="132"/>
      <c r="K3408" s="131"/>
    </row>
    <row r="3409" spans="7:11" x14ac:dyDescent="0.2">
      <c r="G3409" s="131"/>
      <c r="H3409" s="131"/>
      <c r="I3409" s="131"/>
      <c r="J3409" s="132"/>
      <c r="K3409" s="131"/>
    </row>
    <row r="3410" spans="7:11" x14ac:dyDescent="0.2">
      <c r="G3410" s="131"/>
      <c r="H3410" s="131"/>
      <c r="I3410" s="131"/>
      <c r="J3410" s="132"/>
      <c r="K3410" s="131"/>
    </row>
    <row r="3411" spans="7:11" x14ac:dyDescent="0.2">
      <c r="G3411" s="131"/>
      <c r="H3411" s="131"/>
      <c r="I3411" s="131"/>
      <c r="J3411" s="132"/>
      <c r="K3411" s="131"/>
    </row>
    <row r="3412" spans="7:11" x14ac:dyDescent="0.2">
      <c r="G3412" s="131"/>
      <c r="H3412" s="131"/>
      <c r="I3412" s="131"/>
      <c r="J3412" s="132"/>
      <c r="K3412" s="131"/>
    </row>
    <row r="3413" spans="7:11" x14ac:dyDescent="0.2">
      <c r="G3413" s="131"/>
      <c r="H3413" s="131"/>
      <c r="I3413" s="131"/>
      <c r="J3413" s="132"/>
      <c r="K3413" s="131"/>
    </row>
    <row r="3414" spans="7:11" x14ac:dyDescent="0.2">
      <c r="G3414" s="131"/>
      <c r="H3414" s="131"/>
      <c r="I3414" s="131"/>
      <c r="J3414" s="132"/>
      <c r="K3414" s="131"/>
    </row>
    <row r="3415" spans="7:11" x14ac:dyDescent="0.2">
      <c r="G3415" s="131"/>
      <c r="H3415" s="131"/>
      <c r="I3415" s="131"/>
      <c r="J3415" s="132"/>
      <c r="K3415" s="131"/>
    </row>
    <row r="3416" spans="7:11" x14ac:dyDescent="0.2">
      <c r="G3416" s="131"/>
      <c r="H3416" s="131"/>
      <c r="I3416" s="131"/>
      <c r="J3416" s="132"/>
      <c r="K3416" s="131"/>
    </row>
    <row r="3417" spans="7:11" x14ac:dyDescent="0.2">
      <c r="G3417" s="131"/>
      <c r="H3417" s="131"/>
      <c r="I3417" s="131"/>
      <c r="J3417" s="132"/>
      <c r="K3417" s="131"/>
    </row>
    <row r="3418" spans="7:11" x14ac:dyDescent="0.2">
      <c r="G3418" s="131"/>
      <c r="H3418" s="131"/>
      <c r="I3418" s="131"/>
      <c r="J3418" s="132"/>
      <c r="K3418" s="131"/>
    </row>
    <row r="3419" spans="7:11" x14ac:dyDescent="0.2">
      <c r="G3419" s="131"/>
      <c r="H3419" s="131"/>
      <c r="I3419" s="131"/>
      <c r="J3419" s="132"/>
      <c r="K3419" s="131"/>
    </row>
    <row r="3420" spans="7:11" x14ac:dyDescent="0.2">
      <c r="G3420" s="131"/>
      <c r="H3420" s="131"/>
      <c r="I3420" s="131"/>
      <c r="J3420" s="132"/>
      <c r="K3420" s="131"/>
    </row>
    <row r="3421" spans="7:11" x14ac:dyDescent="0.2">
      <c r="G3421" s="131"/>
      <c r="H3421" s="131"/>
      <c r="I3421" s="131"/>
      <c r="J3421" s="132"/>
      <c r="K3421" s="131"/>
    </row>
    <row r="3422" spans="7:11" x14ac:dyDescent="0.2">
      <c r="G3422" s="131"/>
      <c r="H3422" s="131"/>
      <c r="I3422" s="131"/>
      <c r="J3422" s="132"/>
      <c r="K3422" s="131"/>
    </row>
    <row r="3423" spans="7:11" x14ac:dyDescent="0.2">
      <c r="G3423" s="131"/>
      <c r="H3423" s="131"/>
      <c r="I3423" s="131"/>
      <c r="J3423" s="132"/>
      <c r="K3423" s="131"/>
    </row>
    <row r="3424" spans="7:11" x14ac:dyDescent="0.2">
      <c r="G3424" s="131"/>
      <c r="H3424" s="131"/>
      <c r="I3424" s="131"/>
      <c r="J3424" s="132"/>
      <c r="K3424" s="131"/>
    </row>
    <row r="3425" spans="7:11" x14ac:dyDescent="0.2">
      <c r="G3425" s="131"/>
      <c r="H3425" s="131"/>
      <c r="I3425" s="131"/>
      <c r="J3425" s="132"/>
      <c r="K3425" s="131"/>
    </row>
    <row r="3426" spans="7:11" x14ac:dyDescent="0.2">
      <c r="G3426" s="131"/>
      <c r="H3426" s="131"/>
      <c r="I3426" s="131"/>
      <c r="J3426" s="132"/>
      <c r="K3426" s="131"/>
    </row>
    <row r="3427" spans="7:11" x14ac:dyDescent="0.2">
      <c r="G3427" s="131"/>
      <c r="H3427" s="131"/>
      <c r="I3427" s="131"/>
      <c r="J3427" s="132"/>
      <c r="K3427" s="131"/>
    </row>
    <row r="3428" spans="7:11" x14ac:dyDescent="0.2">
      <c r="G3428" s="131"/>
      <c r="H3428" s="131"/>
      <c r="I3428" s="131"/>
      <c r="J3428" s="132"/>
      <c r="K3428" s="131"/>
    </row>
    <row r="3429" spans="7:11" x14ac:dyDescent="0.2">
      <c r="G3429" s="131"/>
      <c r="H3429" s="131"/>
      <c r="I3429" s="131"/>
      <c r="J3429" s="132"/>
      <c r="K3429" s="131"/>
    </row>
    <row r="3430" spans="7:11" x14ac:dyDescent="0.2">
      <c r="G3430" s="131"/>
      <c r="H3430" s="131"/>
      <c r="I3430" s="131"/>
      <c r="J3430" s="132"/>
      <c r="K3430" s="131"/>
    </row>
    <row r="3431" spans="7:11" x14ac:dyDescent="0.2">
      <c r="G3431" s="131"/>
      <c r="H3431" s="131"/>
      <c r="I3431" s="131"/>
      <c r="J3431" s="132"/>
      <c r="K3431" s="131"/>
    </row>
    <row r="3432" spans="7:11" x14ac:dyDescent="0.2">
      <c r="G3432" s="131"/>
      <c r="H3432" s="131"/>
      <c r="I3432" s="131"/>
      <c r="J3432" s="132"/>
      <c r="K3432" s="131"/>
    </row>
    <row r="3433" spans="7:11" x14ac:dyDescent="0.2">
      <c r="G3433" s="131"/>
      <c r="H3433" s="131"/>
      <c r="I3433" s="131"/>
      <c r="J3433" s="132"/>
      <c r="K3433" s="131"/>
    </row>
    <row r="3434" spans="7:11" x14ac:dyDescent="0.2">
      <c r="G3434" s="131"/>
      <c r="H3434" s="131"/>
      <c r="I3434" s="131"/>
      <c r="J3434" s="132"/>
      <c r="K3434" s="131"/>
    </row>
    <row r="3435" spans="7:11" x14ac:dyDescent="0.2">
      <c r="G3435" s="131"/>
      <c r="H3435" s="131"/>
      <c r="I3435" s="131"/>
      <c r="J3435" s="132"/>
      <c r="K3435" s="131"/>
    </row>
    <row r="3436" spans="7:11" x14ac:dyDescent="0.2">
      <c r="G3436" s="131"/>
      <c r="H3436" s="131"/>
      <c r="I3436" s="131"/>
      <c r="J3436" s="132"/>
      <c r="K3436" s="131"/>
    </row>
    <row r="3437" spans="7:11" x14ac:dyDescent="0.2">
      <c r="G3437" s="131"/>
      <c r="H3437" s="131"/>
      <c r="I3437" s="131"/>
      <c r="J3437" s="132"/>
      <c r="K3437" s="131"/>
    </row>
    <row r="3438" spans="7:11" x14ac:dyDescent="0.2">
      <c r="G3438" s="131"/>
      <c r="H3438" s="131"/>
      <c r="I3438" s="131"/>
      <c r="J3438" s="132"/>
      <c r="K3438" s="131"/>
    </row>
    <row r="3439" spans="7:11" x14ac:dyDescent="0.2">
      <c r="G3439" s="131"/>
      <c r="H3439" s="131"/>
      <c r="I3439" s="131"/>
      <c r="J3439" s="132"/>
      <c r="K3439" s="131"/>
    </row>
    <row r="3440" spans="7:11" x14ac:dyDescent="0.2">
      <c r="G3440" s="131"/>
      <c r="H3440" s="131"/>
      <c r="I3440" s="131"/>
      <c r="J3440" s="132"/>
      <c r="K3440" s="131"/>
    </row>
    <row r="3441" spans="7:11" x14ac:dyDescent="0.2">
      <c r="G3441" s="131"/>
      <c r="H3441" s="131"/>
      <c r="I3441" s="131"/>
      <c r="J3441" s="132"/>
      <c r="K3441" s="131"/>
    </row>
    <row r="3442" spans="7:11" x14ac:dyDescent="0.2">
      <c r="G3442" s="131"/>
      <c r="H3442" s="131"/>
      <c r="I3442" s="131"/>
      <c r="J3442" s="132"/>
      <c r="K3442" s="131"/>
    </row>
    <row r="3443" spans="7:11" x14ac:dyDescent="0.2">
      <c r="G3443" s="131"/>
      <c r="H3443" s="131"/>
      <c r="I3443" s="131"/>
      <c r="J3443" s="132"/>
      <c r="K3443" s="131"/>
    </row>
    <row r="3444" spans="7:11" x14ac:dyDescent="0.2">
      <c r="G3444" s="131"/>
      <c r="H3444" s="131"/>
      <c r="I3444" s="131"/>
      <c r="J3444" s="132"/>
      <c r="K3444" s="131"/>
    </row>
    <row r="3445" spans="7:11" x14ac:dyDescent="0.2">
      <c r="G3445" s="131"/>
      <c r="H3445" s="131"/>
      <c r="I3445" s="131"/>
      <c r="J3445" s="132"/>
      <c r="K3445" s="131"/>
    </row>
    <row r="3446" spans="7:11" x14ac:dyDescent="0.2">
      <c r="G3446" s="131"/>
      <c r="H3446" s="131"/>
      <c r="I3446" s="131"/>
      <c r="J3446" s="132"/>
      <c r="K3446" s="131"/>
    </row>
    <row r="3447" spans="7:11" x14ac:dyDescent="0.2">
      <c r="G3447" s="131"/>
      <c r="H3447" s="131"/>
      <c r="I3447" s="131"/>
      <c r="J3447" s="132"/>
      <c r="K3447" s="131"/>
    </row>
    <row r="3448" spans="7:11" x14ac:dyDescent="0.2">
      <c r="G3448" s="131"/>
      <c r="H3448" s="131"/>
      <c r="I3448" s="131"/>
      <c r="J3448" s="132"/>
      <c r="K3448" s="131"/>
    </row>
    <row r="3449" spans="7:11" x14ac:dyDescent="0.2">
      <c r="G3449" s="131"/>
      <c r="H3449" s="131"/>
      <c r="I3449" s="131"/>
      <c r="J3449" s="132"/>
      <c r="K3449" s="131"/>
    </row>
    <row r="3450" spans="7:11" x14ac:dyDescent="0.2">
      <c r="G3450" s="131"/>
      <c r="H3450" s="131"/>
      <c r="I3450" s="131"/>
      <c r="J3450" s="132"/>
      <c r="K3450" s="131"/>
    </row>
    <row r="3451" spans="7:11" x14ac:dyDescent="0.2">
      <c r="G3451" s="131"/>
      <c r="H3451" s="131"/>
      <c r="I3451" s="131"/>
      <c r="J3451" s="132"/>
      <c r="K3451" s="131"/>
    </row>
    <row r="3452" spans="7:11" x14ac:dyDescent="0.2">
      <c r="G3452" s="131"/>
      <c r="H3452" s="131"/>
      <c r="I3452" s="131"/>
      <c r="J3452" s="132"/>
      <c r="K3452" s="131"/>
    </row>
    <row r="3453" spans="7:11" x14ac:dyDescent="0.2">
      <c r="G3453" s="131"/>
      <c r="H3453" s="131"/>
      <c r="I3453" s="131"/>
      <c r="J3453" s="132"/>
      <c r="K3453" s="131"/>
    </row>
    <row r="3454" spans="7:11" x14ac:dyDescent="0.2">
      <c r="G3454" s="131"/>
      <c r="H3454" s="131"/>
      <c r="I3454" s="131"/>
      <c r="J3454" s="132"/>
      <c r="K3454" s="131"/>
    </row>
    <row r="3455" spans="7:11" x14ac:dyDescent="0.2">
      <c r="G3455" s="131"/>
      <c r="H3455" s="131"/>
      <c r="I3455" s="131"/>
      <c r="J3455" s="132"/>
      <c r="K3455" s="131"/>
    </row>
    <row r="3456" spans="7:11" x14ac:dyDescent="0.2">
      <c r="G3456" s="131"/>
      <c r="H3456" s="131"/>
      <c r="I3456" s="131"/>
      <c r="J3456" s="132"/>
      <c r="K3456" s="131"/>
    </row>
    <row r="3457" spans="7:11" x14ac:dyDescent="0.2">
      <c r="G3457" s="131"/>
      <c r="H3457" s="131"/>
      <c r="I3457" s="131"/>
      <c r="J3457" s="132"/>
      <c r="K3457" s="131"/>
    </row>
    <row r="3458" spans="7:11" x14ac:dyDescent="0.2">
      <c r="G3458" s="131"/>
      <c r="H3458" s="131"/>
      <c r="I3458" s="131"/>
      <c r="J3458" s="132"/>
      <c r="K3458" s="131"/>
    </row>
    <row r="3459" spans="7:11" x14ac:dyDescent="0.2">
      <c r="G3459" s="131"/>
      <c r="H3459" s="131"/>
      <c r="I3459" s="131"/>
      <c r="J3459" s="132"/>
      <c r="K3459" s="131"/>
    </row>
    <row r="3460" spans="7:11" x14ac:dyDescent="0.2">
      <c r="G3460" s="131"/>
      <c r="H3460" s="131"/>
      <c r="I3460" s="131"/>
      <c r="J3460" s="132"/>
      <c r="K3460" s="131"/>
    </row>
    <row r="3461" spans="7:11" x14ac:dyDescent="0.2">
      <c r="G3461" s="131"/>
      <c r="H3461" s="131"/>
      <c r="I3461" s="131"/>
      <c r="J3461" s="132"/>
      <c r="K3461" s="131"/>
    </row>
    <row r="3462" spans="7:11" x14ac:dyDescent="0.2">
      <c r="G3462" s="131"/>
      <c r="H3462" s="131"/>
      <c r="I3462" s="131"/>
      <c r="J3462" s="132"/>
      <c r="K3462" s="131"/>
    </row>
    <row r="3463" spans="7:11" x14ac:dyDescent="0.2">
      <c r="G3463" s="131"/>
      <c r="H3463" s="131"/>
      <c r="I3463" s="131"/>
      <c r="J3463" s="132"/>
      <c r="K3463" s="131"/>
    </row>
    <row r="3464" spans="7:11" x14ac:dyDescent="0.2">
      <c r="G3464" s="131"/>
      <c r="H3464" s="131"/>
      <c r="I3464" s="131"/>
      <c r="J3464" s="132"/>
      <c r="K3464" s="131"/>
    </row>
    <row r="3465" spans="7:11" x14ac:dyDescent="0.2">
      <c r="G3465" s="131"/>
      <c r="H3465" s="131"/>
      <c r="I3465" s="131"/>
      <c r="J3465" s="132"/>
      <c r="K3465" s="131"/>
    </row>
    <row r="3466" spans="7:11" x14ac:dyDescent="0.2">
      <c r="G3466" s="131"/>
      <c r="H3466" s="131"/>
      <c r="I3466" s="131"/>
      <c r="J3466" s="132"/>
      <c r="K3466" s="131"/>
    </row>
    <row r="3467" spans="7:11" x14ac:dyDescent="0.2">
      <c r="G3467" s="131"/>
      <c r="H3467" s="131"/>
      <c r="I3467" s="131"/>
      <c r="J3467" s="132"/>
      <c r="K3467" s="131"/>
    </row>
    <row r="3468" spans="7:11" x14ac:dyDescent="0.2">
      <c r="G3468" s="131"/>
      <c r="H3468" s="131"/>
      <c r="I3468" s="131"/>
      <c r="J3468" s="132"/>
      <c r="K3468" s="131"/>
    </row>
    <row r="3469" spans="7:11" x14ac:dyDescent="0.2">
      <c r="G3469" s="131"/>
      <c r="H3469" s="131"/>
      <c r="I3469" s="131"/>
      <c r="J3469" s="132"/>
      <c r="K3469" s="131"/>
    </row>
    <row r="3470" spans="7:11" x14ac:dyDescent="0.2">
      <c r="G3470" s="131"/>
      <c r="H3470" s="131"/>
      <c r="I3470" s="131"/>
      <c r="J3470" s="132"/>
      <c r="K3470" s="131"/>
    </row>
    <row r="3471" spans="7:11" x14ac:dyDescent="0.2">
      <c r="G3471" s="131"/>
      <c r="H3471" s="131"/>
      <c r="I3471" s="131"/>
      <c r="J3471" s="132"/>
      <c r="K3471" s="131"/>
    </row>
    <row r="3472" spans="7:11" x14ac:dyDescent="0.2">
      <c r="G3472" s="131"/>
      <c r="H3472" s="131"/>
      <c r="I3472" s="131"/>
      <c r="J3472" s="132"/>
      <c r="K3472" s="131"/>
    </row>
    <row r="3473" spans="7:11" x14ac:dyDescent="0.2">
      <c r="G3473" s="131"/>
      <c r="H3473" s="131"/>
      <c r="I3473" s="131"/>
      <c r="J3473" s="132"/>
      <c r="K3473" s="131"/>
    </row>
    <row r="3474" spans="7:11" x14ac:dyDescent="0.2">
      <c r="G3474" s="131"/>
      <c r="H3474" s="131"/>
      <c r="I3474" s="131"/>
      <c r="J3474" s="132"/>
      <c r="K3474" s="131"/>
    </row>
    <row r="3475" spans="7:11" x14ac:dyDescent="0.2">
      <c r="G3475" s="131"/>
      <c r="H3475" s="131"/>
      <c r="I3475" s="131"/>
      <c r="J3475" s="132"/>
      <c r="K3475" s="131"/>
    </row>
    <row r="3476" spans="7:11" x14ac:dyDescent="0.2">
      <c r="G3476" s="131"/>
      <c r="H3476" s="131"/>
      <c r="I3476" s="131"/>
      <c r="J3476" s="132"/>
      <c r="K3476" s="131"/>
    </row>
    <row r="3477" spans="7:11" x14ac:dyDescent="0.2">
      <c r="G3477" s="131"/>
      <c r="H3477" s="131"/>
      <c r="I3477" s="131"/>
      <c r="J3477" s="132"/>
      <c r="K3477" s="131"/>
    </row>
    <row r="3478" spans="7:11" x14ac:dyDescent="0.2">
      <c r="G3478" s="131"/>
      <c r="H3478" s="131"/>
      <c r="I3478" s="131"/>
      <c r="J3478" s="132"/>
      <c r="K3478" s="131"/>
    </row>
    <row r="3479" spans="7:11" x14ac:dyDescent="0.2">
      <c r="G3479" s="131"/>
      <c r="H3479" s="131"/>
      <c r="I3479" s="131"/>
      <c r="J3479" s="132"/>
      <c r="K3479" s="131"/>
    </row>
    <row r="3480" spans="7:11" x14ac:dyDescent="0.2">
      <c r="G3480" s="131"/>
      <c r="H3480" s="131"/>
      <c r="I3480" s="131"/>
      <c r="J3480" s="132"/>
      <c r="K3480" s="131"/>
    </row>
    <row r="3481" spans="7:11" x14ac:dyDescent="0.2">
      <c r="G3481" s="131"/>
      <c r="H3481" s="131"/>
      <c r="I3481" s="131"/>
      <c r="J3481" s="132"/>
      <c r="K3481" s="131"/>
    </row>
    <row r="3482" spans="7:11" x14ac:dyDescent="0.2">
      <c r="G3482" s="131"/>
      <c r="H3482" s="131"/>
      <c r="I3482" s="131"/>
      <c r="J3482" s="132"/>
      <c r="K3482" s="131"/>
    </row>
    <row r="3483" spans="7:11" x14ac:dyDescent="0.2">
      <c r="G3483" s="131"/>
      <c r="H3483" s="131"/>
      <c r="I3483" s="131"/>
      <c r="J3483" s="132"/>
      <c r="K3483" s="131"/>
    </row>
    <row r="3484" spans="7:11" x14ac:dyDescent="0.2">
      <c r="G3484" s="131"/>
      <c r="H3484" s="131"/>
      <c r="I3484" s="131"/>
      <c r="J3484" s="132"/>
      <c r="K3484" s="131"/>
    </row>
    <row r="3485" spans="7:11" x14ac:dyDescent="0.2">
      <c r="G3485" s="131"/>
      <c r="H3485" s="131"/>
      <c r="I3485" s="131"/>
      <c r="J3485" s="132"/>
      <c r="K3485" s="131"/>
    </row>
    <row r="3486" spans="7:11" x14ac:dyDescent="0.2">
      <c r="G3486" s="131"/>
      <c r="H3486" s="131"/>
      <c r="I3486" s="131"/>
      <c r="J3486" s="132"/>
      <c r="K3486" s="131"/>
    </row>
    <row r="3487" spans="7:11" x14ac:dyDescent="0.2">
      <c r="G3487" s="131"/>
      <c r="H3487" s="131"/>
      <c r="I3487" s="131"/>
      <c r="J3487" s="132"/>
      <c r="K3487" s="131"/>
    </row>
    <row r="3488" spans="7:11" x14ac:dyDescent="0.2">
      <c r="G3488" s="131"/>
      <c r="H3488" s="131"/>
      <c r="I3488" s="131"/>
      <c r="J3488" s="132"/>
      <c r="K3488" s="131"/>
    </row>
    <row r="3489" spans="7:11" x14ac:dyDescent="0.2">
      <c r="G3489" s="131"/>
      <c r="H3489" s="131"/>
      <c r="I3489" s="131"/>
      <c r="J3489" s="132"/>
      <c r="K3489" s="131"/>
    </row>
    <row r="3490" spans="7:11" x14ac:dyDescent="0.2">
      <c r="G3490" s="131"/>
      <c r="H3490" s="131"/>
      <c r="I3490" s="131"/>
      <c r="J3490" s="132"/>
      <c r="K3490" s="131"/>
    </row>
    <row r="3491" spans="7:11" x14ac:dyDescent="0.2">
      <c r="G3491" s="131"/>
      <c r="H3491" s="131"/>
      <c r="I3491" s="131"/>
      <c r="J3491" s="132"/>
      <c r="K3491" s="131"/>
    </row>
    <row r="3492" spans="7:11" x14ac:dyDescent="0.2">
      <c r="G3492" s="131"/>
      <c r="H3492" s="131"/>
      <c r="I3492" s="131"/>
      <c r="J3492" s="132"/>
      <c r="K3492" s="131"/>
    </row>
    <row r="3493" spans="7:11" x14ac:dyDescent="0.2">
      <c r="G3493" s="131"/>
      <c r="H3493" s="131"/>
      <c r="I3493" s="131"/>
      <c r="J3493" s="132"/>
      <c r="K3493" s="131"/>
    </row>
    <row r="3494" spans="7:11" x14ac:dyDescent="0.2">
      <c r="G3494" s="131"/>
      <c r="H3494" s="131"/>
      <c r="I3494" s="131"/>
      <c r="J3494" s="132"/>
      <c r="K3494" s="131"/>
    </row>
    <row r="3495" spans="7:11" x14ac:dyDescent="0.2">
      <c r="G3495" s="131"/>
      <c r="H3495" s="131"/>
      <c r="I3495" s="131"/>
      <c r="J3495" s="132"/>
      <c r="K3495" s="131"/>
    </row>
    <row r="3496" spans="7:11" x14ac:dyDescent="0.2">
      <c r="G3496" s="131"/>
      <c r="H3496" s="131"/>
      <c r="I3496" s="131"/>
      <c r="J3496" s="132"/>
      <c r="K3496" s="131"/>
    </row>
    <row r="3497" spans="7:11" x14ac:dyDescent="0.2">
      <c r="G3497" s="131"/>
      <c r="H3497" s="131"/>
      <c r="I3497" s="131"/>
      <c r="J3497" s="132"/>
      <c r="K3497" s="131"/>
    </row>
    <row r="3498" spans="7:11" x14ac:dyDescent="0.2">
      <c r="G3498" s="131"/>
      <c r="H3498" s="131"/>
      <c r="I3498" s="131"/>
      <c r="J3498" s="132"/>
      <c r="K3498" s="131"/>
    </row>
    <row r="3499" spans="7:11" x14ac:dyDescent="0.2">
      <c r="G3499" s="131"/>
      <c r="H3499" s="131"/>
      <c r="I3499" s="131"/>
      <c r="J3499" s="132"/>
      <c r="K3499" s="131"/>
    </row>
    <row r="3500" spans="7:11" x14ac:dyDescent="0.2">
      <c r="G3500" s="131"/>
      <c r="H3500" s="131"/>
      <c r="I3500" s="131"/>
      <c r="J3500" s="132"/>
      <c r="K3500" s="131"/>
    </row>
    <row r="3501" spans="7:11" x14ac:dyDescent="0.2">
      <c r="G3501" s="131"/>
      <c r="H3501" s="131"/>
      <c r="I3501" s="131"/>
      <c r="J3501" s="132"/>
      <c r="K3501" s="131"/>
    </row>
    <row r="3502" spans="7:11" x14ac:dyDescent="0.2">
      <c r="G3502" s="131"/>
      <c r="H3502" s="131"/>
      <c r="I3502" s="131"/>
      <c r="J3502" s="132"/>
      <c r="K3502" s="131"/>
    </row>
    <row r="3503" spans="7:11" x14ac:dyDescent="0.2">
      <c r="G3503" s="131"/>
      <c r="H3503" s="131"/>
      <c r="I3503" s="131"/>
      <c r="J3503" s="132"/>
      <c r="K3503" s="131"/>
    </row>
    <row r="3504" spans="7:11" x14ac:dyDescent="0.2">
      <c r="G3504" s="131"/>
      <c r="H3504" s="131"/>
      <c r="I3504" s="131"/>
      <c r="J3504" s="132"/>
      <c r="K3504" s="131"/>
    </row>
    <row r="3505" spans="7:11" x14ac:dyDescent="0.2">
      <c r="G3505" s="131"/>
      <c r="H3505" s="131"/>
      <c r="I3505" s="131"/>
      <c r="J3505" s="132"/>
      <c r="K3505" s="131"/>
    </row>
    <row r="3506" spans="7:11" x14ac:dyDescent="0.2">
      <c r="G3506" s="131"/>
      <c r="H3506" s="131"/>
      <c r="I3506" s="131"/>
      <c r="J3506" s="132"/>
      <c r="K3506" s="131"/>
    </row>
    <row r="3507" spans="7:11" x14ac:dyDescent="0.2">
      <c r="G3507" s="131"/>
      <c r="H3507" s="131"/>
      <c r="I3507" s="131"/>
      <c r="J3507" s="132"/>
      <c r="K3507" s="131"/>
    </row>
    <row r="3508" spans="7:11" x14ac:dyDescent="0.2">
      <c r="G3508" s="131"/>
      <c r="H3508" s="131"/>
      <c r="I3508" s="131"/>
      <c r="J3508" s="132"/>
      <c r="K3508" s="131"/>
    </row>
    <row r="3509" spans="7:11" x14ac:dyDescent="0.2">
      <c r="G3509" s="131"/>
      <c r="H3509" s="131"/>
      <c r="I3509" s="131"/>
      <c r="J3509" s="132"/>
      <c r="K3509" s="131"/>
    </row>
    <row r="3510" spans="7:11" x14ac:dyDescent="0.2">
      <c r="G3510" s="131"/>
      <c r="H3510" s="131"/>
      <c r="I3510" s="131"/>
      <c r="J3510" s="132"/>
      <c r="K3510" s="131"/>
    </row>
    <row r="3511" spans="7:11" x14ac:dyDescent="0.2">
      <c r="G3511" s="131"/>
      <c r="H3511" s="131"/>
      <c r="I3511" s="131"/>
      <c r="J3511" s="132"/>
      <c r="K3511" s="131"/>
    </row>
    <row r="3512" spans="7:11" x14ac:dyDescent="0.2">
      <c r="G3512" s="131"/>
      <c r="H3512" s="131"/>
      <c r="I3512" s="131"/>
      <c r="J3512" s="132"/>
      <c r="K3512" s="131"/>
    </row>
    <row r="3513" spans="7:11" x14ac:dyDescent="0.2">
      <c r="G3513" s="131"/>
      <c r="H3513" s="131"/>
      <c r="I3513" s="131"/>
      <c r="J3513" s="132"/>
      <c r="K3513" s="131"/>
    </row>
    <row r="3514" spans="7:11" x14ac:dyDescent="0.2">
      <c r="G3514" s="131"/>
      <c r="H3514" s="131"/>
      <c r="I3514" s="131"/>
      <c r="J3514" s="132"/>
      <c r="K3514" s="131"/>
    </row>
    <row r="3515" spans="7:11" x14ac:dyDescent="0.2">
      <c r="G3515" s="131"/>
      <c r="H3515" s="131"/>
      <c r="I3515" s="131"/>
      <c r="J3515" s="132"/>
      <c r="K3515" s="131"/>
    </row>
    <row r="3516" spans="7:11" x14ac:dyDescent="0.2">
      <c r="G3516" s="131"/>
      <c r="H3516" s="131"/>
      <c r="I3516" s="131"/>
      <c r="J3516" s="132"/>
      <c r="K3516" s="131"/>
    </row>
    <row r="3517" spans="7:11" x14ac:dyDescent="0.2">
      <c r="G3517" s="131"/>
      <c r="H3517" s="131"/>
      <c r="I3517" s="131"/>
      <c r="J3517" s="132"/>
      <c r="K3517" s="131"/>
    </row>
    <row r="3518" spans="7:11" x14ac:dyDescent="0.2">
      <c r="G3518" s="131"/>
      <c r="H3518" s="131"/>
      <c r="I3518" s="131"/>
      <c r="J3518" s="132"/>
      <c r="K3518" s="131"/>
    </row>
    <row r="3519" spans="7:11" x14ac:dyDescent="0.2">
      <c r="G3519" s="131"/>
      <c r="H3519" s="131"/>
      <c r="I3519" s="131"/>
      <c r="J3519" s="132"/>
      <c r="K3519" s="131"/>
    </row>
    <row r="3520" spans="7:11" x14ac:dyDescent="0.2">
      <c r="G3520" s="131"/>
      <c r="H3520" s="131"/>
      <c r="I3520" s="131"/>
      <c r="J3520" s="132"/>
      <c r="K3520" s="131"/>
    </row>
    <row r="3521" spans="7:11" x14ac:dyDescent="0.2">
      <c r="G3521" s="131"/>
      <c r="H3521" s="131"/>
      <c r="I3521" s="131"/>
      <c r="J3521" s="132"/>
      <c r="K3521" s="131"/>
    </row>
    <row r="3522" spans="7:11" x14ac:dyDescent="0.2">
      <c r="G3522" s="131"/>
      <c r="H3522" s="131"/>
      <c r="I3522" s="131"/>
      <c r="J3522" s="132"/>
      <c r="K3522" s="131"/>
    </row>
    <row r="3523" spans="7:11" x14ac:dyDescent="0.2">
      <c r="G3523" s="131"/>
      <c r="H3523" s="131"/>
      <c r="I3523" s="131"/>
      <c r="J3523" s="132"/>
      <c r="K3523" s="131"/>
    </row>
    <row r="3524" spans="7:11" x14ac:dyDescent="0.2">
      <c r="G3524" s="131"/>
      <c r="H3524" s="131"/>
      <c r="I3524" s="131"/>
      <c r="J3524" s="132"/>
      <c r="K3524" s="131"/>
    </row>
    <row r="3525" spans="7:11" x14ac:dyDescent="0.2">
      <c r="G3525" s="131"/>
      <c r="H3525" s="131"/>
      <c r="I3525" s="131"/>
      <c r="J3525" s="132"/>
      <c r="K3525" s="131"/>
    </row>
    <row r="3526" spans="7:11" x14ac:dyDescent="0.2">
      <c r="G3526" s="131"/>
      <c r="H3526" s="131"/>
      <c r="I3526" s="131"/>
      <c r="J3526" s="132"/>
      <c r="K3526" s="131"/>
    </row>
    <row r="3527" spans="7:11" x14ac:dyDescent="0.2">
      <c r="G3527" s="131"/>
      <c r="H3527" s="131"/>
      <c r="I3527" s="131"/>
      <c r="J3527" s="132"/>
      <c r="K3527" s="131"/>
    </row>
    <row r="3528" spans="7:11" x14ac:dyDescent="0.2">
      <c r="G3528" s="131"/>
      <c r="H3528" s="131"/>
      <c r="I3528" s="131"/>
      <c r="J3528" s="132"/>
      <c r="K3528" s="131"/>
    </row>
    <row r="3529" spans="7:11" x14ac:dyDescent="0.2">
      <c r="G3529" s="131"/>
      <c r="H3529" s="131"/>
      <c r="I3529" s="131"/>
      <c r="J3529" s="132"/>
      <c r="K3529" s="131"/>
    </row>
    <row r="3530" spans="7:11" x14ac:dyDescent="0.2">
      <c r="G3530" s="131"/>
      <c r="H3530" s="131"/>
      <c r="I3530" s="131"/>
      <c r="J3530" s="132"/>
      <c r="K3530" s="131"/>
    </row>
    <row r="3531" spans="7:11" x14ac:dyDescent="0.2">
      <c r="G3531" s="131"/>
      <c r="H3531" s="131"/>
      <c r="I3531" s="131"/>
      <c r="J3531" s="132"/>
      <c r="K3531" s="131"/>
    </row>
    <row r="3532" spans="7:11" x14ac:dyDescent="0.2">
      <c r="G3532" s="131"/>
      <c r="H3532" s="131"/>
      <c r="I3532" s="131"/>
      <c r="J3532" s="132"/>
      <c r="K3532" s="131"/>
    </row>
    <row r="3533" spans="7:11" x14ac:dyDescent="0.2">
      <c r="G3533" s="131"/>
      <c r="H3533" s="131"/>
      <c r="I3533" s="131"/>
      <c r="J3533" s="132"/>
      <c r="K3533" s="131"/>
    </row>
    <row r="3534" spans="7:11" x14ac:dyDescent="0.2">
      <c r="G3534" s="131"/>
      <c r="H3534" s="131"/>
      <c r="I3534" s="131"/>
      <c r="J3534" s="132"/>
      <c r="K3534" s="131"/>
    </row>
    <row r="3535" spans="7:11" x14ac:dyDescent="0.2">
      <c r="G3535" s="131"/>
      <c r="H3535" s="131"/>
      <c r="I3535" s="131"/>
      <c r="J3535" s="132"/>
      <c r="K3535" s="131"/>
    </row>
    <row r="3536" spans="7:11" x14ac:dyDescent="0.2">
      <c r="G3536" s="131"/>
      <c r="H3536" s="131"/>
      <c r="I3536" s="131"/>
      <c r="J3536" s="132"/>
      <c r="K3536" s="131"/>
    </row>
    <row r="3537" spans="7:11" x14ac:dyDescent="0.2">
      <c r="G3537" s="131"/>
      <c r="H3537" s="131"/>
      <c r="I3537" s="131"/>
      <c r="J3537" s="132"/>
      <c r="K3537" s="131"/>
    </row>
    <row r="3538" spans="7:11" x14ac:dyDescent="0.2">
      <c r="G3538" s="131"/>
      <c r="H3538" s="131"/>
      <c r="I3538" s="131"/>
      <c r="J3538" s="132"/>
      <c r="K3538" s="131"/>
    </row>
    <row r="3539" spans="7:11" x14ac:dyDescent="0.2">
      <c r="G3539" s="131"/>
      <c r="H3539" s="131"/>
      <c r="I3539" s="131"/>
      <c r="J3539" s="132"/>
      <c r="K3539" s="131"/>
    </row>
    <row r="3540" spans="7:11" x14ac:dyDescent="0.2">
      <c r="G3540" s="131"/>
      <c r="H3540" s="131"/>
      <c r="I3540" s="131"/>
      <c r="J3540" s="132"/>
      <c r="K3540" s="131"/>
    </row>
    <row r="3541" spans="7:11" x14ac:dyDescent="0.2">
      <c r="G3541" s="131"/>
      <c r="H3541" s="131"/>
      <c r="I3541" s="131"/>
      <c r="J3541" s="132"/>
      <c r="K3541" s="131"/>
    </row>
    <row r="3542" spans="7:11" x14ac:dyDescent="0.2">
      <c r="G3542" s="131"/>
      <c r="H3542" s="131"/>
      <c r="I3542" s="131"/>
      <c r="J3542" s="132"/>
      <c r="K3542" s="131"/>
    </row>
    <row r="3543" spans="7:11" x14ac:dyDescent="0.2">
      <c r="G3543" s="131"/>
      <c r="H3543" s="131"/>
      <c r="I3543" s="131"/>
      <c r="J3543" s="132"/>
      <c r="K3543" s="131"/>
    </row>
    <row r="3544" spans="7:11" x14ac:dyDescent="0.2">
      <c r="G3544" s="131"/>
      <c r="H3544" s="131"/>
      <c r="I3544" s="131"/>
      <c r="J3544" s="132"/>
      <c r="K3544" s="131"/>
    </row>
    <row r="3545" spans="7:11" x14ac:dyDescent="0.2">
      <c r="G3545" s="131"/>
      <c r="H3545" s="131"/>
      <c r="I3545" s="131"/>
      <c r="J3545" s="132"/>
      <c r="K3545" s="131"/>
    </row>
    <row r="3546" spans="7:11" x14ac:dyDescent="0.2">
      <c r="G3546" s="131"/>
      <c r="H3546" s="131"/>
      <c r="I3546" s="131"/>
      <c r="J3546" s="132"/>
      <c r="K3546" s="131"/>
    </row>
    <row r="3547" spans="7:11" x14ac:dyDescent="0.2">
      <c r="G3547" s="131"/>
      <c r="H3547" s="131"/>
      <c r="I3547" s="131"/>
      <c r="J3547" s="132"/>
      <c r="K3547" s="131"/>
    </row>
    <row r="3548" spans="7:11" x14ac:dyDescent="0.2">
      <c r="G3548" s="131"/>
      <c r="H3548" s="131"/>
      <c r="I3548" s="131"/>
      <c r="J3548" s="132"/>
      <c r="K3548" s="131"/>
    </row>
    <row r="3549" spans="7:11" x14ac:dyDescent="0.2">
      <c r="G3549" s="131"/>
      <c r="H3549" s="131"/>
      <c r="I3549" s="131"/>
      <c r="J3549" s="132"/>
      <c r="K3549" s="131"/>
    </row>
    <row r="3550" spans="7:11" x14ac:dyDescent="0.2">
      <c r="G3550" s="131"/>
      <c r="H3550" s="131"/>
      <c r="I3550" s="131"/>
      <c r="J3550" s="132"/>
      <c r="K3550" s="131"/>
    </row>
    <row r="3551" spans="7:11" x14ac:dyDescent="0.2">
      <c r="G3551" s="131"/>
      <c r="H3551" s="131"/>
      <c r="I3551" s="131"/>
      <c r="J3551" s="132"/>
      <c r="K3551" s="131"/>
    </row>
    <row r="3552" spans="7:11" x14ac:dyDescent="0.2">
      <c r="G3552" s="131"/>
      <c r="H3552" s="131"/>
      <c r="I3552" s="131"/>
      <c r="J3552" s="132"/>
      <c r="K3552" s="131"/>
    </row>
    <row r="3553" spans="7:11" x14ac:dyDescent="0.2">
      <c r="G3553" s="131"/>
      <c r="H3553" s="131"/>
      <c r="I3553" s="131"/>
      <c r="J3553" s="132"/>
      <c r="K3553" s="131"/>
    </row>
    <row r="3554" spans="7:11" x14ac:dyDescent="0.2">
      <c r="G3554" s="131"/>
      <c r="H3554" s="131"/>
      <c r="I3554" s="131"/>
      <c r="J3554" s="132"/>
      <c r="K3554" s="131"/>
    </row>
    <row r="3555" spans="7:11" x14ac:dyDescent="0.2">
      <c r="G3555" s="131"/>
      <c r="H3555" s="131"/>
      <c r="I3555" s="131"/>
      <c r="J3555" s="132"/>
      <c r="K3555" s="131"/>
    </row>
    <row r="3556" spans="7:11" x14ac:dyDescent="0.2">
      <c r="G3556" s="131"/>
      <c r="H3556" s="131"/>
      <c r="I3556" s="131"/>
      <c r="J3556" s="132"/>
      <c r="K3556" s="131"/>
    </row>
    <row r="3557" spans="7:11" x14ac:dyDescent="0.2">
      <c r="G3557" s="131"/>
      <c r="H3557" s="131"/>
      <c r="I3557" s="131"/>
      <c r="J3557" s="132"/>
      <c r="K3557" s="131"/>
    </row>
    <row r="3558" spans="7:11" x14ac:dyDescent="0.2">
      <c r="G3558" s="131"/>
      <c r="H3558" s="131"/>
      <c r="I3558" s="131"/>
      <c r="J3558" s="132"/>
      <c r="K3558" s="131"/>
    </row>
    <row r="3559" spans="7:11" x14ac:dyDescent="0.2">
      <c r="G3559" s="131"/>
      <c r="H3559" s="131"/>
      <c r="I3559" s="131"/>
      <c r="J3559" s="132"/>
      <c r="K3559" s="131"/>
    </row>
    <row r="3560" spans="7:11" x14ac:dyDescent="0.2">
      <c r="G3560" s="131"/>
      <c r="H3560" s="131"/>
      <c r="I3560" s="131"/>
      <c r="J3560" s="132"/>
      <c r="K3560" s="131"/>
    </row>
    <row r="3561" spans="7:11" x14ac:dyDescent="0.2">
      <c r="G3561" s="131"/>
      <c r="H3561" s="131"/>
      <c r="I3561" s="131"/>
      <c r="J3561" s="132"/>
      <c r="K3561" s="131"/>
    </row>
    <row r="3562" spans="7:11" x14ac:dyDescent="0.2">
      <c r="G3562" s="131"/>
      <c r="H3562" s="131"/>
      <c r="I3562" s="131"/>
      <c r="J3562" s="132"/>
      <c r="K3562" s="131"/>
    </row>
    <row r="3563" spans="7:11" x14ac:dyDescent="0.2">
      <c r="G3563" s="131"/>
      <c r="H3563" s="131"/>
      <c r="I3563" s="131"/>
      <c r="J3563" s="132"/>
      <c r="K3563" s="131"/>
    </row>
    <row r="3564" spans="7:11" x14ac:dyDescent="0.2">
      <c r="G3564" s="131"/>
      <c r="H3564" s="131"/>
      <c r="I3564" s="131"/>
      <c r="J3564" s="132"/>
      <c r="K3564" s="131"/>
    </row>
    <row r="3565" spans="7:11" x14ac:dyDescent="0.2">
      <c r="G3565" s="131"/>
      <c r="H3565" s="131"/>
      <c r="I3565" s="131"/>
      <c r="J3565" s="132"/>
      <c r="K3565" s="131"/>
    </row>
    <row r="3566" spans="7:11" x14ac:dyDescent="0.2">
      <c r="G3566" s="131"/>
      <c r="H3566" s="131"/>
      <c r="I3566" s="131"/>
      <c r="J3566" s="132"/>
      <c r="K3566" s="131"/>
    </row>
    <row r="3567" spans="7:11" x14ac:dyDescent="0.2">
      <c r="G3567" s="131"/>
      <c r="H3567" s="131"/>
      <c r="I3567" s="131"/>
      <c r="J3567" s="132"/>
      <c r="K3567" s="131"/>
    </row>
    <row r="3568" spans="7:11" x14ac:dyDescent="0.2">
      <c r="G3568" s="131"/>
      <c r="H3568" s="131"/>
      <c r="I3568" s="131"/>
      <c r="J3568" s="132"/>
      <c r="K3568" s="131"/>
    </row>
    <row r="3569" spans="7:11" x14ac:dyDescent="0.2">
      <c r="G3569" s="131"/>
      <c r="H3569" s="131"/>
      <c r="I3569" s="131"/>
      <c r="J3569" s="132"/>
      <c r="K3569" s="131"/>
    </row>
    <row r="3570" spans="7:11" x14ac:dyDescent="0.2">
      <c r="G3570" s="131"/>
      <c r="H3570" s="131"/>
      <c r="I3570" s="131"/>
      <c r="J3570" s="132"/>
      <c r="K3570" s="131"/>
    </row>
    <row r="3571" spans="7:11" x14ac:dyDescent="0.2">
      <c r="G3571" s="131"/>
      <c r="H3571" s="131"/>
      <c r="I3571" s="131"/>
      <c r="J3571" s="132"/>
      <c r="K3571" s="131"/>
    </row>
    <row r="3572" spans="7:11" x14ac:dyDescent="0.2">
      <c r="G3572" s="131"/>
      <c r="H3572" s="131"/>
      <c r="I3572" s="131"/>
      <c r="J3572" s="132"/>
      <c r="K3572" s="131"/>
    </row>
    <row r="3573" spans="7:11" x14ac:dyDescent="0.2">
      <c r="G3573" s="131"/>
      <c r="H3573" s="131"/>
      <c r="I3573" s="131"/>
      <c r="J3573" s="132"/>
      <c r="K3573" s="131"/>
    </row>
    <row r="3574" spans="7:11" x14ac:dyDescent="0.2">
      <c r="G3574" s="131"/>
      <c r="H3574" s="131"/>
      <c r="I3574" s="131"/>
      <c r="J3574" s="132"/>
      <c r="K3574" s="131"/>
    </row>
    <row r="3575" spans="7:11" x14ac:dyDescent="0.2">
      <c r="G3575" s="131"/>
      <c r="H3575" s="131"/>
      <c r="I3575" s="131"/>
      <c r="J3575" s="132"/>
      <c r="K3575" s="131"/>
    </row>
    <row r="3576" spans="7:11" x14ac:dyDescent="0.2">
      <c r="G3576" s="131"/>
      <c r="H3576" s="131"/>
      <c r="I3576" s="131"/>
      <c r="J3576" s="132"/>
      <c r="K3576" s="131"/>
    </row>
    <row r="3577" spans="7:11" x14ac:dyDescent="0.2">
      <c r="G3577" s="131"/>
      <c r="H3577" s="131"/>
      <c r="I3577" s="131"/>
      <c r="J3577" s="132"/>
      <c r="K3577" s="131"/>
    </row>
    <row r="3578" spans="7:11" x14ac:dyDescent="0.2">
      <c r="G3578" s="131"/>
      <c r="H3578" s="131"/>
      <c r="I3578" s="131"/>
      <c r="J3578" s="132"/>
      <c r="K3578" s="131"/>
    </row>
    <row r="3579" spans="7:11" x14ac:dyDescent="0.2">
      <c r="G3579" s="131"/>
      <c r="H3579" s="131"/>
      <c r="I3579" s="131"/>
      <c r="J3579" s="132"/>
      <c r="K3579" s="131"/>
    </row>
    <row r="3580" spans="7:11" x14ac:dyDescent="0.2">
      <c r="G3580" s="131"/>
      <c r="H3580" s="131"/>
      <c r="I3580" s="131"/>
      <c r="J3580" s="132"/>
      <c r="K3580" s="131"/>
    </row>
    <row r="3581" spans="7:11" x14ac:dyDescent="0.2">
      <c r="G3581" s="131"/>
      <c r="H3581" s="131"/>
      <c r="I3581" s="131"/>
      <c r="J3581" s="132"/>
      <c r="K3581" s="131"/>
    </row>
    <row r="3582" spans="7:11" x14ac:dyDescent="0.2">
      <c r="G3582" s="131"/>
      <c r="H3582" s="131"/>
      <c r="I3582" s="131"/>
      <c r="J3582" s="132"/>
      <c r="K3582" s="131"/>
    </row>
    <row r="3583" spans="7:11" x14ac:dyDescent="0.2">
      <c r="G3583" s="131"/>
      <c r="H3583" s="131"/>
      <c r="I3583" s="131"/>
      <c r="J3583" s="132"/>
      <c r="K3583" s="131"/>
    </row>
    <row r="3584" spans="7:11" x14ac:dyDescent="0.2">
      <c r="G3584" s="131"/>
      <c r="H3584" s="131"/>
      <c r="I3584" s="131"/>
      <c r="J3584" s="132"/>
      <c r="K3584" s="131"/>
    </row>
    <row r="3585" spans="7:11" x14ac:dyDescent="0.2">
      <c r="G3585" s="131"/>
      <c r="H3585" s="131"/>
      <c r="I3585" s="131"/>
      <c r="J3585" s="132"/>
      <c r="K3585" s="131"/>
    </row>
    <row r="3586" spans="7:11" x14ac:dyDescent="0.2">
      <c r="G3586" s="131"/>
      <c r="H3586" s="131"/>
      <c r="I3586" s="131"/>
      <c r="J3586" s="132"/>
      <c r="K3586" s="131"/>
    </row>
    <row r="3587" spans="7:11" x14ac:dyDescent="0.2">
      <c r="G3587" s="131"/>
      <c r="H3587" s="131"/>
      <c r="I3587" s="131"/>
      <c r="J3587" s="132"/>
      <c r="K3587" s="131"/>
    </row>
    <row r="3588" spans="7:11" x14ac:dyDescent="0.2">
      <c r="G3588" s="131"/>
      <c r="H3588" s="131"/>
      <c r="I3588" s="131"/>
      <c r="J3588" s="132"/>
      <c r="K3588" s="131"/>
    </row>
    <row r="3589" spans="7:11" x14ac:dyDescent="0.2">
      <c r="G3589" s="131"/>
      <c r="H3589" s="131"/>
      <c r="I3589" s="131"/>
      <c r="J3589" s="132"/>
      <c r="K3589" s="131"/>
    </row>
    <row r="3590" spans="7:11" x14ac:dyDescent="0.2">
      <c r="G3590" s="131"/>
      <c r="H3590" s="131"/>
      <c r="I3590" s="131"/>
      <c r="J3590" s="132"/>
      <c r="K3590" s="131"/>
    </row>
    <row r="3591" spans="7:11" x14ac:dyDescent="0.2">
      <c r="G3591" s="131"/>
      <c r="H3591" s="131"/>
      <c r="I3591" s="131"/>
      <c r="J3591" s="132"/>
      <c r="K3591" s="131"/>
    </row>
    <row r="3592" spans="7:11" x14ac:dyDescent="0.2">
      <c r="G3592" s="131"/>
      <c r="H3592" s="131"/>
      <c r="I3592" s="131"/>
      <c r="J3592" s="132"/>
      <c r="K3592" s="131"/>
    </row>
    <row r="3593" spans="7:11" x14ac:dyDescent="0.2">
      <c r="G3593" s="131"/>
      <c r="H3593" s="131"/>
      <c r="I3593" s="131"/>
      <c r="J3593" s="132"/>
      <c r="K3593" s="131"/>
    </row>
    <row r="3594" spans="7:11" x14ac:dyDescent="0.2">
      <c r="G3594" s="131"/>
      <c r="H3594" s="131"/>
      <c r="I3594" s="131"/>
      <c r="J3594" s="132"/>
      <c r="K3594" s="131"/>
    </row>
    <row r="3595" spans="7:11" x14ac:dyDescent="0.2">
      <c r="G3595" s="131"/>
      <c r="H3595" s="131"/>
      <c r="I3595" s="131"/>
      <c r="J3595" s="132"/>
      <c r="K3595" s="131"/>
    </row>
    <row r="3596" spans="7:11" x14ac:dyDescent="0.2">
      <c r="G3596" s="131"/>
      <c r="H3596" s="131"/>
      <c r="I3596" s="131"/>
      <c r="J3596" s="132"/>
      <c r="K3596" s="131"/>
    </row>
    <row r="3597" spans="7:11" x14ac:dyDescent="0.2">
      <c r="G3597" s="131"/>
      <c r="H3597" s="131"/>
      <c r="I3597" s="131"/>
      <c r="J3597" s="132"/>
      <c r="K3597" s="131"/>
    </row>
    <row r="3598" spans="7:11" x14ac:dyDescent="0.2">
      <c r="G3598" s="131"/>
      <c r="H3598" s="131"/>
      <c r="I3598" s="131"/>
      <c r="J3598" s="132"/>
      <c r="K3598" s="131"/>
    </row>
    <row r="3599" spans="7:11" x14ac:dyDescent="0.2">
      <c r="G3599" s="131"/>
      <c r="H3599" s="131"/>
      <c r="I3599" s="131"/>
      <c r="J3599" s="132"/>
      <c r="K3599" s="131"/>
    </row>
    <row r="3600" spans="7:11" x14ac:dyDescent="0.2">
      <c r="G3600" s="131"/>
      <c r="H3600" s="131"/>
      <c r="I3600" s="131"/>
      <c r="J3600" s="132"/>
      <c r="K3600" s="131"/>
    </row>
    <row r="3601" spans="7:11" x14ac:dyDescent="0.2">
      <c r="G3601" s="131"/>
      <c r="H3601" s="131"/>
      <c r="I3601" s="131"/>
      <c r="J3601" s="132"/>
      <c r="K3601" s="131"/>
    </row>
    <row r="3602" spans="7:11" x14ac:dyDescent="0.2">
      <c r="G3602" s="131"/>
      <c r="H3602" s="131"/>
      <c r="I3602" s="131"/>
      <c r="J3602" s="132"/>
      <c r="K3602" s="131"/>
    </row>
    <row r="3603" spans="7:11" x14ac:dyDescent="0.2">
      <c r="G3603" s="131"/>
      <c r="H3603" s="131"/>
      <c r="I3603" s="131"/>
      <c r="J3603" s="132"/>
      <c r="K3603" s="131"/>
    </row>
    <row r="3604" spans="7:11" x14ac:dyDescent="0.2">
      <c r="G3604" s="131"/>
      <c r="H3604" s="131"/>
      <c r="I3604" s="131"/>
      <c r="J3604" s="132"/>
      <c r="K3604" s="131"/>
    </row>
    <row r="3605" spans="7:11" x14ac:dyDescent="0.2">
      <c r="G3605" s="131"/>
      <c r="H3605" s="131"/>
      <c r="I3605" s="131"/>
      <c r="J3605" s="132"/>
      <c r="K3605" s="131"/>
    </row>
    <row r="3606" spans="7:11" x14ac:dyDescent="0.2">
      <c r="G3606" s="131"/>
      <c r="H3606" s="131"/>
      <c r="I3606" s="131"/>
      <c r="J3606" s="132"/>
      <c r="K3606" s="131"/>
    </row>
    <row r="3607" spans="7:11" x14ac:dyDescent="0.2">
      <c r="G3607" s="131"/>
      <c r="H3607" s="131"/>
      <c r="I3607" s="131"/>
      <c r="J3607" s="132"/>
      <c r="K3607" s="131"/>
    </row>
    <row r="3608" spans="7:11" x14ac:dyDescent="0.2">
      <c r="G3608" s="131"/>
      <c r="H3608" s="131"/>
      <c r="I3608" s="131"/>
      <c r="J3608" s="132"/>
      <c r="K3608" s="131"/>
    </row>
    <row r="3609" spans="7:11" x14ac:dyDescent="0.2">
      <c r="G3609" s="131"/>
      <c r="H3609" s="131"/>
      <c r="I3609" s="131"/>
      <c r="J3609" s="132"/>
      <c r="K3609" s="131"/>
    </row>
    <row r="3610" spans="7:11" x14ac:dyDescent="0.2">
      <c r="G3610" s="131"/>
      <c r="H3610" s="131"/>
      <c r="I3610" s="131"/>
      <c r="J3610" s="132"/>
      <c r="K3610" s="131"/>
    </row>
    <row r="3611" spans="7:11" x14ac:dyDescent="0.2">
      <c r="G3611" s="131"/>
      <c r="H3611" s="131"/>
      <c r="I3611" s="131"/>
      <c r="J3611" s="132"/>
      <c r="K3611" s="131"/>
    </row>
    <row r="3612" spans="7:11" x14ac:dyDescent="0.2">
      <c r="G3612" s="131"/>
      <c r="H3612" s="131"/>
      <c r="I3612" s="131"/>
      <c r="J3612" s="132"/>
      <c r="K3612" s="131"/>
    </row>
    <row r="3613" spans="7:11" x14ac:dyDescent="0.2">
      <c r="G3613" s="131"/>
      <c r="H3613" s="131"/>
      <c r="I3613" s="131"/>
      <c r="J3613" s="132"/>
      <c r="K3613" s="131"/>
    </row>
    <row r="3614" spans="7:11" x14ac:dyDescent="0.2">
      <c r="G3614" s="131"/>
      <c r="H3614" s="131"/>
      <c r="I3614" s="131"/>
      <c r="J3614" s="132"/>
      <c r="K3614" s="131"/>
    </row>
    <row r="3615" spans="7:11" x14ac:dyDescent="0.2">
      <c r="G3615" s="131"/>
      <c r="H3615" s="131"/>
      <c r="I3615" s="131"/>
      <c r="J3615" s="132"/>
      <c r="K3615" s="131"/>
    </row>
    <row r="3616" spans="7:11" x14ac:dyDescent="0.2">
      <c r="G3616" s="131"/>
      <c r="H3616" s="131"/>
      <c r="I3616" s="131"/>
      <c r="J3616" s="132"/>
      <c r="K3616" s="131"/>
    </row>
    <row r="3617" spans="7:11" x14ac:dyDescent="0.2">
      <c r="G3617" s="131"/>
      <c r="H3617" s="131"/>
      <c r="I3617" s="131"/>
      <c r="J3617" s="132"/>
      <c r="K3617" s="131"/>
    </row>
    <row r="3618" spans="7:11" x14ac:dyDescent="0.2">
      <c r="G3618" s="131"/>
      <c r="H3618" s="131"/>
      <c r="I3618" s="131"/>
      <c r="J3618" s="132"/>
      <c r="K3618" s="131"/>
    </row>
    <row r="3619" spans="7:11" x14ac:dyDescent="0.2">
      <c r="G3619" s="131"/>
      <c r="H3619" s="131"/>
      <c r="I3619" s="131"/>
      <c r="J3619" s="132"/>
      <c r="K3619" s="131"/>
    </row>
    <row r="3620" spans="7:11" x14ac:dyDescent="0.2">
      <c r="G3620" s="131"/>
      <c r="H3620" s="131"/>
      <c r="I3620" s="131"/>
      <c r="J3620" s="132"/>
      <c r="K3620" s="131"/>
    </row>
    <row r="3621" spans="7:11" x14ac:dyDescent="0.2">
      <c r="G3621" s="131"/>
      <c r="H3621" s="131"/>
      <c r="I3621" s="131"/>
      <c r="J3621" s="132"/>
      <c r="K3621" s="131"/>
    </row>
    <row r="3622" spans="7:11" x14ac:dyDescent="0.2">
      <c r="G3622" s="131"/>
      <c r="H3622" s="131"/>
      <c r="I3622" s="131"/>
      <c r="J3622" s="132"/>
      <c r="K3622" s="131"/>
    </row>
    <row r="3623" spans="7:11" x14ac:dyDescent="0.2">
      <c r="G3623" s="131"/>
      <c r="H3623" s="131"/>
      <c r="I3623" s="131"/>
      <c r="J3623" s="132"/>
      <c r="K3623" s="131"/>
    </row>
    <row r="3624" spans="7:11" x14ac:dyDescent="0.2">
      <c r="G3624" s="131"/>
      <c r="H3624" s="131"/>
      <c r="I3624" s="131"/>
      <c r="J3624" s="132"/>
      <c r="K3624" s="131"/>
    </row>
    <row r="3625" spans="7:11" x14ac:dyDescent="0.2">
      <c r="G3625" s="131"/>
      <c r="H3625" s="131"/>
      <c r="I3625" s="131"/>
      <c r="J3625" s="132"/>
      <c r="K3625" s="131"/>
    </row>
    <row r="3626" spans="7:11" x14ac:dyDescent="0.2">
      <c r="G3626" s="131"/>
      <c r="H3626" s="131"/>
      <c r="I3626" s="131"/>
      <c r="J3626" s="132"/>
      <c r="K3626" s="131"/>
    </row>
    <row r="3627" spans="7:11" x14ac:dyDescent="0.2">
      <c r="G3627" s="131"/>
      <c r="H3627" s="131"/>
      <c r="I3627" s="131"/>
      <c r="J3627" s="132"/>
      <c r="K3627" s="131"/>
    </row>
    <row r="3628" spans="7:11" x14ac:dyDescent="0.2">
      <c r="G3628" s="131"/>
      <c r="H3628" s="131"/>
      <c r="I3628" s="131"/>
      <c r="J3628" s="132"/>
      <c r="K3628" s="131"/>
    </row>
    <row r="3629" spans="7:11" x14ac:dyDescent="0.2">
      <c r="G3629" s="131"/>
      <c r="H3629" s="131"/>
      <c r="I3629" s="131"/>
      <c r="J3629" s="132"/>
      <c r="K3629" s="131"/>
    </row>
    <row r="3630" spans="7:11" x14ac:dyDescent="0.2">
      <c r="G3630" s="131"/>
      <c r="H3630" s="131"/>
      <c r="I3630" s="131"/>
      <c r="J3630" s="132"/>
      <c r="K3630" s="131"/>
    </row>
    <row r="3631" spans="7:11" x14ac:dyDescent="0.2">
      <c r="G3631" s="131"/>
      <c r="H3631" s="131"/>
      <c r="I3631" s="131"/>
      <c r="J3631" s="132"/>
      <c r="K3631" s="131"/>
    </row>
    <row r="3632" spans="7:11" x14ac:dyDescent="0.2">
      <c r="G3632" s="131"/>
      <c r="H3632" s="131"/>
      <c r="I3632" s="131"/>
      <c r="J3632" s="132"/>
      <c r="K3632" s="131"/>
    </row>
    <row r="3633" spans="7:11" x14ac:dyDescent="0.2">
      <c r="G3633" s="131"/>
      <c r="H3633" s="131"/>
      <c r="I3633" s="131"/>
      <c r="J3633" s="132"/>
      <c r="K3633" s="131"/>
    </row>
    <row r="3634" spans="7:11" x14ac:dyDescent="0.2">
      <c r="G3634" s="131"/>
      <c r="H3634" s="131"/>
      <c r="I3634" s="131"/>
      <c r="J3634" s="132"/>
      <c r="K3634" s="131"/>
    </row>
    <row r="3635" spans="7:11" x14ac:dyDescent="0.2">
      <c r="G3635" s="131"/>
      <c r="H3635" s="131"/>
      <c r="I3635" s="131"/>
      <c r="J3635" s="132"/>
      <c r="K3635" s="131"/>
    </row>
    <row r="3636" spans="7:11" x14ac:dyDescent="0.2">
      <c r="G3636" s="131"/>
      <c r="H3636" s="131"/>
      <c r="I3636" s="131"/>
      <c r="J3636" s="132"/>
      <c r="K3636" s="131"/>
    </row>
    <row r="3637" spans="7:11" x14ac:dyDescent="0.2">
      <c r="G3637" s="131"/>
      <c r="H3637" s="131"/>
      <c r="I3637" s="131"/>
      <c r="J3637" s="132"/>
      <c r="K3637" s="131"/>
    </row>
    <row r="3638" spans="7:11" x14ac:dyDescent="0.2">
      <c r="G3638" s="131"/>
      <c r="H3638" s="131"/>
      <c r="I3638" s="131"/>
      <c r="J3638" s="132"/>
      <c r="K3638" s="131"/>
    </row>
    <row r="3639" spans="7:11" x14ac:dyDescent="0.2">
      <c r="G3639" s="131"/>
      <c r="H3639" s="131"/>
      <c r="I3639" s="131"/>
      <c r="J3639" s="132"/>
      <c r="K3639" s="131"/>
    </row>
    <row r="3640" spans="7:11" x14ac:dyDescent="0.2">
      <c r="G3640" s="131"/>
      <c r="H3640" s="131"/>
      <c r="I3640" s="131"/>
      <c r="J3640" s="132"/>
      <c r="K3640" s="131"/>
    </row>
    <row r="3641" spans="7:11" x14ac:dyDescent="0.2">
      <c r="G3641" s="131"/>
      <c r="H3641" s="131"/>
      <c r="I3641" s="131"/>
      <c r="J3641" s="132"/>
      <c r="K3641" s="131"/>
    </row>
    <row r="3642" spans="7:11" x14ac:dyDescent="0.2">
      <c r="G3642" s="131"/>
      <c r="H3642" s="131"/>
      <c r="I3642" s="131"/>
      <c r="J3642" s="132"/>
      <c r="K3642" s="131"/>
    </row>
    <row r="3643" spans="7:11" x14ac:dyDescent="0.2">
      <c r="G3643" s="131"/>
      <c r="H3643" s="131"/>
      <c r="I3643" s="131"/>
      <c r="J3643" s="132"/>
      <c r="K3643" s="131"/>
    </row>
    <row r="3644" spans="7:11" x14ac:dyDescent="0.2">
      <c r="G3644" s="131"/>
      <c r="H3644" s="131"/>
      <c r="I3644" s="131"/>
      <c r="J3644" s="132"/>
      <c r="K3644" s="131"/>
    </row>
    <row r="3645" spans="7:11" x14ac:dyDescent="0.2">
      <c r="G3645" s="131"/>
      <c r="H3645" s="131"/>
      <c r="I3645" s="131"/>
      <c r="J3645" s="132"/>
      <c r="K3645" s="131"/>
    </row>
    <row r="3646" spans="7:11" x14ac:dyDescent="0.2">
      <c r="G3646" s="131"/>
      <c r="H3646" s="131"/>
      <c r="I3646" s="131"/>
      <c r="J3646" s="132"/>
      <c r="K3646" s="131"/>
    </row>
    <row r="3647" spans="7:11" x14ac:dyDescent="0.2">
      <c r="G3647" s="131"/>
      <c r="H3647" s="131"/>
      <c r="I3647" s="131"/>
      <c r="J3647" s="132"/>
      <c r="K3647" s="131"/>
    </row>
    <row r="3648" spans="7:11" x14ac:dyDescent="0.2">
      <c r="G3648" s="131"/>
      <c r="H3648" s="131"/>
      <c r="I3648" s="131"/>
      <c r="J3648" s="132"/>
      <c r="K3648" s="131"/>
    </row>
    <row r="3649" spans="7:11" x14ac:dyDescent="0.2">
      <c r="G3649" s="131"/>
      <c r="H3649" s="131"/>
      <c r="I3649" s="131"/>
      <c r="J3649" s="132"/>
      <c r="K3649" s="131"/>
    </row>
    <row r="3650" spans="7:11" x14ac:dyDescent="0.2">
      <c r="G3650" s="131"/>
      <c r="H3650" s="131"/>
      <c r="I3650" s="131"/>
      <c r="J3650" s="132"/>
      <c r="K3650" s="131"/>
    </row>
    <row r="3651" spans="7:11" x14ac:dyDescent="0.2">
      <c r="G3651" s="131"/>
      <c r="H3651" s="131"/>
      <c r="I3651" s="131"/>
      <c r="J3651" s="132"/>
      <c r="K3651" s="131"/>
    </row>
    <row r="3652" spans="7:11" x14ac:dyDescent="0.2">
      <c r="G3652" s="131"/>
      <c r="H3652" s="131"/>
      <c r="I3652" s="131"/>
      <c r="J3652" s="132"/>
      <c r="K3652" s="131"/>
    </row>
    <row r="3653" spans="7:11" x14ac:dyDescent="0.2">
      <c r="G3653" s="131"/>
      <c r="H3653" s="131"/>
      <c r="I3653" s="131"/>
      <c r="J3653" s="132"/>
      <c r="K3653" s="131"/>
    </row>
    <row r="3654" spans="7:11" x14ac:dyDescent="0.2">
      <c r="G3654" s="131"/>
      <c r="H3654" s="131"/>
      <c r="I3654" s="131"/>
      <c r="J3654" s="132"/>
      <c r="K3654" s="131"/>
    </row>
    <row r="3655" spans="7:11" x14ac:dyDescent="0.2">
      <c r="G3655" s="131"/>
      <c r="H3655" s="131"/>
      <c r="I3655" s="131"/>
      <c r="J3655" s="132"/>
      <c r="K3655" s="131"/>
    </row>
    <row r="3656" spans="7:11" x14ac:dyDescent="0.2">
      <c r="G3656" s="131"/>
      <c r="H3656" s="131"/>
      <c r="I3656" s="131"/>
      <c r="J3656" s="132"/>
      <c r="K3656" s="131"/>
    </row>
    <row r="3657" spans="7:11" x14ac:dyDescent="0.2">
      <c r="G3657" s="131"/>
      <c r="H3657" s="131"/>
      <c r="I3657" s="131"/>
      <c r="J3657" s="132"/>
      <c r="K3657" s="131"/>
    </row>
    <row r="3658" spans="7:11" x14ac:dyDescent="0.2">
      <c r="G3658" s="131"/>
      <c r="H3658" s="131"/>
      <c r="I3658" s="131"/>
      <c r="J3658" s="132"/>
      <c r="K3658" s="131"/>
    </row>
    <row r="3659" spans="7:11" x14ac:dyDescent="0.2">
      <c r="G3659" s="131"/>
      <c r="H3659" s="131"/>
      <c r="I3659" s="131"/>
      <c r="J3659" s="132"/>
      <c r="K3659" s="131"/>
    </row>
    <row r="3660" spans="7:11" x14ac:dyDescent="0.2">
      <c r="G3660" s="131"/>
      <c r="H3660" s="131"/>
      <c r="I3660" s="131"/>
      <c r="J3660" s="132"/>
      <c r="K3660" s="131"/>
    </row>
    <row r="3661" spans="7:11" x14ac:dyDescent="0.2">
      <c r="G3661" s="131"/>
      <c r="H3661" s="131"/>
      <c r="I3661" s="131"/>
      <c r="J3661" s="132"/>
      <c r="K3661" s="131"/>
    </row>
    <row r="3662" spans="7:11" x14ac:dyDescent="0.2">
      <c r="G3662" s="131"/>
      <c r="H3662" s="131"/>
      <c r="I3662" s="131"/>
      <c r="J3662" s="132"/>
      <c r="K3662" s="131"/>
    </row>
    <row r="3663" spans="7:11" x14ac:dyDescent="0.2">
      <c r="G3663" s="131"/>
      <c r="H3663" s="131"/>
      <c r="I3663" s="131"/>
      <c r="J3663" s="132"/>
      <c r="K3663" s="131"/>
    </row>
    <row r="3664" spans="7:11" x14ac:dyDescent="0.2">
      <c r="G3664" s="131"/>
      <c r="H3664" s="131"/>
      <c r="I3664" s="131"/>
      <c r="J3664" s="132"/>
      <c r="K3664" s="131"/>
    </row>
    <row r="3665" spans="7:11" x14ac:dyDescent="0.2">
      <c r="G3665" s="131"/>
      <c r="H3665" s="131"/>
      <c r="I3665" s="131"/>
      <c r="J3665" s="132"/>
      <c r="K3665" s="131"/>
    </row>
    <row r="3666" spans="7:11" x14ac:dyDescent="0.2">
      <c r="G3666" s="131"/>
      <c r="H3666" s="131"/>
      <c r="I3666" s="131"/>
      <c r="J3666" s="132"/>
      <c r="K3666" s="131"/>
    </row>
    <row r="3667" spans="7:11" x14ac:dyDescent="0.2">
      <c r="G3667" s="131"/>
      <c r="H3667" s="131"/>
      <c r="I3667" s="131"/>
      <c r="J3667" s="132"/>
      <c r="K3667" s="131"/>
    </row>
    <row r="3668" spans="7:11" x14ac:dyDescent="0.2">
      <c r="G3668" s="131"/>
      <c r="H3668" s="131"/>
      <c r="I3668" s="131"/>
      <c r="J3668" s="132"/>
      <c r="K3668" s="131"/>
    </row>
    <row r="3669" spans="7:11" x14ac:dyDescent="0.2">
      <c r="G3669" s="131"/>
      <c r="H3669" s="131"/>
      <c r="I3669" s="131"/>
      <c r="J3669" s="132"/>
      <c r="K3669" s="131"/>
    </row>
    <row r="3670" spans="7:11" x14ac:dyDescent="0.2">
      <c r="G3670" s="131"/>
      <c r="H3670" s="131"/>
      <c r="I3670" s="131"/>
      <c r="J3670" s="132"/>
      <c r="K3670" s="131"/>
    </row>
    <row r="3671" spans="7:11" x14ac:dyDescent="0.2">
      <c r="G3671" s="131"/>
      <c r="H3671" s="131"/>
      <c r="I3671" s="131"/>
      <c r="J3671" s="132"/>
      <c r="K3671" s="131"/>
    </row>
    <row r="3672" spans="7:11" x14ac:dyDescent="0.2">
      <c r="G3672" s="131"/>
      <c r="H3672" s="131"/>
      <c r="I3672" s="131"/>
      <c r="J3672" s="132"/>
      <c r="K3672" s="131"/>
    </row>
    <row r="3673" spans="7:11" x14ac:dyDescent="0.2">
      <c r="G3673" s="131"/>
      <c r="H3673" s="131"/>
      <c r="I3673" s="131"/>
      <c r="J3673" s="132"/>
      <c r="K3673" s="131"/>
    </row>
    <row r="3674" spans="7:11" x14ac:dyDescent="0.2">
      <c r="G3674" s="131"/>
      <c r="H3674" s="131"/>
      <c r="I3674" s="131"/>
      <c r="J3674" s="132"/>
      <c r="K3674" s="131"/>
    </row>
    <row r="3675" spans="7:11" x14ac:dyDescent="0.2">
      <c r="G3675" s="131"/>
      <c r="H3675" s="131"/>
      <c r="I3675" s="131"/>
      <c r="J3675" s="132"/>
      <c r="K3675" s="131"/>
    </row>
    <row r="3676" spans="7:11" x14ac:dyDescent="0.2">
      <c r="G3676" s="131"/>
      <c r="H3676" s="131"/>
      <c r="I3676" s="131"/>
      <c r="J3676" s="132"/>
      <c r="K3676" s="131"/>
    </row>
    <row r="3677" spans="7:11" x14ac:dyDescent="0.2">
      <c r="G3677" s="131"/>
      <c r="H3677" s="131"/>
      <c r="I3677" s="131"/>
      <c r="J3677" s="132"/>
      <c r="K3677" s="131"/>
    </row>
    <row r="3678" spans="7:11" x14ac:dyDescent="0.2">
      <c r="G3678" s="131"/>
      <c r="H3678" s="131"/>
      <c r="I3678" s="131"/>
      <c r="J3678" s="132"/>
      <c r="K3678" s="131"/>
    </row>
    <row r="3679" spans="7:11" x14ac:dyDescent="0.2">
      <c r="G3679" s="131"/>
      <c r="H3679" s="131"/>
      <c r="I3679" s="131"/>
      <c r="J3679" s="132"/>
      <c r="K3679" s="131"/>
    </row>
    <row r="3680" spans="7:11" x14ac:dyDescent="0.2">
      <c r="G3680" s="131"/>
      <c r="H3680" s="131"/>
      <c r="I3680" s="131"/>
      <c r="J3680" s="132"/>
      <c r="K3680" s="131"/>
    </row>
    <row r="3681" spans="7:11" x14ac:dyDescent="0.2">
      <c r="G3681" s="131"/>
      <c r="H3681" s="131"/>
      <c r="I3681" s="131"/>
      <c r="J3681" s="132"/>
      <c r="K3681" s="131"/>
    </row>
    <row r="3682" spans="7:11" x14ac:dyDescent="0.2">
      <c r="G3682" s="131"/>
      <c r="H3682" s="131"/>
      <c r="I3682" s="131"/>
      <c r="J3682" s="132"/>
      <c r="K3682" s="131"/>
    </row>
    <row r="3683" spans="7:11" x14ac:dyDescent="0.2">
      <c r="G3683" s="131"/>
      <c r="H3683" s="131"/>
      <c r="I3683" s="131"/>
      <c r="J3683" s="132"/>
      <c r="K3683" s="131"/>
    </row>
    <row r="3684" spans="7:11" x14ac:dyDescent="0.2">
      <c r="G3684" s="131"/>
      <c r="H3684" s="131"/>
      <c r="I3684" s="131"/>
      <c r="J3684" s="132"/>
      <c r="K3684" s="131"/>
    </row>
    <row r="3685" spans="7:11" x14ac:dyDescent="0.2">
      <c r="G3685" s="131"/>
      <c r="H3685" s="131"/>
      <c r="I3685" s="131"/>
      <c r="J3685" s="132"/>
      <c r="K3685" s="131"/>
    </row>
    <row r="3686" spans="7:11" x14ac:dyDescent="0.2">
      <c r="G3686" s="131"/>
      <c r="H3686" s="131"/>
      <c r="I3686" s="131"/>
      <c r="J3686" s="132"/>
      <c r="K3686" s="131"/>
    </row>
    <row r="3687" spans="7:11" x14ac:dyDescent="0.2">
      <c r="G3687" s="131"/>
      <c r="H3687" s="131"/>
      <c r="I3687" s="131"/>
      <c r="J3687" s="132"/>
      <c r="K3687" s="131"/>
    </row>
    <row r="3688" spans="7:11" x14ac:dyDescent="0.2">
      <c r="G3688" s="131"/>
      <c r="H3688" s="131"/>
      <c r="I3688" s="131"/>
      <c r="J3688" s="132"/>
      <c r="K3688" s="131"/>
    </row>
    <row r="3689" spans="7:11" x14ac:dyDescent="0.2">
      <c r="G3689" s="131"/>
      <c r="H3689" s="131"/>
      <c r="I3689" s="131"/>
      <c r="J3689" s="132"/>
      <c r="K3689" s="131"/>
    </row>
    <row r="3690" spans="7:11" x14ac:dyDescent="0.2">
      <c r="G3690" s="131"/>
      <c r="H3690" s="131"/>
      <c r="I3690" s="131"/>
      <c r="J3690" s="132"/>
      <c r="K3690" s="131"/>
    </row>
    <row r="3691" spans="7:11" x14ac:dyDescent="0.2">
      <c r="G3691" s="131"/>
      <c r="H3691" s="131"/>
      <c r="I3691" s="131"/>
      <c r="J3691" s="132"/>
      <c r="K3691" s="131"/>
    </row>
    <row r="3692" spans="7:11" x14ac:dyDescent="0.2">
      <c r="G3692" s="131"/>
      <c r="H3692" s="131"/>
      <c r="I3692" s="131"/>
      <c r="J3692" s="132"/>
      <c r="K3692" s="131"/>
    </row>
    <row r="3693" spans="7:11" x14ac:dyDescent="0.2">
      <c r="G3693" s="131"/>
      <c r="H3693" s="131"/>
      <c r="I3693" s="131"/>
      <c r="J3693" s="132"/>
      <c r="K3693" s="131"/>
    </row>
    <row r="3694" spans="7:11" x14ac:dyDescent="0.2">
      <c r="G3694" s="131"/>
      <c r="H3694" s="131"/>
      <c r="I3694" s="131"/>
      <c r="J3694" s="132"/>
      <c r="K3694" s="131"/>
    </row>
    <row r="3695" spans="7:11" x14ac:dyDescent="0.2">
      <c r="G3695" s="131"/>
      <c r="H3695" s="131"/>
      <c r="I3695" s="131"/>
      <c r="J3695" s="132"/>
      <c r="K3695" s="131"/>
    </row>
    <row r="3696" spans="7:11" x14ac:dyDescent="0.2">
      <c r="G3696" s="131"/>
      <c r="H3696" s="131"/>
      <c r="I3696" s="131"/>
      <c r="J3696" s="132"/>
      <c r="K3696" s="131"/>
    </row>
    <row r="3697" spans="7:11" x14ac:dyDescent="0.2">
      <c r="G3697" s="131"/>
      <c r="H3697" s="131"/>
      <c r="I3697" s="131"/>
      <c r="J3697" s="132"/>
      <c r="K3697" s="131"/>
    </row>
    <row r="3698" spans="7:11" x14ac:dyDescent="0.2">
      <c r="G3698" s="131"/>
      <c r="H3698" s="131"/>
      <c r="I3698" s="131"/>
      <c r="J3698" s="132"/>
      <c r="K3698" s="131"/>
    </row>
    <row r="3699" spans="7:11" x14ac:dyDescent="0.2">
      <c r="G3699" s="131"/>
      <c r="H3699" s="131"/>
      <c r="I3699" s="131"/>
      <c r="J3699" s="132"/>
      <c r="K3699" s="131"/>
    </row>
    <row r="3700" spans="7:11" x14ac:dyDescent="0.2">
      <c r="G3700" s="131"/>
      <c r="H3700" s="131"/>
      <c r="I3700" s="131"/>
      <c r="J3700" s="132"/>
      <c r="K3700" s="131"/>
    </row>
    <row r="3701" spans="7:11" x14ac:dyDescent="0.2">
      <c r="G3701" s="131"/>
      <c r="H3701" s="131"/>
      <c r="I3701" s="131"/>
      <c r="J3701" s="132"/>
      <c r="K3701" s="131"/>
    </row>
    <row r="3702" spans="7:11" x14ac:dyDescent="0.2">
      <c r="G3702" s="131"/>
      <c r="H3702" s="131"/>
      <c r="I3702" s="131"/>
      <c r="J3702" s="132"/>
      <c r="K3702" s="131"/>
    </row>
    <row r="3703" spans="7:11" x14ac:dyDescent="0.2">
      <c r="G3703" s="131"/>
      <c r="H3703" s="131"/>
      <c r="I3703" s="131"/>
      <c r="J3703" s="132"/>
      <c r="K3703" s="131"/>
    </row>
    <row r="3704" spans="7:11" x14ac:dyDescent="0.2">
      <c r="G3704" s="131"/>
      <c r="H3704" s="131"/>
      <c r="I3704" s="131"/>
      <c r="J3704" s="132"/>
      <c r="K3704" s="131"/>
    </row>
    <row r="3705" spans="7:11" x14ac:dyDescent="0.2">
      <c r="G3705" s="131"/>
      <c r="H3705" s="131"/>
      <c r="I3705" s="131"/>
      <c r="J3705" s="132"/>
      <c r="K3705" s="131"/>
    </row>
    <row r="3706" spans="7:11" x14ac:dyDescent="0.2">
      <c r="G3706" s="131"/>
      <c r="H3706" s="131"/>
      <c r="I3706" s="131"/>
      <c r="J3706" s="132"/>
      <c r="K3706" s="131"/>
    </row>
    <row r="3707" spans="7:11" x14ac:dyDescent="0.2">
      <c r="G3707" s="131"/>
      <c r="H3707" s="131"/>
      <c r="I3707" s="131"/>
      <c r="J3707" s="132"/>
      <c r="K3707" s="131"/>
    </row>
    <row r="3708" spans="7:11" x14ac:dyDescent="0.2">
      <c r="G3708" s="131"/>
      <c r="H3708" s="131"/>
      <c r="I3708" s="131"/>
      <c r="J3708" s="132"/>
      <c r="K3708" s="131"/>
    </row>
    <row r="3709" spans="7:11" x14ac:dyDescent="0.2">
      <c r="G3709" s="131"/>
      <c r="H3709" s="131"/>
      <c r="I3709" s="131"/>
      <c r="J3709" s="132"/>
      <c r="K3709" s="131"/>
    </row>
    <row r="3710" spans="7:11" x14ac:dyDescent="0.2">
      <c r="G3710" s="131"/>
      <c r="H3710" s="131"/>
      <c r="I3710" s="131"/>
      <c r="J3710" s="132"/>
      <c r="K3710" s="131"/>
    </row>
    <row r="3711" spans="7:11" x14ac:dyDescent="0.2">
      <c r="G3711" s="131"/>
      <c r="H3711" s="131"/>
      <c r="I3711" s="131"/>
      <c r="J3711" s="132"/>
      <c r="K3711" s="131"/>
    </row>
    <row r="3712" spans="7:11" x14ac:dyDescent="0.2">
      <c r="G3712" s="131"/>
      <c r="H3712" s="131"/>
      <c r="I3712" s="131"/>
      <c r="J3712" s="132"/>
      <c r="K3712" s="131"/>
    </row>
    <row r="3713" spans="7:11" x14ac:dyDescent="0.2">
      <c r="G3713" s="131"/>
      <c r="H3713" s="131"/>
      <c r="I3713" s="131"/>
      <c r="J3713" s="132"/>
      <c r="K3713" s="131"/>
    </row>
    <row r="3714" spans="7:11" x14ac:dyDescent="0.2">
      <c r="G3714" s="131"/>
      <c r="H3714" s="131"/>
      <c r="I3714" s="131"/>
      <c r="J3714" s="132"/>
      <c r="K3714" s="131"/>
    </row>
    <row r="3715" spans="7:11" x14ac:dyDescent="0.2">
      <c r="G3715" s="131"/>
      <c r="H3715" s="131"/>
      <c r="I3715" s="131"/>
      <c r="J3715" s="132"/>
      <c r="K3715" s="131"/>
    </row>
    <row r="3716" spans="7:11" x14ac:dyDescent="0.2">
      <c r="G3716" s="131"/>
      <c r="H3716" s="131"/>
      <c r="I3716" s="131"/>
      <c r="J3716" s="132"/>
      <c r="K3716" s="131"/>
    </row>
    <row r="3717" spans="7:11" x14ac:dyDescent="0.2">
      <c r="G3717" s="131"/>
      <c r="H3717" s="131"/>
      <c r="I3717" s="131"/>
      <c r="J3717" s="132"/>
      <c r="K3717" s="131"/>
    </row>
    <row r="3718" spans="7:11" x14ac:dyDescent="0.2">
      <c r="G3718" s="131"/>
      <c r="H3718" s="131"/>
      <c r="I3718" s="131"/>
      <c r="J3718" s="132"/>
      <c r="K3718" s="131"/>
    </row>
    <row r="3719" spans="7:11" x14ac:dyDescent="0.2">
      <c r="G3719" s="131"/>
      <c r="H3719" s="131"/>
      <c r="I3719" s="131"/>
      <c r="J3719" s="132"/>
      <c r="K3719" s="131"/>
    </row>
    <row r="3720" spans="7:11" x14ac:dyDescent="0.2">
      <c r="G3720" s="131"/>
      <c r="H3720" s="131"/>
      <c r="I3720" s="131"/>
      <c r="J3720" s="132"/>
      <c r="K3720" s="131"/>
    </row>
    <row r="3721" spans="7:11" x14ac:dyDescent="0.2">
      <c r="G3721" s="131"/>
      <c r="H3721" s="131"/>
      <c r="I3721" s="131"/>
      <c r="J3721" s="132"/>
      <c r="K3721" s="131"/>
    </row>
    <row r="3722" spans="7:11" x14ac:dyDescent="0.2">
      <c r="G3722" s="131"/>
      <c r="H3722" s="131"/>
      <c r="I3722" s="131"/>
      <c r="J3722" s="132"/>
      <c r="K3722" s="131"/>
    </row>
    <row r="3723" spans="7:11" x14ac:dyDescent="0.2">
      <c r="G3723" s="131"/>
      <c r="H3723" s="131"/>
      <c r="I3723" s="131"/>
      <c r="J3723" s="132"/>
      <c r="K3723" s="131"/>
    </row>
    <row r="3724" spans="7:11" x14ac:dyDescent="0.2">
      <c r="G3724" s="131"/>
      <c r="H3724" s="131"/>
      <c r="I3724" s="131"/>
      <c r="J3724" s="132"/>
      <c r="K3724" s="131"/>
    </row>
    <row r="3725" spans="7:11" x14ac:dyDescent="0.2">
      <c r="G3725" s="131"/>
      <c r="H3725" s="131"/>
      <c r="I3725" s="131"/>
      <c r="J3725" s="132"/>
      <c r="K3725" s="131"/>
    </row>
    <row r="3726" spans="7:11" x14ac:dyDescent="0.2">
      <c r="G3726" s="131"/>
      <c r="H3726" s="131"/>
      <c r="I3726" s="131"/>
      <c r="J3726" s="132"/>
      <c r="K3726" s="131"/>
    </row>
    <row r="3727" spans="7:11" x14ac:dyDescent="0.2">
      <c r="G3727" s="131"/>
      <c r="H3727" s="131"/>
      <c r="I3727" s="131"/>
      <c r="J3727" s="132"/>
      <c r="K3727" s="131"/>
    </row>
    <row r="3728" spans="7:11" x14ac:dyDescent="0.2">
      <c r="G3728" s="131"/>
      <c r="H3728" s="131"/>
      <c r="I3728" s="131"/>
      <c r="J3728" s="132"/>
      <c r="K3728" s="131"/>
    </row>
    <row r="3729" spans="7:11" x14ac:dyDescent="0.2">
      <c r="G3729" s="131"/>
      <c r="H3729" s="131"/>
      <c r="I3729" s="131"/>
      <c r="J3729" s="132"/>
      <c r="K3729" s="131"/>
    </row>
    <row r="3730" spans="7:11" x14ac:dyDescent="0.2">
      <c r="G3730" s="131"/>
      <c r="H3730" s="131"/>
      <c r="I3730" s="131"/>
      <c r="J3730" s="132"/>
      <c r="K3730" s="131"/>
    </row>
    <row r="3731" spans="7:11" x14ac:dyDescent="0.2">
      <c r="G3731" s="131"/>
      <c r="H3731" s="131"/>
      <c r="I3731" s="131"/>
      <c r="J3731" s="132"/>
      <c r="K3731" s="131"/>
    </row>
    <row r="3732" spans="7:11" x14ac:dyDescent="0.2">
      <c r="G3732" s="131"/>
      <c r="H3732" s="131"/>
      <c r="I3732" s="131"/>
      <c r="J3732" s="132"/>
      <c r="K3732" s="131"/>
    </row>
    <row r="3733" spans="7:11" x14ac:dyDescent="0.2">
      <c r="G3733" s="131"/>
      <c r="H3733" s="131"/>
      <c r="I3733" s="131"/>
      <c r="J3733" s="132"/>
      <c r="K3733" s="131"/>
    </row>
    <row r="3734" spans="7:11" x14ac:dyDescent="0.2">
      <c r="G3734" s="131"/>
      <c r="H3734" s="131"/>
      <c r="I3734" s="131"/>
      <c r="J3734" s="132"/>
      <c r="K3734" s="131"/>
    </row>
    <row r="3735" spans="7:11" x14ac:dyDescent="0.2">
      <c r="G3735" s="131"/>
      <c r="H3735" s="131"/>
      <c r="I3735" s="131"/>
      <c r="J3735" s="132"/>
      <c r="K3735" s="131"/>
    </row>
    <row r="3736" spans="7:11" x14ac:dyDescent="0.2">
      <c r="G3736" s="131"/>
      <c r="H3736" s="131"/>
      <c r="I3736" s="131"/>
      <c r="J3736" s="132"/>
      <c r="K3736" s="131"/>
    </row>
    <row r="3737" spans="7:11" x14ac:dyDescent="0.2">
      <c r="G3737" s="131"/>
      <c r="H3737" s="131"/>
      <c r="I3737" s="131"/>
      <c r="J3737" s="132"/>
      <c r="K3737" s="131"/>
    </row>
    <row r="3738" spans="7:11" x14ac:dyDescent="0.2">
      <c r="G3738" s="131"/>
      <c r="H3738" s="131"/>
      <c r="I3738" s="131"/>
      <c r="J3738" s="132"/>
      <c r="K3738" s="131"/>
    </row>
    <row r="3739" spans="7:11" x14ac:dyDescent="0.2">
      <c r="G3739" s="131"/>
      <c r="H3739" s="131"/>
      <c r="I3739" s="131"/>
      <c r="J3739" s="132"/>
      <c r="K3739" s="131"/>
    </row>
    <row r="3740" spans="7:11" x14ac:dyDescent="0.2">
      <c r="G3740" s="131"/>
      <c r="H3740" s="131"/>
      <c r="I3740" s="131"/>
      <c r="J3740" s="132"/>
      <c r="K3740" s="131"/>
    </row>
    <row r="3741" spans="7:11" x14ac:dyDescent="0.2">
      <c r="G3741" s="131"/>
      <c r="H3741" s="131"/>
      <c r="I3741" s="131"/>
      <c r="J3741" s="132"/>
      <c r="K3741" s="131"/>
    </row>
    <row r="3742" spans="7:11" x14ac:dyDescent="0.2">
      <c r="G3742" s="131"/>
      <c r="H3742" s="131"/>
      <c r="I3742" s="131"/>
      <c r="J3742" s="132"/>
      <c r="K3742" s="131"/>
    </row>
    <row r="3743" spans="7:11" x14ac:dyDescent="0.2">
      <c r="G3743" s="131"/>
      <c r="H3743" s="131"/>
      <c r="I3743" s="131"/>
      <c r="J3743" s="132"/>
      <c r="K3743" s="131"/>
    </row>
    <row r="3744" spans="7:11" x14ac:dyDescent="0.2">
      <c r="G3744" s="131"/>
      <c r="H3744" s="131"/>
      <c r="I3744" s="131"/>
      <c r="J3744" s="132"/>
      <c r="K3744" s="131"/>
    </row>
    <row r="3745" spans="7:11" x14ac:dyDescent="0.2">
      <c r="G3745" s="131"/>
      <c r="H3745" s="131"/>
      <c r="I3745" s="131"/>
      <c r="J3745" s="132"/>
      <c r="K3745" s="131"/>
    </row>
    <row r="3746" spans="7:11" x14ac:dyDescent="0.2">
      <c r="G3746" s="131"/>
      <c r="H3746" s="131"/>
      <c r="I3746" s="131"/>
      <c r="J3746" s="132"/>
      <c r="K3746" s="131"/>
    </row>
    <row r="3747" spans="7:11" x14ac:dyDescent="0.2">
      <c r="G3747" s="131"/>
      <c r="H3747" s="131"/>
      <c r="I3747" s="131"/>
      <c r="J3747" s="132"/>
      <c r="K3747" s="131"/>
    </row>
    <row r="3748" spans="7:11" x14ac:dyDescent="0.2">
      <c r="G3748" s="131"/>
      <c r="H3748" s="131"/>
      <c r="I3748" s="131"/>
      <c r="J3748" s="132"/>
      <c r="K3748" s="131"/>
    </row>
    <row r="3749" spans="7:11" x14ac:dyDescent="0.2">
      <c r="G3749" s="131"/>
      <c r="H3749" s="131"/>
      <c r="I3749" s="131"/>
      <c r="J3749" s="132"/>
      <c r="K3749" s="131"/>
    </row>
    <row r="3750" spans="7:11" x14ac:dyDescent="0.2">
      <c r="G3750" s="131"/>
      <c r="H3750" s="131"/>
      <c r="I3750" s="131"/>
      <c r="J3750" s="132"/>
      <c r="K3750" s="131"/>
    </row>
    <row r="3751" spans="7:11" x14ac:dyDescent="0.2">
      <c r="G3751" s="131"/>
      <c r="H3751" s="131"/>
      <c r="I3751" s="131"/>
      <c r="J3751" s="132"/>
      <c r="K3751" s="131"/>
    </row>
    <row r="3752" spans="7:11" x14ac:dyDescent="0.2">
      <c r="G3752" s="131"/>
      <c r="H3752" s="131"/>
      <c r="I3752" s="131"/>
      <c r="J3752" s="132"/>
      <c r="K3752" s="131"/>
    </row>
    <row r="3753" spans="7:11" x14ac:dyDescent="0.2">
      <c r="G3753" s="131"/>
      <c r="H3753" s="131"/>
      <c r="I3753" s="131"/>
      <c r="J3753" s="132"/>
      <c r="K3753" s="131"/>
    </row>
    <row r="3754" spans="7:11" x14ac:dyDescent="0.2">
      <c r="G3754" s="131"/>
      <c r="H3754" s="131"/>
      <c r="I3754" s="131"/>
      <c r="J3754" s="132"/>
      <c r="K3754" s="131"/>
    </row>
    <row r="3755" spans="7:11" x14ac:dyDescent="0.2">
      <c r="G3755" s="131"/>
      <c r="H3755" s="131"/>
      <c r="I3755" s="131"/>
      <c r="J3755" s="132"/>
      <c r="K3755" s="131"/>
    </row>
    <row r="3756" spans="7:11" x14ac:dyDescent="0.2">
      <c r="G3756" s="131"/>
      <c r="H3756" s="131"/>
      <c r="I3756" s="131"/>
      <c r="J3756" s="132"/>
      <c r="K3756" s="131"/>
    </row>
    <row r="3757" spans="7:11" x14ac:dyDescent="0.2">
      <c r="G3757" s="131"/>
      <c r="H3757" s="131"/>
      <c r="I3757" s="131"/>
      <c r="J3757" s="132"/>
      <c r="K3757" s="131"/>
    </row>
    <row r="3758" spans="7:11" x14ac:dyDescent="0.2">
      <c r="G3758" s="131"/>
      <c r="H3758" s="131"/>
      <c r="I3758" s="131"/>
      <c r="J3758" s="132"/>
      <c r="K3758" s="131"/>
    </row>
    <row r="3759" spans="7:11" x14ac:dyDescent="0.2">
      <c r="G3759" s="131"/>
      <c r="H3759" s="131"/>
      <c r="I3759" s="131"/>
      <c r="J3759" s="132"/>
      <c r="K3759" s="131"/>
    </row>
    <row r="3760" spans="7:11" x14ac:dyDescent="0.2">
      <c r="G3760" s="131"/>
      <c r="H3760" s="131"/>
      <c r="I3760" s="131"/>
      <c r="J3760" s="132"/>
      <c r="K3760" s="131"/>
    </row>
    <row r="3761" spans="7:11" x14ac:dyDescent="0.2">
      <c r="G3761" s="131"/>
      <c r="H3761" s="131"/>
      <c r="I3761" s="131"/>
      <c r="J3761" s="132"/>
      <c r="K3761" s="131"/>
    </row>
    <row r="3762" spans="7:11" x14ac:dyDescent="0.2">
      <c r="G3762" s="131"/>
      <c r="H3762" s="131"/>
      <c r="I3762" s="131"/>
      <c r="J3762" s="132"/>
      <c r="K3762" s="131"/>
    </row>
    <row r="3763" spans="7:11" x14ac:dyDescent="0.2">
      <c r="G3763" s="131"/>
      <c r="H3763" s="131"/>
      <c r="I3763" s="131"/>
      <c r="J3763" s="132"/>
      <c r="K3763" s="131"/>
    </row>
    <row r="3764" spans="7:11" x14ac:dyDescent="0.2">
      <c r="G3764" s="131"/>
      <c r="H3764" s="131"/>
      <c r="I3764" s="131"/>
      <c r="J3764" s="132"/>
      <c r="K3764" s="131"/>
    </row>
    <row r="3765" spans="7:11" x14ac:dyDescent="0.2">
      <c r="G3765" s="131"/>
      <c r="H3765" s="131"/>
      <c r="I3765" s="131"/>
      <c r="J3765" s="132"/>
      <c r="K3765" s="131"/>
    </row>
    <row r="3766" spans="7:11" x14ac:dyDescent="0.2">
      <c r="G3766" s="131"/>
      <c r="H3766" s="131"/>
      <c r="I3766" s="131"/>
      <c r="J3766" s="132"/>
      <c r="K3766" s="131"/>
    </row>
    <row r="3767" spans="7:11" x14ac:dyDescent="0.2">
      <c r="G3767" s="131"/>
      <c r="H3767" s="131"/>
      <c r="I3767" s="131"/>
      <c r="J3767" s="132"/>
      <c r="K3767" s="131"/>
    </row>
    <row r="3768" spans="7:11" x14ac:dyDescent="0.2">
      <c r="G3768" s="131"/>
      <c r="H3768" s="131"/>
      <c r="I3768" s="131"/>
      <c r="J3768" s="132"/>
      <c r="K3768" s="131"/>
    </row>
    <row r="3769" spans="7:11" x14ac:dyDescent="0.2">
      <c r="G3769" s="131"/>
      <c r="H3769" s="131"/>
      <c r="I3769" s="131"/>
      <c r="J3769" s="132"/>
      <c r="K3769" s="131"/>
    </row>
    <row r="3770" spans="7:11" x14ac:dyDescent="0.2">
      <c r="G3770" s="131"/>
      <c r="H3770" s="131"/>
      <c r="I3770" s="131"/>
      <c r="J3770" s="132"/>
      <c r="K3770" s="131"/>
    </row>
    <row r="3771" spans="7:11" x14ac:dyDescent="0.2">
      <c r="G3771" s="131"/>
      <c r="H3771" s="131"/>
      <c r="I3771" s="131"/>
      <c r="J3771" s="132"/>
      <c r="K3771" s="131"/>
    </row>
    <row r="3772" spans="7:11" x14ac:dyDescent="0.2">
      <c r="G3772" s="131"/>
      <c r="H3772" s="131"/>
      <c r="I3772" s="131"/>
      <c r="J3772" s="132"/>
      <c r="K3772" s="131"/>
    </row>
    <row r="3773" spans="7:11" x14ac:dyDescent="0.2">
      <c r="G3773" s="131"/>
      <c r="H3773" s="131"/>
      <c r="I3773" s="131"/>
      <c r="J3773" s="132"/>
      <c r="K3773" s="131"/>
    </row>
    <row r="3774" spans="7:11" x14ac:dyDescent="0.2">
      <c r="G3774" s="131"/>
      <c r="H3774" s="131"/>
      <c r="I3774" s="131"/>
      <c r="J3774" s="132"/>
      <c r="K3774" s="131"/>
    </row>
    <row r="3775" spans="7:11" x14ac:dyDescent="0.2">
      <c r="G3775" s="131"/>
      <c r="H3775" s="131"/>
      <c r="I3775" s="131"/>
      <c r="J3775" s="132"/>
      <c r="K3775" s="131"/>
    </row>
    <row r="3776" spans="7:11" x14ac:dyDescent="0.2">
      <c r="G3776" s="131"/>
      <c r="H3776" s="131"/>
      <c r="I3776" s="131"/>
      <c r="J3776" s="132"/>
      <c r="K3776" s="131"/>
    </row>
    <row r="3777" spans="7:11" x14ac:dyDescent="0.2">
      <c r="G3777" s="131"/>
      <c r="H3777" s="131"/>
      <c r="I3777" s="131"/>
      <c r="J3777" s="132"/>
      <c r="K3777" s="131"/>
    </row>
    <row r="3778" spans="7:11" x14ac:dyDescent="0.2">
      <c r="G3778" s="131"/>
      <c r="H3778" s="131"/>
      <c r="I3778" s="131"/>
      <c r="J3778" s="132"/>
      <c r="K3778" s="131"/>
    </row>
    <row r="3779" spans="7:11" x14ac:dyDescent="0.2">
      <c r="G3779" s="131"/>
      <c r="H3779" s="131"/>
      <c r="I3779" s="131"/>
      <c r="J3779" s="132"/>
      <c r="K3779" s="131"/>
    </row>
    <row r="3780" spans="7:11" x14ac:dyDescent="0.2">
      <c r="G3780" s="131"/>
      <c r="H3780" s="131"/>
      <c r="I3780" s="131"/>
      <c r="J3780" s="132"/>
      <c r="K3780" s="131"/>
    </row>
    <row r="3781" spans="7:11" x14ac:dyDescent="0.2">
      <c r="G3781" s="131"/>
      <c r="H3781" s="131"/>
      <c r="I3781" s="131"/>
      <c r="J3781" s="132"/>
      <c r="K3781" s="131"/>
    </row>
    <row r="3782" spans="7:11" x14ac:dyDescent="0.2">
      <c r="G3782" s="131"/>
      <c r="H3782" s="131"/>
      <c r="I3782" s="131"/>
      <c r="J3782" s="132"/>
      <c r="K3782" s="131"/>
    </row>
    <row r="3783" spans="7:11" x14ac:dyDescent="0.2">
      <c r="G3783" s="131"/>
      <c r="H3783" s="131"/>
      <c r="I3783" s="131"/>
      <c r="J3783" s="132"/>
      <c r="K3783" s="131"/>
    </row>
    <row r="3784" spans="7:11" x14ac:dyDescent="0.2">
      <c r="G3784" s="131"/>
      <c r="H3784" s="131"/>
      <c r="I3784" s="131"/>
      <c r="J3784" s="132"/>
      <c r="K3784" s="131"/>
    </row>
    <row r="3785" spans="7:11" x14ac:dyDescent="0.2">
      <c r="G3785" s="131"/>
      <c r="H3785" s="131"/>
      <c r="I3785" s="131"/>
      <c r="J3785" s="132"/>
      <c r="K3785" s="131"/>
    </row>
    <row r="3786" spans="7:11" x14ac:dyDescent="0.2">
      <c r="G3786" s="131"/>
      <c r="H3786" s="131"/>
      <c r="I3786" s="131"/>
      <c r="J3786" s="132"/>
      <c r="K3786" s="131"/>
    </row>
    <row r="3787" spans="7:11" x14ac:dyDescent="0.2">
      <c r="G3787" s="131"/>
      <c r="H3787" s="131"/>
      <c r="I3787" s="131"/>
      <c r="J3787" s="132"/>
      <c r="K3787" s="131"/>
    </row>
    <row r="3788" spans="7:11" x14ac:dyDescent="0.2">
      <c r="G3788" s="131"/>
      <c r="H3788" s="131"/>
      <c r="I3788" s="131"/>
      <c r="J3788" s="132"/>
      <c r="K3788" s="131"/>
    </row>
    <row r="3789" spans="7:11" x14ac:dyDescent="0.2">
      <c r="G3789" s="131"/>
      <c r="H3789" s="131"/>
      <c r="I3789" s="131"/>
      <c r="J3789" s="132"/>
      <c r="K3789" s="131"/>
    </row>
    <row r="3790" spans="7:11" x14ac:dyDescent="0.2">
      <c r="G3790" s="131"/>
      <c r="H3790" s="131"/>
      <c r="I3790" s="131"/>
      <c r="J3790" s="132"/>
      <c r="K3790" s="131"/>
    </row>
    <row r="3791" spans="7:11" x14ac:dyDescent="0.2">
      <c r="G3791" s="131"/>
      <c r="H3791" s="131"/>
      <c r="I3791" s="131"/>
      <c r="J3791" s="132"/>
      <c r="K3791" s="131"/>
    </row>
    <row r="3792" spans="7:11" x14ac:dyDescent="0.2">
      <c r="G3792" s="131"/>
      <c r="H3792" s="131"/>
      <c r="I3792" s="131"/>
      <c r="J3792" s="132"/>
      <c r="K3792" s="131"/>
    </row>
    <row r="3793" spans="7:11" x14ac:dyDescent="0.2">
      <c r="G3793" s="131"/>
      <c r="H3793" s="131"/>
      <c r="I3793" s="131"/>
      <c r="J3793" s="132"/>
      <c r="K3793" s="131"/>
    </row>
    <row r="3794" spans="7:11" x14ac:dyDescent="0.2">
      <c r="G3794" s="131"/>
      <c r="H3794" s="131"/>
      <c r="I3794" s="131"/>
      <c r="J3794" s="132"/>
      <c r="K3794" s="131"/>
    </row>
    <row r="3795" spans="7:11" x14ac:dyDescent="0.2">
      <c r="G3795" s="131"/>
      <c r="H3795" s="131"/>
      <c r="I3795" s="131"/>
      <c r="J3795" s="132"/>
      <c r="K3795" s="131"/>
    </row>
    <row r="3796" spans="7:11" x14ac:dyDescent="0.2">
      <c r="G3796" s="131"/>
      <c r="H3796" s="131"/>
      <c r="I3796" s="131"/>
      <c r="J3796" s="132"/>
      <c r="K3796" s="131"/>
    </row>
    <row r="3797" spans="7:11" x14ac:dyDescent="0.2">
      <c r="G3797" s="131"/>
      <c r="H3797" s="131"/>
      <c r="I3797" s="131"/>
      <c r="J3797" s="132"/>
      <c r="K3797" s="131"/>
    </row>
    <row r="3798" spans="7:11" x14ac:dyDescent="0.2">
      <c r="G3798" s="131"/>
      <c r="H3798" s="131"/>
      <c r="I3798" s="131"/>
      <c r="J3798" s="132"/>
      <c r="K3798" s="131"/>
    </row>
    <row r="3799" spans="7:11" x14ac:dyDescent="0.2">
      <c r="G3799" s="131"/>
      <c r="H3799" s="131"/>
      <c r="I3799" s="131"/>
      <c r="J3799" s="132"/>
      <c r="K3799" s="131"/>
    </row>
    <row r="3800" spans="7:11" x14ac:dyDescent="0.2">
      <c r="G3800" s="131"/>
      <c r="H3800" s="131"/>
      <c r="I3800" s="131"/>
      <c r="J3800" s="132"/>
      <c r="K3800" s="131"/>
    </row>
    <row r="3801" spans="7:11" x14ac:dyDescent="0.2">
      <c r="G3801" s="131"/>
      <c r="H3801" s="131"/>
      <c r="I3801" s="131"/>
      <c r="J3801" s="132"/>
      <c r="K3801" s="131"/>
    </row>
    <row r="3802" spans="7:11" x14ac:dyDescent="0.2">
      <c r="G3802" s="131"/>
      <c r="H3802" s="131"/>
      <c r="I3802" s="131"/>
      <c r="J3802" s="132"/>
      <c r="K3802" s="131"/>
    </row>
    <row r="3803" spans="7:11" x14ac:dyDescent="0.2">
      <c r="G3803" s="131"/>
      <c r="H3803" s="131"/>
      <c r="I3803" s="131"/>
      <c r="J3803" s="132"/>
      <c r="K3803" s="131"/>
    </row>
    <row r="3804" spans="7:11" x14ac:dyDescent="0.2">
      <c r="G3804" s="131"/>
      <c r="H3804" s="131"/>
      <c r="I3804" s="131"/>
      <c r="J3804" s="132"/>
      <c r="K3804" s="131"/>
    </row>
    <row r="3805" spans="7:11" x14ac:dyDescent="0.2">
      <c r="G3805" s="131"/>
      <c r="H3805" s="131"/>
      <c r="I3805" s="131"/>
      <c r="J3805" s="132"/>
      <c r="K3805" s="131"/>
    </row>
    <row r="3806" spans="7:11" x14ac:dyDescent="0.2">
      <c r="G3806" s="131"/>
      <c r="H3806" s="131"/>
      <c r="I3806" s="131"/>
      <c r="J3806" s="132"/>
      <c r="K3806" s="131"/>
    </row>
    <row r="3807" spans="7:11" x14ac:dyDescent="0.2">
      <c r="G3807" s="131"/>
      <c r="H3807" s="131"/>
      <c r="I3807" s="131"/>
      <c r="J3807" s="132"/>
      <c r="K3807" s="131"/>
    </row>
    <row r="3808" spans="7:11" x14ac:dyDescent="0.2">
      <c r="G3808" s="131"/>
      <c r="H3808" s="131"/>
      <c r="I3808" s="131"/>
      <c r="J3808" s="132"/>
      <c r="K3808" s="131"/>
    </row>
    <row r="3809" spans="7:11" x14ac:dyDescent="0.2">
      <c r="G3809" s="131"/>
      <c r="H3809" s="131"/>
      <c r="I3809" s="131"/>
      <c r="J3809" s="132"/>
      <c r="K3809" s="131"/>
    </row>
    <row r="3810" spans="7:11" x14ac:dyDescent="0.2">
      <c r="G3810" s="131"/>
      <c r="H3810" s="131"/>
      <c r="I3810" s="131"/>
      <c r="J3810" s="132"/>
      <c r="K3810" s="131"/>
    </row>
    <row r="3811" spans="7:11" x14ac:dyDescent="0.2">
      <c r="G3811" s="131"/>
      <c r="H3811" s="131"/>
      <c r="I3811" s="131"/>
      <c r="J3811" s="132"/>
      <c r="K3811" s="131"/>
    </row>
    <row r="3812" spans="7:11" x14ac:dyDescent="0.2">
      <c r="G3812" s="131"/>
      <c r="H3812" s="131"/>
      <c r="I3812" s="131"/>
      <c r="J3812" s="132"/>
      <c r="K3812" s="131"/>
    </row>
    <row r="3813" spans="7:11" x14ac:dyDescent="0.2">
      <c r="G3813" s="131"/>
      <c r="H3813" s="131"/>
      <c r="I3813" s="131"/>
      <c r="J3813" s="132"/>
      <c r="K3813" s="131"/>
    </row>
    <row r="3814" spans="7:11" x14ac:dyDescent="0.2">
      <c r="G3814" s="131"/>
      <c r="H3814" s="131"/>
      <c r="I3814" s="131"/>
      <c r="J3814" s="132"/>
      <c r="K3814" s="131"/>
    </row>
    <row r="3815" spans="7:11" x14ac:dyDescent="0.2">
      <c r="G3815" s="131"/>
      <c r="H3815" s="131"/>
      <c r="I3815" s="131"/>
      <c r="J3815" s="132"/>
      <c r="K3815" s="131"/>
    </row>
    <row r="3816" spans="7:11" x14ac:dyDescent="0.2">
      <c r="G3816" s="131"/>
      <c r="H3816" s="131"/>
      <c r="I3816" s="131"/>
      <c r="J3816" s="132"/>
      <c r="K3816" s="131"/>
    </row>
    <row r="3817" spans="7:11" x14ac:dyDescent="0.2">
      <c r="G3817" s="131"/>
      <c r="H3817" s="131"/>
      <c r="I3817" s="131"/>
      <c r="J3817" s="132"/>
      <c r="K3817" s="131"/>
    </row>
    <row r="3818" spans="7:11" x14ac:dyDescent="0.2">
      <c r="G3818" s="131"/>
      <c r="H3818" s="131"/>
      <c r="I3818" s="131"/>
      <c r="J3818" s="132"/>
      <c r="K3818" s="131"/>
    </row>
    <row r="3819" spans="7:11" x14ac:dyDescent="0.2">
      <c r="G3819" s="131"/>
      <c r="H3819" s="131"/>
      <c r="I3819" s="131"/>
      <c r="J3819" s="132"/>
      <c r="K3819" s="131"/>
    </row>
    <row r="3820" spans="7:11" x14ac:dyDescent="0.2">
      <c r="G3820" s="131"/>
      <c r="H3820" s="131"/>
      <c r="I3820" s="131"/>
      <c r="J3820" s="132"/>
      <c r="K3820" s="131"/>
    </row>
    <row r="3821" spans="7:11" x14ac:dyDescent="0.2">
      <c r="G3821" s="131"/>
      <c r="H3821" s="131"/>
      <c r="I3821" s="131"/>
      <c r="J3821" s="132"/>
      <c r="K3821" s="131"/>
    </row>
    <row r="3822" spans="7:11" x14ac:dyDescent="0.2">
      <c r="G3822" s="131"/>
      <c r="H3822" s="131"/>
      <c r="I3822" s="131"/>
      <c r="J3822" s="132"/>
      <c r="K3822" s="131"/>
    </row>
    <row r="3823" spans="7:11" x14ac:dyDescent="0.2">
      <c r="G3823" s="131"/>
      <c r="H3823" s="131"/>
      <c r="I3823" s="131"/>
      <c r="J3823" s="132"/>
      <c r="K3823" s="131"/>
    </row>
    <row r="3824" spans="7:11" x14ac:dyDescent="0.2">
      <c r="G3824" s="131"/>
      <c r="H3824" s="131"/>
      <c r="I3824" s="131"/>
      <c r="J3824" s="132"/>
      <c r="K3824" s="131"/>
    </row>
    <row r="3825" spans="7:11" x14ac:dyDescent="0.2">
      <c r="G3825" s="131"/>
      <c r="H3825" s="131"/>
      <c r="I3825" s="131"/>
      <c r="J3825" s="132"/>
      <c r="K3825" s="131"/>
    </row>
    <row r="3826" spans="7:11" x14ac:dyDescent="0.2">
      <c r="G3826" s="131"/>
      <c r="H3826" s="131"/>
      <c r="I3826" s="131"/>
      <c r="J3826" s="132"/>
      <c r="K3826" s="131"/>
    </row>
    <row r="3827" spans="7:11" x14ac:dyDescent="0.2">
      <c r="G3827" s="131"/>
      <c r="H3827" s="131"/>
      <c r="I3827" s="131"/>
      <c r="J3827" s="132"/>
      <c r="K3827" s="131"/>
    </row>
    <row r="3828" spans="7:11" x14ac:dyDescent="0.2">
      <c r="G3828" s="131"/>
      <c r="H3828" s="131"/>
      <c r="I3828" s="131"/>
      <c r="J3828" s="132"/>
      <c r="K3828" s="131"/>
    </row>
    <row r="3829" spans="7:11" x14ac:dyDescent="0.2">
      <c r="G3829" s="131"/>
      <c r="H3829" s="131"/>
      <c r="I3829" s="131"/>
      <c r="J3829" s="132"/>
      <c r="K3829" s="131"/>
    </row>
    <row r="3830" spans="7:11" x14ac:dyDescent="0.2">
      <c r="G3830" s="131"/>
      <c r="H3830" s="131"/>
      <c r="I3830" s="131"/>
      <c r="J3830" s="132"/>
      <c r="K3830" s="131"/>
    </row>
    <row r="3831" spans="7:11" x14ac:dyDescent="0.2">
      <c r="G3831" s="131"/>
      <c r="H3831" s="131"/>
      <c r="I3831" s="131"/>
      <c r="J3831" s="132"/>
      <c r="K3831" s="131"/>
    </row>
    <row r="3832" spans="7:11" x14ac:dyDescent="0.2">
      <c r="G3832" s="131"/>
      <c r="H3832" s="131"/>
      <c r="I3832" s="131"/>
      <c r="J3832" s="132"/>
      <c r="K3832" s="131"/>
    </row>
    <row r="3833" spans="7:11" x14ac:dyDescent="0.2">
      <c r="G3833" s="131"/>
      <c r="H3833" s="131"/>
      <c r="I3833" s="131"/>
      <c r="J3833" s="132"/>
      <c r="K3833" s="131"/>
    </row>
    <row r="3834" spans="7:11" x14ac:dyDescent="0.2">
      <c r="G3834" s="131"/>
      <c r="H3834" s="131"/>
      <c r="I3834" s="131"/>
      <c r="J3834" s="132"/>
      <c r="K3834" s="131"/>
    </row>
    <row r="3835" spans="7:11" x14ac:dyDescent="0.2">
      <c r="G3835" s="131"/>
      <c r="H3835" s="131"/>
      <c r="I3835" s="131"/>
      <c r="J3835" s="132"/>
      <c r="K3835" s="131"/>
    </row>
    <row r="3836" spans="7:11" x14ac:dyDescent="0.2">
      <c r="G3836" s="131"/>
      <c r="H3836" s="131"/>
      <c r="I3836" s="131"/>
      <c r="J3836" s="132"/>
      <c r="K3836" s="131"/>
    </row>
    <row r="3837" spans="7:11" x14ac:dyDescent="0.2">
      <c r="G3837" s="131"/>
      <c r="H3837" s="131"/>
      <c r="I3837" s="131"/>
      <c r="J3837" s="132"/>
      <c r="K3837" s="131"/>
    </row>
    <row r="3838" spans="7:11" x14ac:dyDescent="0.2">
      <c r="G3838" s="131"/>
      <c r="H3838" s="131"/>
      <c r="I3838" s="131"/>
      <c r="J3838" s="132"/>
      <c r="K3838" s="131"/>
    </row>
    <row r="3839" spans="7:11" x14ac:dyDescent="0.2">
      <c r="G3839" s="131"/>
      <c r="H3839" s="131"/>
      <c r="I3839" s="131"/>
      <c r="J3839" s="132"/>
      <c r="K3839" s="131"/>
    </row>
    <row r="3840" spans="7:11" x14ac:dyDescent="0.2">
      <c r="G3840" s="131"/>
      <c r="H3840" s="131"/>
      <c r="I3840" s="131"/>
      <c r="J3840" s="132"/>
      <c r="K3840" s="131"/>
    </row>
    <row r="3841" spans="7:11" x14ac:dyDescent="0.2">
      <c r="G3841" s="131"/>
      <c r="H3841" s="131"/>
      <c r="I3841" s="131"/>
      <c r="J3841" s="132"/>
      <c r="K3841" s="131"/>
    </row>
    <row r="3842" spans="7:11" x14ac:dyDescent="0.2">
      <c r="G3842" s="131"/>
      <c r="H3842" s="131"/>
      <c r="I3842" s="131"/>
      <c r="J3842" s="132"/>
      <c r="K3842" s="131"/>
    </row>
    <row r="3843" spans="7:11" x14ac:dyDescent="0.2">
      <c r="G3843" s="131"/>
      <c r="H3843" s="131"/>
      <c r="I3843" s="131"/>
      <c r="J3843" s="132"/>
      <c r="K3843" s="131"/>
    </row>
    <row r="3844" spans="7:11" x14ac:dyDescent="0.2">
      <c r="G3844" s="131"/>
      <c r="H3844" s="131"/>
      <c r="I3844" s="131"/>
      <c r="J3844" s="132"/>
      <c r="K3844" s="131"/>
    </row>
    <row r="3845" spans="7:11" x14ac:dyDescent="0.2">
      <c r="G3845" s="131"/>
      <c r="H3845" s="131"/>
      <c r="I3845" s="131"/>
      <c r="J3845" s="132"/>
      <c r="K3845" s="131"/>
    </row>
    <row r="3846" spans="7:11" x14ac:dyDescent="0.2">
      <c r="G3846" s="131"/>
      <c r="H3846" s="131"/>
      <c r="I3846" s="131"/>
      <c r="J3846" s="132"/>
      <c r="K3846" s="131"/>
    </row>
    <row r="3847" spans="7:11" x14ac:dyDescent="0.2">
      <c r="G3847" s="131"/>
      <c r="H3847" s="131"/>
      <c r="I3847" s="131"/>
      <c r="J3847" s="132"/>
      <c r="K3847" s="131"/>
    </row>
    <row r="3848" spans="7:11" x14ac:dyDescent="0.2">
      <c r="G3848" s="131"/>
      <c r="H3848" s="131"/>
      <c r="I3848" s="131"/>
      <c r="J3848" s="132"/>
      <c r="K3848" s="131"/>
    </row>
    <row r="3849" spans="7:11" x14ac:dyDescent="0.2">
      <c r="G3849" s="131"/>
      <c r="H3849" s="131"/>
      <c r="I3849" s="131"/>
      <c r="J3849" s="132"/>
      <c r="K3849" s="131"/>
    </row>
    <row r="3850" spans="7:11" x14ac:dyDescent="0.2">
      <c r="G3850" s="131"/>
      <c r="H3850" s="131"/>
      <c r="I3850" s="131"/>
      <c r="J3850" s="132"/>
      <c r="K3850" s="131"/>
    </row>
    <row r="3851" spans="7:11" x14ac:dyDescent="0.2">
      <c r="G3851" s="131"/>
      <c r="H3851" s="131"/>
      <c r="I3851" s="131"/>
      <c r="J3851" s="132"/>
      <c r="K3851" s="131"/>
    </row>
    <row r="3852" spans="7:11" x14ac:dyDescent="0.2">
      <c r="G3852" s="131"/>
      <c r="H3852" s="131"/>
      <c r="I3852" s="131"/>
      <c r="J3852" s="132"/>
      <c r="K3852" s="131"/>
    </row>
    <row r="3853" spans="7:11" x14ac:dyDescent="0.2">
      <c r="G3853" s="131"/>
      <c r="H3853" s="131"/>
      <c r="I3853" s="131"/>
      <c r="J3853" s="132"/>
      <c r="K3853" s="131"/>
    </row>
    <row r="3854" spans="7:11" x14ac:dyDescent="0.2">
      <c r="G3854" s="131"/>
      <c r="H3854" s="131"/>
      <c r="I3854" s="131"/>
      <c r="J3854" s="132"/>
      <c r="K3854" s="131"/>
    </row>
    <row r="3855" spans="7:11" x14ac:dyDescent="0.2">
      <c r="G3855" s="131"/>
      <c r="H3855" s="131"/>
      <c r="I3855" s="131"/>
      <c r="J3855" s="132"/>
      <c r="K3855" s="131"/>
    </row>
    <row r="3856" spans="7:11" x14ac:dyDescent="0.2">
      <c r="G3856" s="131"/>
      <c r="H3856" s="131"/>
      <c r="I3856" s="131"/>
      <c r="J3856" s="132"/>
      <c r="K3856" s="131"/>
    </row>
    <row r="3857" spans="7:11" x14ac:dyDescent="0.2">
      <c r="G3857" s="131"/>
      <c r="H3857" s="131"/>
      <c r="I3857" s="131"/>
      <c r="J3857" s="132"/>
      <c r="K3857" s="131"/>
    </row>
    <row r="3858" spans="7:11" x14ac:dyDescent="0.2">
      <c r="G3858" s="131"/>
      <c r="H3858" s="131"/>
      <c r="I3858" s="131"/>
      <c r="J3858" s="132"/>
      <c r="K3858" s="131"/>
    </row>
    <row r="3859" spans="7:11" x14ac:dyDescent="0.2">
      <c r="G3859" s="131"/>
      <c r="H3859" s="131"/>
      <c r="I3859" s="131"/>
      <c r="J3859" s="132"/>
      <c r="K3859" s="131"/>
    </row>
    <row r="3860" spans="7:11" x14ac:dyDescent="0.2">
      <c r="G3860" s="131"/>
      <c r="H3860" s="131"/>
      <c r="I3860" s="131"/>
      <c r="J3860" s="132"/>
      <c r="K3860" s="131"/>
    </row>
    <row r="3861" spans="7:11" x14ac:dyDescent="0.2">
      <c r="G3861" s="131"/>
      <c r="H3861" s="131"/>
      <c r="I3861" s="131"/>
      <c r="J3861" s="132"/>
      <c r="K3861" s="131"/>
    </row>
    <row r="3862" spans="7:11" x14ac:dyDescent="0.2">
      <c r="G3862" s="131"/>
      <c r="H3862" s="131"/>
      <c r="I3862" s="131"/>
      <c r="J3862" s="132"/>
      <c r="K3862" s="131"/>
    </row>
    <row r="3863" spans="7:11" x14ac:dyDescent="0.2">
      <c r="G3863" s="131"/>
      <c r="H3863" s="131"/>
      <c r="I3863" s="131"/>
      <c r="J3863" s="132"/>
      <c r="K3863" s="131"/>
    </row>
    <row r="3864" spans="7:11" x14ac:dyDescent="0.2">
      <c r="G3864" s="131"/>
      <c r="H3864" s="131"/>
      <c r="I3864" s="131"/>
      <c r="J3864" s="132"/>
      <c r="K3864" s="131"/>
    </row>
    <row r="3865" spans="7:11" x14ac:dyDescent="0.2">
      <c r="G3865" s="131"/>
      <c r="H3865" s="131"/>
      <c r="I3865" s="131"/>
      <c r="J3865" s="132"/>
      <c r="K3865" s="131"/>
    </row>
    <row r="3866" spans="7:11" x14ac:dyDescent="0.2">
      <c r="G3866" s="131"/>
      <c r="H3866" s="131"/>
      <c r="I3866" s="131"/>
      <c r="J3866" s="132"/>
      <c r="K3866" s="131"/>
    </row>
    <row r="3867" spans="7:11" x14ac:dyDescent="0.2">
      <c r="G3867" s="131"/>
      <c r="H3867" s="131"/>
      <c r="I3867" s="131"/>
      <c r="J3867" s="132"/>
      <c r="K3867" s="131"/>
    </row>
    <row r="3868" spans="7:11" x14ac:dyDescent="0.2">
      <c r="G3868" s="131"/>
      <c r="H3868" s="131"/>
      <c r="I3868" s="131"/>
      <c r="J3868" s="132"/>
      <c r="K3868" s="131"/>
    </row>
    <row r="3869" spans="7:11" x14ac:dyDescent="0.2">
      <c r="G3869" s="131"/>
      <c r="H3869" s="131"/>
      <c r="I3869" s="131"/>
      <c r="J3869" s="132"/>
      <c r="K3869" s="131"/>
    </row>
    <row r="3870" spans="7:11" x14ac:dyDescent="0.2">
      <c r="G3870" s="131"/>
      <c r="H3870" s="131"/>
      <c r="I3870" s="131"/>
      <c r="J3870" s="132"/>
      <c r="K3870" s="131"/>
    </row>
    <row r="3871" spans="7:11" x14ac:dyDescent="0.2">
      <c r="G3871" s="131"/>
      <c r="H3871" s="131"/>
      <c r="I3871" s="131"/>
      <c r="J3871" s="132"/>
      <c r="K3871" s="131"/>
    </row>
    <row r="3872" spans="7:11" x14ac:dyDescent="0.2">
      <c r="G3872" s="131"/>
      <c r="H3872" s="131"/>
      <c r="I3872" s="131"/>
      <c r="J3872" s="132"/>
      <c r="K3872" s="131"/>
    </row>
    <row r="3873" spans="7:11" x14ac:dyDescent="0.2">
      <c r="G3873" s="131"/>
      <c r="H3873" s="131"/>
      <c r="I3873" s="131"/>
      <c r="J3873" s="132"/>
      <c r="K3873" s="131"/>
    </row>
    <row r="3874" spans="7:11" x14ac:dyDescent="0.2">
      <c r="G3874" s="131"/>
      <c r="H3874" s="131"/>
      <c r="I3874" s="131"/>
      <c r="J3874" s="132"/>
      <c r="K3874" s="131"/>
    </row>
    <row r="3875" spans="7:11" x14ac:dyDescent="0.2">
      <c r="G3875" s="131"/>
      <c r="H3875" s="131"/>
      <c r="I3875" s="131"/>
      <c r="J3875" s="132"/>
      <c r="K3875" s="131"/>
    </row>
    <row r="3876" spans="7:11" x14ac:dyDescent="0.2">
      <c r="G3876" s="131"/>
      <c r="H3876" s="131"/>
      <c r="I3876" s="131"/>
      <c r="J3876" s="132"/>
      <c r="K3876" s="131"/>
    </row>
    <row r="3877" spans="7:11" x14ac:dyDescent="0.2">
      <c r="G3877" s="131"/>
      <c r="H3877" s="131"/>
      <c r="I3877" s="131"/>
      <c r="J3877" s="132"/>
      <c r="K3877" s="131"/>
    </row>
    <row r="3878" spans="7:11" x14ac:dyDescent="0.2">
      <c r="G3878" s="131"/>
      <c r="H3878" s="131"/>
      <c r="I3878" s="131"/>
      <c r="J3878" s="132"/>
      <c r="K3878" s="131"/>
    </row>
    <row r="3879" spans="7:11" x14ac:dyDescent="0.2">
      <c r="G3879" s="131"/>
      <c r="H3879" s="131"/>
      <c r="I3879" s="131"/>
      <c r="J3879" s="132"/>
      <c r="K3879" s="131"/>
    </row>
    <row r="3880" spans="7:11" x14ac:dyDescent="0.2">
      <c r="G3880" s="131"/>
      <c r="H3880" s="131"/>
      <c r="I3880" s="131"/>
      <c r="J3880" s="132"/>
      <c r="K3880" s="131"/>
    </row>
    <row r="3881" spans="7:11" x14ac:dyDescent="0.2">
      <c r="G3881" s="131"/>
      <c r="H3881" s="131"/>
      <c r="I3881" s="131"/>
      <c r="J3881" s="132"/>
      <c r="K3881" s="131"/>
    </row>
    <row r="3882" spans="7:11" x14ac:dyDescent="0.2">
      <c r="G3882" s="131"/>
      <c r="H3882" s="131"/>
      <c r="I3882" s="131"/>
      <c r="J3882" s="132"/>
      <c r="K3882" s="131"/>
    </row>
    <row r="3883" spans="7:11" x14ac:dyDescent="0.2">
      <c r="G3883" s="131"/>
      <c r="H3883" s="131"/>
      <c r="I3883" s="131"/>
      <c r="J3883" s="132"/>
      <c r="K3883" s="131"/>
    </row>
    <row r="3884" spans="7:11" x14ac:dyDescent="0.2">
      <c r="G3884" s="131"/>
      <c r="H3884" s="131"/>
      <c r="I3884" s="131"/>
      <c r="J3884" s="132"/>
      <c r="K3884" s="131"/>
    </row>
    <row r="3885" spans="7:11" x14ac:dyDescent="0.2">
      <c r="G3885" s="131"/>
      <c r="H3885" s="131"/>
      <c r="I3885" s="131"/>
      <c r="J3885" s="132"/>
      <c r="K3885" s="131"/>
    </row>
    <row r="3886" spans="7:11" x14ac:dyDescent="0.2">
      <c r="G3886" s="131"/>
      <c r="H3886" s="131"/>
      <c r="I3886" s="131"/>
      <c r="J3886" s="132"/>
      <c r="K3886" s="131"/>
    </row>
    <row r="3887" spans="7:11" x14ac:dyDescent="0.2">
      <c r="G3887" s="131"/>
      <c r="H3887" s="131"/>
      <c r="I3887" s="131"/>
      <c r="J3887" s="132"/>
      <c r="K3887" s="131"/>
    </row>
    <row r="3888" spans="7:11" x14ac:dyDescent="0.2">
      <c r="G3888" s="131"/>
      <c r="H3888" s="131"/>
      <c r="I3888" s="131"/>
      <c r="J3888" s="132"/>
      <c r="K3888" s="131"/>
    </row>
    <row r="3889" spans="7:11" x14ac:dyDescent="0.2">
      <c r="G3889" s="131"/>
      <c r="H3889" s="131"/>
      <c r="I3889" s="131"/>
      <c r="J3889" s="132"/>
      <c r="K3889" s="131"/>
    </row>
    <row r="3890" spans="7:11" x14ac:dyDescent="0.2">
      <c r="G3890" s="131"/>
      <c r="H3890" s="131"/>
      <c r="I3890" s="131"/>
      <c r="J3890" s="132"/>
      <c r="K3890" s="131"/>
    </row>
    <row r="3891" spans="7:11" x14ac:dyDescent="0.2">
      <c r="G3891" s="131"/>
      <c r="H3891" s="131"/>
      <c r="I3891" s="131"/>
      <c r="J3891" s="132"/>
      <c r="K3891" s="131"/>
    </row>
    <row r="3892" spans="7:11" x14ac:dyDescent="0.2">
      <c r="G3892" s="131"/>
      <c r="H3892" s="131"/>
      <c r="I3892" s="131"/>
      <c r="J3892" s="132"/>
      <c r="K3892" s="131"/>
    </row>
    <row r="3893" spans="7:11" x14ac:dyDescent="0.2">
      <c r="G3893" s="131"/>
      <c r="H3893" s="131"/>
      <c r="I3893" s="131"/>
      <c r="J3893" s="132"/>
      <c r="K3893" s="131"/>
    </row>
    <row r="3894" spans="7:11" x14ac:dyDescent="0.2">
      <c r="G3894" s="131"/>
      <c r="H3894" s="131"/>
      <c r="I3894" s="131"/>
      <c r="J3894" s="132"/>
      <c r="K3894" s="131"/>
    </row>
    <row r="3895" spans="7:11" x14ac:dyDescent="0.2">
      <c r="G3895" s="131"/>
      <c r="H3895" s="131"/>
      <c r="I3895" s="131"/>
      <c r="J3895" s="132"/>
      <c r="K3895" s="131"/>
    </row>
    <row r="3896" spans="7:11" x14ac:dyDescent="0.2">
      <c r="G3896" s="131"/>
      <c r="H3896" s="131"/>
      <c r="I3896" s="131"/>
      <c r="J3896" s="132"/>
      <c r="K3896" s="131"/>
    </row>
    <row r="3897" spans="7:11" x14ac:dyDescent="0.2">
      <c r="G3897" s="131"/>
      <c r="H3897" s="131"/>
      <c r="I3897" s="131"/>
      <c r="J3897" s="132"/>
      <c r="K3897" s="131"/>
    </row>
    <row r="3898" spans="7:11" x14ac:dyDescent="0.2">
      <c r="G3898" s="131"/>
      <c r="H3898" s="131"/>
      <c r="I3898" s="131"/>
      <c r="J3898" s="132"/>
      <c r="K3898" s="131"/>
    </row>
    <row r="3899" spans="7:11" x14ac:dyDescent="0.2">
      <c r="G3899" s="131"/>
      <c r="H3899" s="131"/>
      <c r="I3899" s="131"/>
      <c r="J3899" s="132"/>
      <c r="K3899" s="131"/>
    </row>
    <row r="3900" spans="7:11" x14ac:dyDescent="0.2">
      <c r="G3900" s="131"/>
      <c r="H3900" s="131"/>
      <c r="I3900" s="131"/>
      <c r="J3900" s="132"/>
      <c r="K3900" s="131"/>
    </row>
    <row r="3901" spans="7:11" x14ac:dyDescent="0.2">
      <c r="G3901" s="131"/>
      <c r="H3901" s="131"/>
      <c r="I3901" s="131"/>
      <c r="J3901" s="132"/>
      <c r="K3901" s="131"/>
    </row>
    <row r="3902" spans="7:11" x14ac:dyDescent="0.2">
      <c r="G3902" s="131"/>
      <c r="H3902" s="131"/>
      <c r="I3902" s="131"/>
      <c r="J3902" s="132"/>
      <c r="K3902" s="131"/>
    </row>
    <row r="3903" spans="7:11" x14ac:dyDescent="0.2">
      <c r="G3903" s="131"/>
      <c r="H3903" s="131"/>
      <c r="I3903" s="131"/>
      <c r="J3903" s="132"/>
      <c r="K3903" s="131"/>
    </row>
    <row r="3904" spans="7:11" x14ac:dyDescent="0.2">
      <c r="G3904" s="131"/>
      <c r="H3904" s="131"/>
      <c r="I3904" s="131"/>
      <c r="J3904" s="132"/>
      <c r="K3904" s="131"/>
    </row>
    <row r="3905" spans="7:11" x14ac:dyDescent="0.2">
      <c r="G3905" s="131"/>
      <c r="H3905" s="131"/>
      <c r="I3905" s="131"/>
      <c r="J3905" s="132"/>
      <c r="K3905" s="131"/>
    </row>
    <row r="3906" spans="7:11" x14ac:dyDescent="0.2">
      <c r="G3906" s="131"/>
      <c r="H3906" s="131"/>
      <c r="I3906" s="131"/>
      <c r="J3906" s="132"/>
      <c r="K3906" s="131"/>
    </row>
    <row r="3907" spans="7:11" x14ac:dyDescent="0.2">
      <c r="G3907" s="131"/>
      <c r="H3907" s="131"/>
      <c r="I3907" s="131"/>
      <c r="J3907" s="132"/>
      <c r="K3907" s="131"/>
    </row>
    <row r="3908" spans="7:11" x14ac:dyDescent="0.2">
      <c r="G3908" s="131"/>
      <c r="H3908" s="131"/>
      <c r="I3908" s="131"/>
      <c r="J3908" s="132"/>
      <c r="K3908" s="131"/>
    </row>
    <row r="3909" spans="7:11" x14ac:dyDescent="0.2">
      <c r="G3909" s="131"/>
      <c r="H3909" s="131"/>
      <c r="I3909" s="131"/>
      <c r="J3909" s="132"/>
      <c r="K3909" s="131"/>
    </row>
    <row r="3910" spans="7:11" x14ac:dyDescent="0.2">
      <c r="G3910" s="131"/>
      <c r="H3910" s="131"/>
      <c r="I3910" s="131"/>
      <c r="J3910" s="132"/>
      <c r="K3910" s="131"/>
    </row>
    <row r="3911" spans="7:11" x14ac:dyDescent="0.2">
      <c r="G3911" s="131"/>
      <c r="H3911" s="131"/>
      <c r="I3911" s="131"/>
      <c r="J3911" s="132"/>
      <c r="K3911" s="131"/>
    </row>
    <row r="3912" spans="7:11" x14ac:dyDescent="0.2">
      <c r="G3912" s="131"/>
      <c r="H3912" s="131"/>
      <c r="I3912" s="131"/>
      <c r="J3912" s="132"/>
      <c r="K3912" s="131"/>
    </row>
    <row r="3913" spans="7:11" x14ac:dyDescent="0.2">
      <c r="G3913" s="131"/>
      <c r="H3913" s="131"/>
      <c r="I3913" s="131"/>
      <c r="J3913" s="132"/>
      <c r="K3913" s="131"/>
    </row>
    <row r="3914" spans="7:11" x14ac:dyDescent="0.2">
      <c r="G3914" s="131"/>
      <c r="H3914" s="131"/>
      <c r="I3914" s="131"/>
      <c r="J3914" s="132"/>
      <c r="K3914" s="131"/>
    </row>
    <row r="3915" spans="7:11" x14ac:dyDescent="0.2">
      <c r="G3915" s="131"/>
      <c r="H3915" s="131"/>
      <c r="I3915" s="131"/>
      <c r="J3915" s="132"/>
      <c r="K3915" s="131"/>
    </row>
    <row r="3916" spans="7:11" x14ac:dyDescent="0.2">
      <c r="G3916" s="131"/>
      <c r="H3916" s="131"/>
      <c r="I3916" s="131"/>
      <c r="J3916" s="132"/>
      <c r="K3916" s="131"/>
    </row>
    <row r="3917" spans="7:11" x14ac:dyDescent="0.2">
      <c r="G3917" s="131"/>
      <c r="H3917" s="131"/>
      <c r="I3917" s="131"/>
      <c r="J3917" s="132"/>
      <c r="K3917" s="131"/>
    </row>
    <row r="3918" spans="7:11" x14ac:dyDescent="0.2">
      <c r="G3918" s="131"/>
      <c r="H3918" s="131"/>
      <c r="I3918" s="131"/>
      <c r="J3918" s="132"/>
      <c r="K3918" s="131"/>
    </row>
    <row r="3919" spans="7:11" x14ac:dyDescent="0.2">
      <c r="G3919" s="131"/>
      <c r="H3919" s="131"/>
      <c r="I3919" s="131"/>
      <c r="J3919" s="132"/>
      <c r="K3919" s="131"/>
    </row>
    <row r="3920" spans="7:11" x14ac:dyDescent="0.2">
      <c r="G3920" s="131"/>
      <c r="H3920" s="131"/>
      <c r="I3920" s="131"/>
      <c r="J3920" s="132"/>
      <c r="K3920" s="131"/>
    </row>
    <row r="3921" spans="7:11" x14ac:dyDescent="0.2">
      <c r="G3921" s="131"/>
      <c r="H3921" s="131"/>
      <c r="I3921" s="131"/>
      <c r="J3921" s="132"/>
      <c r="K3921" s="131"/>
    </row>
    <row r="3922" spans="7:11" x14ac:dyDescent="0.2">
      <c r="G3922" s="131"/>
      <c r="H3922" s="131"/>
      <c r="I3922" s="131"/>
      <c r="J3922" s="132"/>
      <c r="K3922" s="131"/>
    </row>
    <row r="3923" spans="7:11" x14ac:dyDescent="0.2">
      <c r="G3923" s="131"/>
      <c r="H3923" s="131"/>
      <c r="I3923" s="131"/>
      <c r="J3923" s="132"/>
      <c r="K3923" s="131"/>
    </row>
    <row r="3924" spans="7:11" x14ac:dyDescent="0.2">
      <c r="G3924" s="131"/>
      <c r="H3924" s="131"/>
      <c r="I3924" s="131"/>
      <c r="J3924" s="132"/>
      <c r="K3924" s="131"/>
    </row>
    <row r="3925" spans="7:11" x14ac:dyDescent="0.2">
      <c r="G3925" s="131"/>
      <c r="H3925" s="131"/>
      <c r="I3925" s="131"/>
      <c r="J3925" s="132"/>
      <c r="K3925" s="131"/>
    </row>
    <row r="3926" spans="7:11" x14ac:dyDescent="0.2">
      <c r="G3926" s="131"/>
      <c r="H3926" s="131"/>
      <c r="I3926" s="131"/>
      <c r="J3926" s="132"/>
      <c r="K3926" s="131"/>
    </row>
    <row r="3927" spans="7:11" x14ac:dyDescent="0.2">
      <c r="G3927" s="131"/>
      <c r="H3927" s="131"/>
      <c r="I3927" s="131"/>
      <c r="J3927" s="132"/>
      <c r="K3927" s="131"/>
    </row>
    <row r="3928" spans="7:11" x14ac:dyDescent="0.2">
      <c r="G3928" s="131"/>
      <c r="H3928" s="131"/>
      <c r="I3928" s="131"/>
      <c r="J3928" s="132"/>
      <c r="K3928" s="131"/>
    </row>
    <row r="3929" spans="7:11" x14ac:dyDescent="0.2">
      <c r="G3929" s="131"/>
      <c r="H3929" s="131"/>
      <c r="I3929" s="131"/>
      <c r="J3929" s="132"/>
      <c r="K3929" s="131"/>
    </row>
    <row r="3930" spans="7:11" x14ac:dyDescent="0.2">
      <c r="G3930" s="131"/>
      <c r="H3930" s="131"/>
      <c r="I3930" s="131"/>
      <c r="J3930" s="132"/>
      <c r="K3930" s="131"/>
    </row>
    <row r="3931" spans="7:11" x14ac:dyDescent="0.2">
      <c r="G3931" s="131"/>
      <c r="H3931" s="131"/>
      <c r="I3931" s="131"/>
      <c r="J3931" s="132"/>
      <c r="K3931" s="131"/>
    </row>
    <row r="3932" spans="7:11" x14ac:dyDescent="0.2">
      <c r="G3932" s="131"/>
      <c r="H3932" s="131"/>
      <c r="I3932" s="131"/>
      <c r="J3932" s="132"/>
      <c r="K3932" s="131"/>
    </row>
    <row r="3933" spans="7:11" x14ac:dyDescent="0.2">
      <c r="G3933" s="131"/>
      <c r="H3933" s="131"/>
      <c r="I3933" s="131"/>
      <c r="J3933" s="132"/>
      <c r="K3933" s="131"/>
    </row>
    <row r="3934" spans="7:11" x14ac:dyDescent="0.2">
      <c r="G3934" s="131"/>
      <c r="H3934" s="131"/>
      <c r="I3934" s="131"/>
      <c r="J3934" s="132"/>
      <c r="K3934" s="131"/>
    </row>
    <row r="3935" spans="7:11" x14ac:dyDescent="0.2">
      <c r="G3935" s="131"/>
      <c r="H3935" s="131"/>
      <c r="I3935" s="131"/>
      <c r="J3935" s="132"/>
      <c r="K3935" s="131"/>
    </row>
    <row r="3936" spans="7:11" x14ac:dyDescent="0.2">
      <c r="G3936" s="131"/>
      <c r="H3936" s="131"/>
      <c r="I3936" s="131"/>
      <c r="J3936" s="132"/>
      <c r="K3936" s="131"/>
    </row>
    <row r="3937" spans="7:11" x14ac:dyDescent="0.2">
      <c r="G3937" s="131"/>
      <c r="H3937" s="131"/>
      <c r="I3937" s="131"/>
      <c r="J3937" s="132"/>
      <c r="K3937" s="131"/>
    </row>
    <row r="3938" spans="7:11" x14ac:dyDescent="0.2">
      <c r="G3938" s="131"/>
      <c r="H3938" s="131"/>
      <c r="I3938" s="131"/>
      <c r="J3938" s="132"/>
      <c r="K3938" s="131"/>
    </row>
    <row r="3939" spans="7:11" x14ac:dyDescent="0.2">
      <c r="G3939" s="131"/>
      <c r="H3939" s="131"/>
      <c r="I3939" s="131"/>
      <c r="J3939" s="132"/>
      <c r="K3939" s="131"/>
    </row>
    <row r="3940" spans="7:11" x14ac:dyDescent="0.2">
      <c r="G3940" s="131"/>
      <c r="H3940" s="131"/>
      <c r="I3940" s="131"/>
      <c r="J3940" s="132"/>
      <c r="K3940" s="131"/>
    </row>
    <row r="3941" spans="7:11" x14ac:dyDescent="0.2">
      <c r="G3941" s="131"/>
      <c r="H3941" s="131"/>
      <c r="I3941" s="131"/>
      <c r="J3941" s="132"/>
      <c r="K3941" s="131"/>
    </row>
    <row r="3942" spans="7:11" x14ac:dyDescent="0.2">
      <c r="G3942" s="131"/>
      <c r="H3942" s="131"/>
      <c r="I3942" s="131"/>
      <c r="J3942" s="132"/>
      <c r="K3942" s="131"/>
    </row>
    <row r="3943" spans="7:11" x14ac:dyDescent="0.2">
      <c r="G3943" s="131"/>
      <c r="H3943" s="131"/>
      <c r="I3943" s="131"/>
      <c r="J3943" s="132"/>
      <c r="K3943" s="131"/>
    </row>
    <row r="3944" spans="7:11" x14ac:dyDescent="0.2">
      <c r="G3944" s="131"/>
      <c r="H3944" s="131"/>
      <c r="I3944" s="131"/>
      <c r="J3944" s="132"/>
      <c r="K3944" s="131"/>
    </row>
    <row r="3945" spans="7:11" x14ac:dyDescent="0.2">
      <c r="G3945" s="131"/>
      <c r="H3945" s="131"/>
      <c r="I3945" s="131"/>
      <c r="J3945" s="132"/>
      <c r="K3945" s="131"/>
    </row>
    <row r="3946" spans="7:11" x14ac:dyDescent="0.2">
      <c r="G3946" s="131"/>
      <c r="H3946" s="131"/>
      <c r="I3946" s="131"/>
      <c r="J3946" s="132"/>
      <c r="K3946" s="131"/>
    </row>
    <row r="3947" spans="7:11" x14ac:dyDescent="0.2">
      <c r="G3947" s="131"/>
      <c r="H3947" s="131"/>
      <c r="I3947" s="131"/>
      <c r="J3947" s="132"/>
      <c r="K3947" s="131"/>
    </row>
    <row r="3948" spans="7:11" x14ac:dyDescent="0.2">
      <c r="G3948" s="131"/>
      <c r="H3948" s="131"/>
      <c r="I3948" s="131"/>
      <c r="J3948" s="132"/>
      <c r="K3948" s="131"/>
    </row>
    <row r="3949" spans="7:11" x14ac:dyDescent="0.2">
      <c r="G3949" s="131"/>
      <c r="H3949" s="131"/>
      <c r="I3949" s="131"/>
      <c r="J3949" s="132"/>
      <c r="K3949" s="131"/>
    </row>
    <row r="3950" spans="7:11" x14ac:dyDescent="0.2">
      <c r="G3950" s="131"/>
      <c r="H3950" s="131"/>
      <c r="I3950" s="131"/>
      <c r="J3950" s="132"/>
      <c r="K3950" s="131"/>
    </row>
    <row r="3951" spans="7:11" x14ac:dyDescent="0.2">
      <c r="G3951" s="131"/>
      <c r="H3951" s="131"/>
      <c r="I3951" s="131"/>
      <c r="J3951" s="132"/>
      <c r="K3951" s="131"/>
    </row>
    <row r="3952" spans="7:11" x14ac:dyDescent="0.2">
      <c r="G3952" s="131"/>
      <c r="H3952" s="131"/>
      <c r="I3952" s="131"/>
      <c r="J3952" s="132"/>
      <c r="K3952" s="131"/>
    </row>
    <row r="3953" spans="7:11" x14ac:dyDescent="0.2">
      <c r="G3953" s="131"/>
      <c r="H3953" s="131"/>
      <c r="I3953" s="131"/>
      <c r="J3953" s="132"/>
      <c r="K3953" s="131"/>
    </row>
    <row r="3954" spans="7:11" x14ac:dyDescent="0.2">
      <c r="G3954" s="131"/>
      <c r="H3954" s="131"/>
      <c r="I3954" s="131"/>
      <c r="J3954" s="132"/>
      <c r="K3954" s="131"/>
    </row>
    <row r="3955" spans="7:11" x14ac:dyDescent="0.2">
      <c r="G3955" s="131"/>
      <c r="H3955" s="131"/>
      <c r="I3955" s="131"/>
      <c r="J3955" s="132"/>
      <c r="K3955" s="131"/>
    </row>
    <row r="3956" spans="7:11" x14ac:dyDescent="0.2">
      <c r="G3956" s="131"/>
      <c r="H3956" s="131"/>
      <c r="I3956" s="131"/>
      <c r="J3956" s="132"/>
      <c r="K3956" s="131"/>
    </row>
    <row r="3957" spans="7:11" x14ac:dyDescent="0.2">
      <c r="G3957" s="131"/>
      <c r="H3957" s="131"/>
      <c r="I3957" s="131"/>
      <c r="J3957" s="132"/>
      <c r="K3957" s="131"/>
    </row>
    <row r="3958" spans="7:11" x14ac:dyDescent="0.2">
      <c r="G3958" s="131"/>
      <c r="H3958" s="131"/>
      <c r="I3958" s="131"/>
      <c r="J3958" s="132"/>
      <c r="K3958" s="131"/>
    </row>
    <row r="3959" spans="7:11" x14ac:dyDescent="0.2">
      <c r="G3959" s="131"/>
      <c r="H3959" s="131"/>
      <c r="I3959" s="131"/>
      <c r="J3959" s="132"/>
      <c r="K3959" s="131"/>
    </row>
    <row r="3960" spans="7:11" x14ac:dyDescent="0.2">
      <c r="G3960" s="131"/>
      <c r="H3960" s="131"/>
      <c r="I3960" s="131"/>
      <c r="J3960" s="132"/>
      <c r="K3960" s="131"/>
    </row>
    <row r="3961" spans="7:11" x14ac:dyDescent="0.2">
      <c r="G3961" s="131"/>
      <c r="H3961" s="131"/>
      <c r="I3961" s="131"/>
      <c r="J3961" s="132"/>
      <c r="K3961" s="131"/>
    </row>
    <row r="3962" spans="7:11" x14ac:dyDescent="0.2">
      <c r="G3962" s="131"/>
      <c r="H3962" s="131"/>
      <c r="I3962" s="131"/>
      <c r="J3962" s="132"/>
      <c r="K3962" s="131"/>
    </row>
    <row r="3963" spans="7:11" x14ac:dyDescent="0.2">
      <c r="G3963" s="131"/>
      <c r="H3963" s="131"/>
      <c r="I3963" s="131"/>
      <c r="J3963" s="132"/>
      <c r="K3963" s="131"/>
    </row>
    <row r="3964" spans="7:11" x14ac:dyDescent="0.2">
      <c r="G3964" s="131"/>
      <c r="H3964" s="131"/>
      <c r="I3964" s="131"/>
      <c r="J3964" s="132"/>
      <c r="K3964" s="131"/>
    </row>
    <row r="3965" spans="7:11" x14ac:dyDescent="0.2">
      <c r="G3965" s="131"/>
      <c r="H3965" s="131"/>
      <c r="I3965" s="131"/>
      <c r="J3965" s="132"/>
      <c r="K3965" s="131"/>
    </row>
    <row r="3966" spans="7:11" x14ac:dyDescent="0.2">
      <c r="G3966" s="131"/>
      <c r="H3966" s="131"/>
      <c r="I3966" s="131"/>
      <c r="J3966" s="132"/>
      <c r="K3966" s="131"/>
    </row>
    <row r="3967" spans="7:11" x14ac:dyDescent="0.2">
      <c r="G3967" s="131"/>
      <c r="H3967" s="131"/>
      <c r="I3967" s="131"/>
      <c r="J3967" s="132"/>
      <c r="K3967" s="131"/>
    </row>
    <row r="3968" spans="7:11" x14ac:dyDescent="0.2">
      <c r="G3968" s="131"/>
      <c r="H3968" s="131"/>
      <c r="I3968" s="131"/>
      <c r="J3968" s="132"/>
      <c r="K3968" s="131"/>
    </row>
    <row r="3969" spans="7:11" x14ac:dyDescent="0.2">
      <c r="G3969" s="131"/>
      <c r="H3969" s="131"/>
      <c r="I3969" s="131"/>
      <c r="J3969" s="132"/>
      <c r="K3969" s="131"/>
    </row>
    <row r="3970" spans="7:11" x14ac:dyDescent="0.2">
      <c r="G3970" s="131"/>
      <c r="H3970" s="131"/>
      <c r="I3970" s="131"/>
      <c r="J3970" s="132"/>
      <c r="K3970" s="131"/>
    </row>
    <row r="3971" spans="7:11" x14ac:dyDescent="0.2">
      <c r="G3971" s="131"/>
      <c r="H3971" s="131"/>
      <c r="I3971" s="131"/>
      <c r="J3971" s="132"/>
      <c r="K3971" s="131"/>
    </row>
    <row r="3972" spans="7:11" x14ac:dyDescent="0.2">
      <c r="G3972" s="131"/>
      <c r="H3972" s="131"/>
      <c r="I3972" s="131"/>
      <c r="J3972" s="132"/>
      <c r="K3972" s="131"/>
    </row>
    <row r="3973" spans="7:11" x14ac:dyDescent="0.2">
      <c r="G3973" s="131"/>
      <c r="H3973" s="131"/>
      <c r="I3973" s="131"/>
      <c r="J3973" s="132"/>
      <c r="K3973" s="131"/>
    </row>
    <row r="3974" spans="7:11" x14ac:dyDescent="0.2">
      <c r="G3974" s="131"/>
      <c r="H3974" s="131"/>
      <c r="I3974" s="131"/>
      <c r="J3974" s="132"/>
      <c r="K3974" s="131"/>
    </row>
    <row r="3975" spans="7:11" x14ac:dyDescent="0.2">
      <c r="G3975" s="131"/>
      <c r="H3975" s="131"/>
      <c r="I3975" s="131"/>
      <c r="J3975" s="132"/>
      <c r="K3975" s="131"/>
    </row>
    <row r="3976" spans="7:11" x14ac:dyDescent="0.2">
      <c r="G3976" s="131"/>
      <c r="H3976" s="131"/>
      <c r="I3976" s="131"/>
      <c r="J3976" s="132"/>
      <c r="K3976" s="131"/>
    </row>
    <row r="3977" spans="7:11" x14ac:dyDescent="0.2">
      <c r="G3977" s="131"/>
      <c r="H3977" s="131"/>
      <c r="I3977" s="131"/>
      <c r="J3977" s="132"/>
      <c r="K3977" s="131"/>
    </row>
    <row r="3978" spans="7:11" x14ac:dyDescent="0.2">
      <c r="G3978" s="131"/>
      <c r="H3978" s="131"/>
      <c r="I3978" s="131"/>
      <c r="J3978" s="132"/>
      <c r="K3978" s="131"/>
    </row>
    <row r="3979" spans="7:11" x14ac:dyDescent="0.2">
      <c r="G3979" s="131"/>
      <c r="H3979" s="131"/>
      <c r="I3979" s="131"/>
      <c r="J3979" s="132"/>
      <c r="K3979" s="131"/>
    </row>
    <row r="3980" spans="7:11" x14ac:dyDescent="0.2">
      <c r="G3980" s="131"/>
      <c r="H3980" s="131"/>
      <c r="I3980" s="131"/>
      <c r="J3980" s="132"/>
      <c r="K3980" s="131"/>
    </row>
    <row r="3981" spans="7:11" x14ac:dyDescent="0.2">
      <c r="G3981" s="131"/>
      <c r="H3981" s="131"/>
      <c r="I3981" s="131"/>
      <c r="J3981" s="132"/>
      <c r="K3981" s="131"/>
    </row>
    <row r="3982" spans="7:11" x14ac:dyDescent="0.2">
      <c r="G3982" s="131"/>
      <c r="H3982" s="131"/>
      <c r="I3982" s="131"/>
      <c r="J3982" s="132"/>
      <c r="K3982" s="131"/>
    </row>
    <row r="3983" spans="7:11" x14ac:dyDescent="0.2">
      <c r="G3983" s="131"/>
      <c r="H3983" s="131"/>
      <c r="I3983" s="131"/>
      <c r="J3983" s="132"/>
      <c r="K3983" s="131"/>
    </row>
    <row r="3984" spans="7:11" x14ac:dyDescent="0.2">
      <c r="G3984" s="131"/>
      <c r="H3984" s="131"/>
      <c r="I3984" s="131"/>
      <c r="J3984" s="132"/>
      <c r="K3984" s="131"/>
    </row>
    <row r="3985" spans="7:11" x14ac:dyDescent="0.2">
      <c r="G3985" s="131"/>
      <c r="H3985" s="131"/>
      <c r="I3985" s="131"/>
      <c r="J3985" s="132"/>
      <c r="K3985" s="131"/>
    </row>
    <row r="3986" spans="7:11" x14ac:dyDescent="0.2">
      <c r="G3986" s="131"/>
      <c r="H3986" s="131"/>
      <c r="I3986" s="131"/>
      <c r="J3986" s="132"/>
      <c r="K3986" s="131"/>
    </row>
    <row r="3987" spans="7:11" x14ac:dyDescent="0.2">
      <c r="G3987" s="131"/>
      <c r="H3987" s="131"/>
      <c r="I3987" s="131"/>
      <c r="J3987" s="132"/>
      <c r="K3987" s="131"/>
    </row>
    <row r="3988" spans="7:11" x14ac:dyDescent="0.2">
      <c r="G3988" s="131"/>
      <c r="H3988" s="131"/>
      <c r="I3988" s="131"/>
      <c r="J3988" s="132"/>
      <c r="K3988" s="131"/>
    </row>
    <row r="3989" spans="7:11" x14ac:dyDescent="0.2">
      <c r="G3989" s="131"/>
      <c r="H3989" s="131"/>
      <c r="I3989" s="131"/>
      <c r="J3989" s="132"/>
      <c r="K3989" s="131"/>
    </row>
    <row r="3990" spans="7:11" x14ac:dyDescent="0.2">
      <c r="G3990" s="131"/>
      <c r="H3990" s="131"/>
      <c r="I3990" s="131"/>
      <c r="J3990" s="132"/>
      <c r="K3990" s="131"/>
    </row>
    <row r="3991" spans="7:11" x14ac:dyDescent="0.2">
      <c r="G3991" s="131"/>
      <c r="H3991" s="131"/>
      <c r="I3991" s="131"/>
      <c r="J3991" s="132"/>
      <c r="K3991" s="131"/>
    </row>
    <row r="3992" spans="7:11" x14ac:dyDescent="0.2">
      <c r="G3992" s="131"/>
      <c r="H3992" s="131"/>
      <c r="I3992" s="131"/>
      <c r="J3992" s="132"/>
      <c r="K3992" s="131"/>
    </row>
    <row r="3993" spans="7:11" x14ac:dyDescent="0.2">
      <c r="G3993" s="131"/>
      <c r="H3993" s="131"/>
      <c r="I3993" s="131"/>
      <c r="J3993" s="132"/>
      <c r="K3993" s="131"/>
    </row>
    <row r="3994" spans="7:11" x14ac:dyDescent="0.2">
      <c r="G3994" s="131"/>
      <c r="H3994" s="131"/>
      <c r="I3994" s="131"/>
      <c r="J3994" s="132"/>
      <c r="K3994" s="131"/>
    </row>
    <row r="3995" spans="7:11" x14ac:dyDescent="0.2">
      <c r="G3995" s="131"/>
      <c r="H3995" s="131"/>
      <c r="I3995" s="131"/>
      <c r="J3995" s="132"/>
      <c r="K3995" s="131"/>
    </row>
    <row r="3996" spans="7:11" x14ac:dyDescent="0.2">
      <c r="G3996" s="131"/>
      <c r="H3996" s="131"/>
      <c r="I3996" s="131"/>
      <c r="J3996" s="132"/>
      <c r="K3996" s="131"/>
    </row>
    <row r="3997" spans="7:11" x14ac:dyDescent="0.2">
      <c r="G3997" s="131"/>
      <c r="H3997" s="131"/>
      <c r="I3997" s="131"/>
      <c r="J3997" s="132"/>
      <c r="K3997" s="131"/>
    </row>
    <row r="3998" spans="7:11" x14ac:dyDescent="0.2">
      <c r="G3998" s="131"/>
      <c r="H3998" s="131"/>
      <c r="I3998" s="131"/>
      <c r="J3998" s="132"/>
      <c r="K3998" s="131"/>
    </row>
    <row r="3999" spans="7:11" x14ac:dyDescent="0.2">
      <c r="G3999" s="131"/>
      <c r="H3999" s="131"/>
      <c r="I3999" s="131"/>
      <c r="J3999" s="132"/>
      <c r="K3999" s="131"/>
    </row>
    <row r="4000" spans="7:11" x14ac:dyDescent="0.2">
      <c r="G4000" s="131"/>
      <c r="H4000" s="131"/>
      <c r="I4000" s="131"/>
      <c r="J4000" s="132"/>
      <c r="K4000" s="131"/>
    </row>
    <row r="4001" spans="7:11" x14ac:dyDescent="0.2">
      <c r="G4001" s="131"/>
      <c r="H4001" s="131"/>
      <c r="I4001" s="131"/>
      <c r="J4001" s="132"/>
      <c r="K4001" s="131"/>
    </row>
    <row r="4002" spans="7:11" x14ac:dyDescent="0.2">
      <c r="G4002" s="131"/>
      <c r="H4002" s="131"/>
      <c r="I4002" s="131"/>
      <c r="J4002" s="132"/>
      <c r="K4002" s="131"/>
    </row>
    <row r="4003" spans="7:11" x14ac:dyDescent="0.2">
      <c r="G4003" s="131"/>
      <c r="H4003" s="131"/>
      <c r="I4003" s="131"/>
      <c r="J4003" s="132"/>
      <c r="K4003" s="131"/>
    </row>
    <row r="4004" spans="7:11" x14ac:dyDescent="0.2">
      <c r="G4004" s="131"/>
      <c r="H4004" s="131"/>
      <c r="I4004" s="131"/>
      <c r="J4004" s="132"/>
      <c r="K4004" s="131"/>
    </row>
    <row r="4005" spans="7:11" x14ac:dyDescent="0.2">
      <c r="G4005" s="131"/>
      <c r="H4005" s="131"/>
      <c r="I4005" s="131"/>
      <c r="J4005" s="132"/>
      <c r="K4005" s="131"/>
    </row>
    <row r="4006" spans="7:11" x14ac:dyDescent="0.2">
      <c r="G4006" s="131"/>
      <c r="H4006" s="131"/>
      <c r="I4006" s="131"/>
      <c r="J4006" s="132"/>
      <c r="K4006" s="131"/>
    </row>
    <row r="4007" spans="7:11" x14ac:dyDescent="0.2">
      <c r="G4007" s="131"/>
      <c r="H4007" s="131"/>
      <c r="I4007" s="131"/>
      <c r="J4007" s="132"/>
      <c r="K4007" s="131"/>
    </row>
    <row r="4008" spans="7:11" x14ac:dyDescent="0.2">
      <c r="G4008" s="131"/>
      <c r="H4008" s="131"/>
      <c r="I4008" s="131"/>
      <c r="J4008" s="132"/>
      <c r="K4008" s="131"/>
    </row>
    <row r="4009" spans="7:11" x14ac:dyDescent="0.2">
      <c r="G4009" s="131"/>
      <c r="H4009" s="131"/>
      <c r="I4009" s="131"/>
      <c r="J4009" s="132"/>
      <c r="K4009" s="131"/>
    </row>
    <row r="4010" spans="7:11" x14ac:dyDescent="0.2">
      <c r="G4010" s="131"/>
      <c r="H4010" s="131"/>
      <c r="I4010" s="131"/>
      <c r="J4010" s="132"/>
      <c r="K4010" s="131"/>
    </row>
    <row r="4011" spans="7:11" x14ac:dyDescent="0.2">
      <c r="G4011" s="131"/>
      <c r="H4011" s="131"/>
      <c r="I4011" s="131"/>
      <c r="J4011" s="132"/>
      <c r="K4011" s="131"/>
    </row>
    <row r="4012" spans="7:11" x14ac:dyDescent="0.2">
      <c r="G4012" s="131"/>
      <c r="H4012" s="131"/>
      <c r="I4012" s="131"/>
      <c r="J4012" s="132"/>
      <c r="K4012" s="131"/>
    </row>
    <row r="4013" spans="7:11" x14ac:dyDescent="0.2">
      <c r="G4013" s="131"/>
      <c r="H4013" s="131"/>
      <c r="I4013" s="131"/>
      <c r="J4013" s="132"/>
      <c r="K4013" s="131"/>
    </row>
    <row r="4014" spans="7:11" x14ac:dyDescent="0.2">
      <c r="G4014" s="131"/>
      <c r="H4014" s="131"/>
      <c r="I4014" s="131"/>
      <c r="J4014" s="132"/>
      <c r="K4014" s="131"/>
    </row>
    <row r="4015" spans="7:11" x14ac:dyDescent="0.2">
      <c r="G4015" s="131"/>
      <c r="H4015" s="131"/>
      <c r="I4015" s="131"/>
      <c r="J4015" s="132"/>
      <c r="K4015" s="131"/>
    </row>
    <row r="4016" spans="7:11" x14ac:dyDescent="0.2">
      <c r="G4016" s="131"/>
      <c r="H4016" s="131"/>
      <c r="I4016" s="131"/>
      <c r="J4016" s="132"/>
      <c r="K4016" s="131"/>
    </row>
    <row r="4017" spans="7:11" x14ac:dyDescent="0.2">
      <c r="G4017" s="131"/>
      <c r="H4017" s="131"/>
      <c r="I4017" s="131"/>
      <c r="J4017" s="132"/>
      <c r="K4017" s="131"/>
    </row>
    <row r="4018" spans="7:11" x14ac:dyDescent="0.2">
      <c r="G4018" s="131"/>
      <c r="H4018" s="131"/>
      <c r="I4018" s="131"/>
      <c r="J4018" s="132"/>
      <c r="K4018" s="131"/>
    </row>
    <row r="4019" spans="7:11" x14ac:dyDescent="0.2">
      <c r="G4019" s="131"/>
      <c r="H4019" s="131"/>
      <c r="I4019" s="131"/>
      <c r="J4019" s="132"/>
      <c r="K4019" s="131"/>
    </row>
    <row r="4020" spans="7:11" x14ac:dyDescent="0.2">
      <c r="G4020" s="131"/>
      <c r="H4020" s="131"/>
      <c r="I4020" s="131"/>
      <c r="J4020" s="132"/>
      <c r="K4020" s="131"/>
    </row>
    <row r="4021" spans="7:11" x14ac:dyDescent="0.2">
      <c r="G4021" s="131"/>
      <c r="H4021" s="131"/>
      <c r="I4021" s="131"/>
      <c r="J4021" s="132"/>
      <c r="K4021" s="131"/>
    </row>
    <row r="4022" spans="7:11" x14ac:dyDescent="0.2">
      <c r="G4022" s="131"/>
      <c r="H4022" s="131"/>
      <c r="I4022" s="131"/>
      <c r="J4022" s="132"/>
      <c r="K4022" s="131"/>
    </row>
    <row r="4023" spans="7:11" x14ac:dyDescent="0.2">
      <c r="G4023" s="131"/>
      <c r="H4023" s="131"/>
      <c r="I4023" s="131"/>
      <c r="J4023" s="132"/>
      <c r="K4023" s="131"/>
    </row>
    <row r="4024" spans="7:11" x14ac:dyDescent="0.2">
      <c r="G4024" s="131"/>
      <c r="H4024" s="131"/>
      <c r="I4024" s="131"/>
      <c r="J4024" s="132"/>
      <c r="K4024" s="131"/>
    </row>
    <row r="4025" spans="7:11" x14ac:dyDescent="0.2">
      <c r="G4025" s="131"/>
      <c r="H4025" s="131"/>
      <c r="I4025" s="131"/>
      <c r="J4025" s="132"/>
      <c r="K4025" s="131"/>
    </row>
    <row r="4026" spans="7:11" x14ac:dyDescent="0.2">
      <c r="G4026" s="131"/>
      <c r="H4026" s="131"/>
      <c r="I4026" s="131"/>
      <c r="J4026" s="132"/>
      <c r="K4026" s="131"/>
    </row>
    <row r="4027" spans="7:11" x14ac:dyDescent="0.2">
      <c r="G4027" s="131"/>
      <c r="H4027" s="131"/>
      <c r="I4027" s="131"/>
      <c r="J4027" s="132"/>
      <c r="K4027" s="131"/>
    </row>
    <row r="4028" spans="7:11" x14ac:dyDescent="0.2">
      <c r="G4028" s="131"/>
      <c r="H4028" s="131"/>
      <c r="I4028" s="131"/>
      <c r="J4028" s="132"/>
      <c r="K4028" s="131"/>
    </row>
    <row r="4029" spans="7:11" x14ac:dyDescent="0.2">
      <c r="G4029" s="131"/>
      <c r="H4029" s="131"/>
      <c r="I4029" s="131"/>
      <c r="J4029" s="132"/>
      <c r="K4029" s="131"/>
    </row>
    <row r="4030" spans="7:11" x14ac:dyDescent="0.2">
      <c r="G4030" s="131"/>
      <c r="H4030" s="131"/>
      <c r="I4030" s="131"/>
      <c r="J4030" s="132"/>
      <c r="K4030" s="131"/>
    </row>
    <row r="4031" spans="7:11" x14ac:dyDescent="0.2">
      <c r="G4031" s="131"/>
      <c r="H4031" s="131"/>
      <c r="I4031" s="131"/>
      <c r="J4031" s="132"/>
      <c r="K4031" s="131"/>
    </row>
    <row r="4032" spans="7:11" x14ac:dyDescent="0.2">
      <c r="G4032" s="131"/>
      <c r="H4032" s="131"/>
      <c r="I4032" s="131"/>
      <c r="J4032" s="132"/>
      <c r="K4032" s="131"/>
    </row>
    <row r="4033" spans="7:11" x14ac:dyDescent="0.2">
      <c r="G4033" s="131"/>
      <c r="H4033" s="131"/>
      <c r="I4033" s="131"/>
      <c r="J4033" s="132"/>
      <c r="K4033" s="131"/>
    </row>
    <row r="4034" spans="7:11" x14ac:dyDescent="0.2">
      <c r="G4034" s="131"/>
      <c r="H4034" s="131"/>
      <c r="I4034" s="131"/>
      <c r="J4034" s="132"/>
      <c r="K4034" s="131"/>
    </row>
    <row r="4035" spans="7:11" x14ac:dyDescent="0.2">
      <c r="G4035" s="131"/>
      <c r="H4035" s="131"/>
      <c r="I4035" s="131"/>
      <c r="J4035" s="132"/>
      <c r="K4035" s="131"/>
    </row>
    <row r="4036" spans="7:11" x14ac:dyDescent="0.2">
      <c r="G4036" s="131"/>
      <c r="H4036" s="131"/>
      <c r="I4036" s="131"/>
      <c r="J4036" s="132"/>
      <c r="K4036" s="131"/>
    </row>
    <row r="4037" spans="7:11" x14ac:dyDescent="0.2">
      <c r="G4037" s="131"/>
      <c r="H4037" s="131"/>
      <c r="I4037" s="131"/>
      <c r="J4037" s="132"/>
      <c r="K4037" s="131"/>
    </row>
    <row r="4038" spans="7:11" x14ac:dyDescent="0.2">
      <c r="G4038" s="131"/>
      <c r="H4038" s="131"/>
      <c r="I4038" s="131"/>
      <c r="J4038" s="132"/>
      <c r="K4038" s="131"/>
    </row>
    <row r="4039" spans="7:11" x14ac:dyDescent="0.2">
      <c r="G4039" s="131"/>
      <c r="H4039" s="131"/>
      <c r="I4039" s="131"/>
      <c r="J4039" s="132"/>
      <c r="K4039" s="131"/>
    </row>
    <row r="4040" spans="7:11" x14ac:dyDescent="0.2">
      <c r="G4040" s="131"/>
      <c r="H4040" s="131"/>
      <c r="I4040" s="131"/>
      <c r="J4040" s="132"/>
      <c r="K4040" s="131"/>
    </row>
    <row r="4041" spans="7:11" x14ac:dyDescent="0.2">
      <c r="G4041" s="131"/>
      <c r="H4041" s="131"/>
      <c r="I4041" s="131"/>
      <c r="J4041" s="132"/>
      <c r="K4041" s="131"/>
    </row>
    <row r="4042" spans="7:11" x14ac:dyDescent="0.2">
      <c r="G4042" s="131"/>
      <c r="H4042" s="131"/>
      <c r="I4042" s="131"/>
      <c r="J4042" s="132"/>
      <c r="K4042" s="131"/>
    </row>
    <row r="4043" spans="7:11" x14ac:dyDescent="0.2">
      <c r="G4043" s="131"/>
      <c r="H4043" s="131"/>
      <c r="I4043" s="131"/>
      <c r="J4043" s="132"/>
      <c r="K4043" s="131"/>
    </row>
    <row r="4044" spans="7:11" x14ac:dyDescent="0.2">
      <c r="G4044" s="131"/>
      <c r="H4044" s="131"/>
      <c r="I4044" s="131"/>
      <c r="J4044" s="132"/>
      <c r="K4044" s="131"/>
    </row>
    <row r="4045" spans="7:11" x14ac:dyDescent="0.2">
      <c r="G4045" s="131"/>
      <c r="H4045" s="131"/>
      <c r="I4045" s="131"/>
      <c r="J4045" s="132"/>
      <c r="K4045" s="131"/>
    </row>
    <row r="4046" spans="7:11" x14ac:dyDescent="0.2">
      <c r="G4046" s="131"/>
      <c r="H4046" s="131"/>
      <c r="I4046" s="131"/>
      <c r="J4046" s="132"/>
      <c r="K4046" s="131"/>
    </row>
    <row r="4047" spans="7:11" x14ac:dyDescent="0.2">
      <c r="G4047" s="131"/>
      <c r="H4047" s="131"/>
      <c r="I4047" s="131"/>
      <c r="J4047" s="132"/>
      <c r="K4047" s="131"/>
    </row>
    <row r="4048" spans="7:11" x14ac:dyDescent="0.2">
      <c r="G4048" s="131"/>
      <c r="H4048" s="131"/>
      <c r="I4048" s="131"/>
      <c r="J4048" s="132"/>
      <c r="K4048" s="131"/>
    </row>
    <row r="4049" spans="7:11" x14ac:dyDescent="0.2">
      <c r="G4049" s="131"/>
      <c r="H4049" s="131"/>
      <c r="I4049" s="131"/>
      <c r="J4049" s="132"/>
      <c r="K4049" s="131"/>
    </row>
    <row r="4050" spans="7:11" x14ac:dyDescent="0.2">
      <c r="G4050" s="131"/>
      <c r="H4050" s="131"/>
      <c r="I4050" s="131"/>
      <c r="J4050" s="132"/>
      <c r="K4050" s="131"/>
    </row>
    <row r="4051" spans="7:11" x14ac:dyDescent="0.2">
      <c r="G4051" s="131"/>
      <c r="H4051" s="131"/>
      <c r="I4051" s="131"/>
      <c r="J4051" s="132"/>
      <c r="K4051" s="131"/>
    </row>
    <row r="4052" spans="7:11" x14ac:dyDescent="0.2">
      <c r="G4052" s="131"/>
      <c r="H4052" s="131"/>
      <c r="I4052" s="131"/>
      <c r="J4052" s="132"/>
      <c r="K4052" s="131"/>
    </row>
    <row r="4053" spans="7:11" x14ac:dyDescent="0.2">
      <c r="G4053" s="131"/>
      <c r="H4053" s="131"/>
      <c r="I4053" s="131"/>
      <c r="J4053" s="132"/>
      <c r="K4053" s="131"/>
    </row>
    <row r="4054" spans="7:11" x14ac:dyDescent="0.2">
      <c r="G4054" s="131"/>
      <c r="H4054" s="131"/>
      <c r="I4054" s="131"/>
      <c r="J4054" s="132"/>
      <c r="K4054" s="131"/>
    </row>
    <row r="4055" spans="7:11" x14ac:dyDescent="0.2">
      <c r="G4055" s="131"/>
      <c r="H4055" s="131"/>
      <c r="I4055" s="131"/>
      <c r="J4055" s="132"/>
      <c r="K4055" s="131"/>
    </row>
    <row r="4056" spans="7:11" x14ac:dyDescent="0.2">
      <c r="G4056" s="131"/>
      <c r="H4056" s="131"/>
      <c r="I4056" s="131"/>
      <c r="J4056" s="132"/>
      <c r="K4056" s="131"/>
    </row>
    <row r="4057" spans="7:11" x14ac:dyDescent="0.2">
      <c r="G4057" s="131"/>
      <c r="H4057" s="131"/>
      <c r="I4057" s="131"/>
      <c r="J4057" s="132"/>
      <c r="K4057" s="131"/>
    </row>
    <row r="4058" spans="7:11" x14ac:dyDescent="0.2">
      <c r="G4058" s="131"/>
      <c r="H4058" s="131"/>
      <c r="I4058" s="131"/>
      <c r="J4058" s="132"/>
      <c r="K4058" s="131"/>
    </row>
    <row r="4059" spans="7:11" x14ac:dyDescent="0.2">
      <c r="G4059" s="131"/>
      <c r="H4059" s="131"/>
      <c r="I4059" s="131"/>
      <c r="J4059" s="132"/>
      <c r="K4059" s="131"/>
    </row>
    <row r="4060" spans="7:11" x14ac:dyDescent="0.2">
      <c r="G4060" s="131"/>
      <c r="H4060" s="131"/>
      <c r="I4060" s="131"/>
      <c r="J4060" s="132"/>
      <c r="K4060" s="131"/>
    </row>
    <row r="4061" spans="7:11" x14ac:dyDescent="0.2">
      <c r="G4061" s="131"/>
      <c r="H4061" s="131"/>
      <c r="I4061" s="131"/>
      <c r="J4061" s="132"/>
      <c r="K4061" s="131"/>
    </row>
    <row r="4062" spans="7:11" x14ac:dyDescent="0.2">
      <c r="G4062" s="131"/>
      <c r="H4062" s="131"/>
      <c r="I4062" s="131"/>
      <c r="J4062" s="132"/>
      <c r="K4062" s="131"/>
    </row>
    <row r="4063" spans="7:11" x14ac:dyDescent="0.2">
      <c r="G4063" s="131"/>
      <c r="H4063" s="131"/>
      <c r="I4063" s="131"/>
      <c r="J4063" s="132"/>
      <c r="K4063" s="131"/>
    </row>
    <row r="4064" spans="7:11" x14ac:dyDescent="0.2">
      <c r="G4064" s="131"/>
      <c r="H4064" s="131"/>
      <c r="I4064" s="131"/>
      <c r="J4064" s="132"/>
      <c r="K4064" s="131"/>
    </row>
    <row r="4065" spans="7:11" x14ac:dyDescent="0.2">
      <c r="G4065" s="131"/>
      <c r="H4065" s="131"/>
      <c r="I4065" s="131"/>
      <c r="J4065" s="132"/>
      <c r="K4065" s="131"/>
    </row>
    <row r="4066" spans="7:11" x14ac:dyDescent="0.2">
      <c r="G4066" s="131"/>
      <c r="H4066" s="131"/>
      <c r="I4066" s="131"/>
      <c r="J4066" s="132"/>
      <c r="K4066" s="131"/>
    </row>
    <row r="4067" spans="7:11" x14ac:dyDescent="0.2">
      <c r="G4067" s="131"/>
      <c r="H4067" s="131"/>
      <c r="I4067" s="131"/>
      <c r="J4067" s="132"/>
      <c r="K4067" s="131"/>
    </row>
    <row r="4068" spans="7:11" x14ac:dyDescent="0.2">
      <c r="G4068" s="131"/>
      <c r="H4068" s="131"/>
      <c r="I4068" s="131"/>
      <c r="J4068" s="132"/>
      <c r="K4068" s="131"/>
    </row>
    <row r="4069" spans="7:11" x14ac:dyDescent="0.2">
      <c r="G4069" s="131"/>
      <c r="H4069" s="131"/>
      <c r="I4069" s="131"/>
      <c r="J4069" s="132"/>
      <c r="K4069" s="131"/>
    </row>
    <row r="4070" spans="7:11" x14ac:dyDescent="0.2">
      <c r="G4070" s="131"/>
      <c r="H4070" s="131"/>
      <c r="I4070" s="131"/>
      <c r="J4070" s="132"/>
      <c r="K4070" s="131"/>
    </row>
    <row r="4071" spans="7:11" x14ac:dyDescent="0.2">
      <c r="G4071" s="131"/>
      <c r="H4071" s="131"/>
      <c r="I4071" s="131"/>
      <c r="J4071" s="132"/>
      <c r="K4071" s="131"/>
    </row>
    <row r="4072" spans="7:11" x14ac:dyDescent="0.2">
      <c r="G4072" s="131"/>
      <c r="H4072" s="131"/>
      <c r="I4072" s="131"/>
      <c r="J4072" s="132"/>
      <c r="K4072" s="131"/>
    </row>
    <row r="4073" spans="7:11" x14ac:dyDescent="0.2">
      <c r="G4073" s="131"/>
      <c r="H4073" s="131"/>
      <c r="I4073" s="131"/>
      <c r="J4073" s="132"/>
      <c r="K4073" s="131"/>
    </row>
    <row r="4074" spans="7:11" x14ac:dyDescent="0.2">
      <c r="G4074" s="131"/>
      <c r="H4074" s="131"/>
      <c r="I4074" s="131"/>
      <c r="J4074" s="132"/>
      <c r="K4074" s="131"/>
    </row>
    <row r="4075" spans="7:11" x14ac:dyDescent="0.2">
      <c r="G4075" s="131"/>
      <c r="H4075" s="131"/>
      <c r="I4075" s="131"/>
      <c r="J4075" s="132"/>
      <c r="K4075" s="131"/>
    </row>
    <row r="4076" spans="7:11" x14ac:dyDescent="0.2">
      <c r="G4076" s="131"/>
      <c r="H4076" s="131"/>
      <c r="I4076" s="131"/>
      <c r="J4076" s="132"/>
      <c r="K4076" s="131"/>
    </row>
    <row r="4077" spans="7:11" x14ac:dyDescent="0.2">
      <c r="G4077" s="131"/>
      <c r="H4077" s="131"/>
      <c r="I4077" s="131"/>
      <c r="J4077" s="132"/>
      <c r="K4077" s="131"/>
    </row>
    <row r="4078" spans="7:11" x14ac:dyDescent="0.2">
      <c r="G4078" s="131"/>
      <c r="H4078" s="131"/>
      <c r="I4078" s="131"/>
      <c r="J4078" s="132"/>
      <c r="K4078" s="131"/>
    </row>
    <row r="4079" spans="7:11" x14ac:dyDescent="0.2">
      <c r="G4079" s="131"/>
      <c r="H4079" s="131"/>
      <c r="I4079" s="131"/>
      <c r="J4079" s="132"/>
      <c r="K4079" s="131"/>
    </row>
    <row r="4080" spans="7:11" x14ac:dyDescent="0.2">
      <c r="G4080" s="131"/>
      <c r="H4080" s="131"/>
      <c r="I4080" s="131"/>
      <c r="J4080" s="132"/>
      <c r="K4080" s="131"/>
    </row>
    <row r="4081" spans="7:11" x14ac:dyDescent="0.2">
      <c r="G4081" s="131"/>
      <c r="H4081" s="131"/>
      <c r="I4081" s="131"/>
      <c r="J4081" s="132"/>
      <c r="K4081" s="131"/>
    </row>
    <row r="4082" spans="7:11" x14ac:dyDescent="0.2">
      <c r="G4082" s="131"/>
      <c r="H4082" s="131"/>
      <c r="I4082" s="131"/>
      <c r="J4082" s="132"/>
      <c r="K4082" s="131"/>
    </row>
    <row r="4083" spans="7:11" x14ac:dyDescent="0.2">
      <c r="G4083" s="131"/>
      <c r="H4083" s="131"/>
      <c r="I4083" s="131"/>
      <c r="J4083" s="132"/>
      <c r="K4083" s="131"/>
    </row>
    <row r="4084" spans="7:11" x14ac:dyDescent="0.2">
      <c r="G4084" s="131"/>
      <c r="H4084" s="131"/>
      <c r="I4084" s="131"/>
      <c r="J4084" s="132"/>
      <c r="K4084" s="131"/>
    </row>
    <row r="4085" spans="7:11" x14ac:dyDescent="0.2">
      <c r="G4085" s="131"/>
      <c r="H4085" s="131"/>
      <c r="I4085" s="131"/>
      <c r="J4085" s="132"/>
      <c r="K4085" s="131"/>
    </row>
    <row r="4086" spans="7:11" x14ac:dyDescent="0.2">
      <c r="G4086" s="131"/>
      <c r="H4086" s="131"/>
      <c r="I4086" s="131"/>
      <c r="J4086" s="132"/>
      <c r="K4086" s="131"/>
    </row>
    <row r="4087" spans="7:11" x14ac:dyDescent="0.2">
      <c r="G4087" s="131"/>
      <c r="H4087" s="131"/>
      <c r="I4087" s="131"/>
      <c r="J4087" s="132"/>
      <c r="K4087" s="131"/>
    </row>
    <row r="4088" spans="7:11" x14ac:dyDescent="0.2">
      <c r="G4088" s="131"/>
      <c r="H4088" s="131"/>
      <c r="I4088" s="131"/>
      <c r="J4088" s="132"/>
      <c r="K4088" s="131"/>
    </row>
    <row r="4089" spans="7:11" x14ac:dyDescent="0.2">
      <c r="G4089" s="131"/>
      <c r="H4089" s="131"/>
      <c r="I4089" s="131"/>
      <c r="J4089" s="132"/>
      <c r="K4089" s="131"/>
    </row>
    <row r="4090" spans="7:11" x14ac:dyDescent="0.2">
      <c r="G4090" s="131"/>
      <c r="H4090" s="131"/>
      <c r="I4090" s="131"/>
      <c r="J4090" s="132"/>
      <c r="K4090" s="131"/>
    </row>
    <row r="4091" spans="7:11" x14ac:dyDescent="0.2">
      <c r="G4091" s="131"/>
      <c r="H4091" s="131"/>
      <c r="I4091" s="131"/>
      <c r="J4091" s="132"/>
      <c r="K4091" s="131"/>
    </row>
    <row r="4092" spans="7:11" x14ac:dyDescent="0.2">
      <c r="G4092" s="131"/>
      <c r="H4092" s="131"/>
      <c r="I4092" s="131"/>
      <c r="J4092" s="132"/>
      <c r="K4092" s="131"/>
    </row>
    <row r="4093" spans="7:11" x14ac:dyDescent="0.2">
      <c r="G4093" s="131"/>
      <c r="H4093" s="131"/>
      <c r="I4093" s="131"/>
      <c r="J4093" s="132"/>
      <c r="K4093" s="131"/>
    </row>
    <row r="4094" spans="7:11" x14ac:dyDescent="0.2">
      <c r="G4094" s="131"/>
      <c r="H4094" s="131"/>
      <c r="I4094" s="131"/>
      <c r="J4094" s="132"/>
      <c r="K4094" s="131"/>
    </row>
    <row r="4095" spans="7:11" x14ac:dyDescent="0.2">
      <c r="G4095" s="131"/>
      <c r="H4095" s="131"/>
      <c r="I4095" s="131"/>
      <c r="J4095" s="132"/>
      <c r="K4095" s="131"/>
    </row>
    <row r="4096" spans="7:11" x14ac:dyDescent="0.2">
      <c r="G4096" s="131"/>
      <c r="H4096" s="131"/>
      <c r="I4096" s="131"/>
      <c r="J4096" s="132"/>
      <c r="K4096" s="131"/>
    </row>
    <row r="4097" spans="7:11" x14ac:dyDescent="0.2">
      <c r="G4097" s="131"/>
      <c r="H4097" s="131"/>
      <c r="I4097" s="131"/>
      <c r="J4097" s="132"/>
      <c r="K4097" s="131"/>
    </row>
    <row r="4098" spans="7:11" x14ac:dyDescent="0.2">
      <c r="G4098" s="131"/>
      <c r="H4098" s="131"/>
      <c r="I4098" s="131"/>
      <c r="J4098" s="132"/>
      <c r="K4098" s="131"/>
    </row>
    <row r="4099" spans="7:11" x14ac:dyDescent="0.2">
      <c r="G4099" s="131"/>
      <c r="H4099" s="131"/>
      <c r="I4099" s="131"/>
      <c r="J4099" s="132"/>
      <c r="K4099" s="131"/>
    </row>
    <row r="4100" spans="7:11" x14ac:dyDescent="0.2">
      <c r="G4100" s="131"/>
      <c r="H4100" s="131"/>
      <c r="I4100" s="131"/>
      <c r="J4100" s="132"/>
      <c r="K4100" s="131"/>
    </row>
    <row r="4101" spans="7:11" x14ac:dyDescent="0.2">
      <c r="G4101" s="131"/>
      <c r="H4101" s="131"/>
      <c r="I4101" s="131"/>
      <c r="J4101" s="132"/>
      <c r="K4101" s="131"/>
    </row>
    <row r="4102" spans="7:11" x14ac:dyDescent="0.2">
      <c r="G4102" s="131"/>
      <c r="H4102" s="131"/>
      <c r="I4102" s="131"/>
      <c r="J4102" s="132"/>
      <c r="K4102" s="131"/>
    </row>
    <row r="4103" spans="7:11" x14ac:dyDescent="0.2">
      <c r="G4103" s="131"/>
      <c r="H4103" s="131"/>
      <c r="I4103" s="131"/>
      <c r="J4103" s="132"/>
      <c r="K4103" s="131"/>
    </row>
    <row r="4104" spans="7:11" x14ac:dyDescent="0.2">
      <c r="G4104" s="131"/>
      <c r="H4104" s="131"/>
      <c r="I4104" s="131"/>
      <c r="J4104" s="132"/>
      <c r="K4104" s="131"/>
    </row>
    <row r="4105" spans="7:11" x14ac:dyDescent="0.2">
      <c r="G4105" s="131"/>
      <c r="H4105" s="131"/>
      <c r="I4105" s="131"/>
      <c r="J4105" s="132"/>
      <c r="K4105" s="131"/>
    </row>
    <row r="4106" spans="7:11" x14ac:dyDescent="0.2">
      <c r="G4106" s="131"/>
      <c r="H4106" s="131"/>
      <c r="I4106" s="131"/>
      <c r="J4106" s="132"/>
      <c r="K4106" s="131"/>
    </row>
    <row r="4107" spans="7:11" x14ac:dyDescent="0.2">
      <c r="G4107" s="131"/>
      <c r="H4107" s="131"/>
      <c r="I4107" s="131"/>
      <c r="J4107" s="132"/>
      <c r="K4107" s="131"/>
    </row>
    <row r="4108" spans="7:11" x14ac:dyDescent="0.2">
      <c r="G4108" s="131"/>
      <c r="H4108" s="131"/>
      <c r="I4108" s="131"/>
      <c r="J4108" s="132"/>
      <c r="K4108" s="131"/>
    </row>
    <row r="4109" spans="7:11" x14ac:dyDescent="0.2">
      <c r="G4109" s="131"/>
      <c r="H4109" s="131"/>
      <c r="I4109" s="131"/>
      <c r="J4109" s="132"/>
      <c r="K4109" s="131"/>
    </row>
    <row r="4110" spans="7:11" x14ac:dyDescent="0.2">
      <c r="G4110" s="131"/>
      <c r="H4110" s="131"/>
      <c r="I4110" s="131"/>
      <c r="J4110" s="132"/>
      <c r="K4110" s="131"/>
    </row>
    <row r="4111" spans="7:11" x14ac:dyDescent="0.2">
      <c r="G4111" s="131"/>
      <c r="H4111" s="131"/>
      <c r="I4111" s="131"/>
      <c r="J4111" s="132"/>
      <c r="K4111" s="131"/>
    </row>
    <row r="4112" spans="7:11" x14ac:dyDescent="0.2">
      <c r="G4112" s="131"/>
      <c r="H4112" s="131"/>
      <c r="I4112" s="131"/>
      <c r="J4112" s="132"/>
      <c r="K4112" s="131"/>
    </row>
    <row r="4113" spans="7:11" x14ac:dyDescent="0.2">
      <c r="G4113" s="131"/>
      <c r="H4113" s="131"/>
      <c r="I4113" s="131"/>
      <c r="J4113" s="132"/>
      <c r="K4113" s="131"/>
    </row>
    <row r="4114" spans="7:11" x14ac:dyDescent="0.2">
      <c r="G4114" s="131"/>
      <c r="H4114" s="131"/>
      <c r="I4114" s="131"/>
      <c r="J4114" s="132"/>
      <c r="K4114" s="131"/>
    </row>
    <row r="4115" spans="7:11" x14ac:dyDescent="0.2">
      <c r="G4115" s="131"/>
      <c r="H4115" s="131"/>
      <c r="I4115" s="131"/>
      <c r="J4115" s="132"/>
      <c r="K4115" s="131"/>
    </row>
    <row r="4116" spans="7:11" x14ac:dyDescent="0.2">
      <c r="G4116" s="131"/>
      <c r="H4116" s="131"/>
      <c r="I4116" s="131"/>
      <c r="J4116" s="132"/>
      <c r="K4116" s="131"/>
    </row>
    <row r="4117" spans="7:11" x14ac:dyDescent="0.2">
      <c r="G4117" s="131"/>
      <c r="H4117" s="131"/>
      <c r="I4117" s="131"/>
      <c r="J4117" s="132"/>
      <c r="K4117" s="131"/>
    </row>
    <row r="4118" spans="7:11" x14ac:dyDescent="0.2">
      <c r="G4118" s="131"/>
      <c r="H4118" s="131"/>
      <c r="I4118" s="131"/>
      <c r="J4118" s="132"/>
      <c r="K4118" s="131"/>
    </row>
    <row r="4119" spans="7:11" x14ac:dyDescent="0.2">
      <c r="G4119" s="131"/>
      <c r="H4119" s="131"/>
      <c r="I4119" s="131"/>
      <c r="J4119" s="132"/>
      <c r="K4119" s="131"/>
    </row>
    <row r="4120" spans="7:11" x14ac:dyDescent="0.2">
      <c r="G4120" s="131"/>
      <c r="H4120" s="131"/>
      <c r="I4120" s="131"/>
      <c r="J4120" s="132"/>
      <c r="K4120" s="131"/>
    </row>
    <row r="4121" spans="7:11" x14ac:dyDescent="0.2">
      <c r="G4121" s="131"/>
      <c r="H4121" s="131"/>
      <c r="I4121" s="131"/>
      <c r="J4121" s="132"/>
      <c r="K4121" s="131"/>
    </row>
    <row r="4122" spans="7:11" x14ac:dyDescent="0.2">
      <c r="G4122" s="131"/>
      <c r="H4122" s="131"/>
      <c r="I4122" s="131"/>
      <c r="J4122" s="132"/>
      <c r="K4122" s="131"/>
    </row>
    <row r="4123" spans="7:11" x14ac:dyDescent="0.2">
      <c r="G4123" s="131"/>
      <c r="H4123" s="131"/>
      <c r="I4123" s="131"/>
      <c r="J4123" s="132"/>
      <c r="K4123" s="131"/>
    </row>
    <row r="4124" spans="7:11" x14ac:dyDescent="0.2">
      <c r="G4124" s="131"/>
      <c r="H4124" s="131"/>
      <c r="I4124" s="131"/>
      <c r="J4124" s="132"/>
      <c r="K4124" s="131"/>
    </row>
    <row r="4125" spans="7:11" x14ac:dyDescent="0.2">
      <c r="G4125" s="131"/>
      <c r="H4125" s="131"/>
      <c r="I4125" s="131"/>
      <c r="J4125" s="132"/>
      <c r="K4125" s="131"/>
    </row>
    <row r="4126" spans="7:11" x14ac:dyDescent="0.2">
      <c r="G4126" s="131"/>
      <c r="H4126" s="131"/>
      <c r="I4126" s="131"/>
      <c r="J4126" s="132"/>
      <c r="K4126" s="131"/>
    </row>
    <row r="4127" spans="7:11" x14ac:dyDescent="0.2">
      <c r="G4127" s="131"/>
      <c r="H4127" s="131"/>
      <c r="I4127" s="131"/>
      <c r="J4127" s="132"/>
      <c r="K4127" s="131"/>
    </row>
    <row r="4128" spans="7:11" x14ac:dyDescent="0.2">
      <c r="G4128" s="131"/>
      <c r="H4128" s="131"/>
      <c r="I4128" s="131"/>
      <c r="J4128" s="132"/>
      <c r="K4128" s="131"/>
    </row>
    <row r="4129" spans="7:11" x14ac:dyDescent="0.2">
      <c r="G4129" s="131"/>
      <c r="H4129" s="131"/>
      <c r="I4129" s="131"/>
      <c r="J4129" s="132"/>
      <c r="K4129" s="131"/>
    </row>
    <row r="4130" spans="7:11" x14ac:dyDescent="0.2">
      <c r="G4130" s="131"/>
      <c r="H4130" s="131"/>
      <c r="I4130" s="131"/>
      <c r="J4130" s="132"/>
      <c r="K4130" s="131"/>
    </row>
    <row r="4131" spans="7:11" x14ac:dyDescent="0.2">
      <c r="G4131" s="131"/>
      <c r="H4131" s="131"/>
      <c r="I4131" s="131"/>
      <c r="J4131" s="132"/>
      <c r="K4131" s="131"/>
    </row>
    <row r="4132" spans="7:11" x14ac:dyDescent="0.2">
      <c r="G4132" s="131"/>
      <c r="H4132" s="131"/>
      <c r="I4132" s="131"/>
      <c r="J4132" s="132"/>
      <c r="K4132" s="131"/>
    </row>
    <row r="4133" spans="7:11" x14ac:dyDescent="0.2">
      <c r="G4133" s="131"/>
      <c r="H4133" s="131"/>
      <c r="I4133" s="131"/>
      <c r="J4133" s="132"/>
      <c r="K4133" s="131"/>
    </row>
    <row r="4134" spans="7:11" x14ac:dyDescent="0.2">
      <c r="G4134" s="131"/>
      <c r="H4134" s="131"/>
      <c r="I4134" s="131"/>
      <c r="J4134" s="132"/>
      <c r="K4134" s="131"/>
    </row>
    <row r="4135" spans="7:11" x14ac:dyDescent="0.2">
      <c r="G4135" s="131"/>
      <c r="H4135" s="131"/>
      <c r="I4135" s="131"/>
      <c r="J4135" s="132"/>
      <c r="K4135" s="131"/>
    </row>
    <row r="4136" spans="7:11" x14ac:dyDescent="0.2">
      <c r="G4136" s="131"/>
      <c r="H4136" s="131"/>
      <c r="I4136" s="131"/>
      <c r="J4136" s="132"/>
      <c r="K4136" s="131"/>
    </row>
    <row r="4137" spans="7:11" x14ac:dyDescent="0.2">
      <c r="G4137" s="131"/>
      <c r="H4137" s="131"/>
      <c r="I4137" s="131"/>
      <c r="J4137" s="132"/>
      <c r="K4137" s="131"/>
    </row>
    <row r="4138" spans="7:11" x14ac:dyDescent="0.2">
      <c r="G4138" s="131"/>
      <c r="H4138" s="131"/>
      <c r="I4138" s="131"/>
      <c r="J4138" s="132"/>
      <c r="K4138" s="131"/>
    </row>
    <row r="4139" spans="7:11" x14ac:dyDescent="0.2">
      <c r="G4139" s="131"/>
      <c r="H4139" s="131"/>
      <c r="I4139" s="131"/>
      <c r="J4139" s="132"/>
      <c r="K4139" s="131"/>
    </row>
    <row r="4140" spans="7:11" x14ac:dyDescent="0.2">
      <c r="G4140" s="131"/>
      <c r="H4140" s="131"/>
      <c r="I4140" s="131"/>
      <c r="J4140" s="132"/>
      <c r="K4140" s="131"/>
    </row>
    <row r="4141" spans="7:11" x14ac:dyDescent="0.2">
      <c r="G4141" s="131"/>
      <c r="H4141" s="131"/>
      <c r="I4141" s="131"/>
      <c r="J4141" s="132"/>
      <c r="K4141" s="131"/>
    </row>
    <row r="4142" spans="7:11" x14ac:dyDescent="0.2">
      <c r="G4142" s="131"/>
      <c r="H4142" s="131"/>
      <c r="I4142" s="131"/>
      <c r="J4142" s="132"/>
      <c r="K4142" s="131"/>
    </row>
    <row r="4143" spans="7:11" x14ac:dyDescent="0.2">
      <c r="G4143" s="131"/>
      <c r="H4143" s="131"/>
      <c r="I4143" s="131"/>
      <c r="J4143" s="132"/>
      <c r="K4143" s="131"/>
    </row>
    <row r="4144" spans="7:11" x14ac:dyDescent="0.2">
      <c r="G4144" s="131"/>
      <c r="H4144" s="131"/>
      <c r="I4144" s="131"/>
      <c r="J4144" s="132"/>
      <c r="K4144" s="131"/>
    </row>
    <row r="4145" spans="7:11" x14ac:dyDescent="0.2">
      <c r="G4145" s="131"/>
      <c r="H4145" s="131"/>
      <c r="I4145" s="131"/>
      <c r="J4145" s="132"/>
      <c r="K4145" s="131"/>
    </row>
    <row r="4146" spans="7:11" x14ac:dyDescent="0.2">
      <c r="G4146" s="131"/>
      <c r="H4146" s="131"/>
      <c r="I4146" s="131"/>
      <c r="J4146" s="132"/>
      <c r="K4146" s="131"/>
    </row>
    <row r="4147" spans="7:11" x14ac:dyDescent="0.2">
      <c r="G4147" s="131"/>
      <c r="H4147" s="131"/>
      <c r="I4147" s="131"/>
      <c r="J4147" s="132"/>
      <c r="K4147" s="131"/>
    </row>
    <row r="4148" spans="7:11" x14ac:dyDescent="0.2">
      <c r="G4148" s="131"/>
      <c r="H4148" s="131"/>
      <c r="I4148" s="131"/>
      <c r="J4148" s="132"/>
      <c r="K4148" s="131"/>
    </row>
    <row r="4149" spans="7:11" x14ac:dyDescent="0.2">
      <c r="G4149" s="131"/>
      <c r="H4149" s="131"/>
      <c r="I4149" s="131"/>
      <c r="J4149" s="132"/>
      <c r="K4149" s="131"/>
    </row>
    <row r="4150" spans="7:11" x14ac:dyDescent="0.2">
      <c r="G4150" s="131"/>
      <c r="H4150" s="131"/>
      <c r="I4150" s="131"/>
      <c r="J4150" s="132"/>
      <c r="K4150" s="131"/>
    </row>
    <row r="4151" spans="7:11" x14ac:dyDescent="0.2">
      <c r="G4151" s="131"/>
      <c r="H4151" s="131"/>
      <c r="I4151" s="131"/>
      <c r="J4151" s="132"/>
      <c r="K4151" s="131"/>
    </row>
    <row r="4152" spans="7:11" x14ac:dyDescent="0.2">
      <c r="G4152" s="131"/>
      <c r="H4152" s="131"/>
      <c r="I4152" s="131"/>
      <c r="J4152" s="132"/>
      <c r="K4152" s="131"/>
    </row>
    <row r="4153" spans="7:11" x14ac:dyDescent="0.2">
      <c r="G4153" s="131"/>
      <c r="H4153" s="131"/>
      <c r="I4153" s="131"/>
      <c r="J4153" s="132"/>
      <c r="K4153" s="131"/>
    </row>
    <row r="4154" spans="7:11" x14ac:dyDescent="0.2">
      <c r="G4154" s="131"/>
      <c r="H4154" s="131"/>
      <c r="I4154" s="131"/>
      <c r="J4154" s="132"/>
      <c r="K4154" s="131"/>
    </row>
    <row r="4155" spans="7:11" x14ac:dyDescent="0.2">
      <c r="G4155" s="131"/>
      <c r="H4155" s="131"/>
      <c r="I4155" s="131"/>
      <c r="J4155" s="132"/>
      <c r="K4155" s="131"/>
    </row>
    <row r="4156" spans="7:11" x14ac:dyDescent="0.2">
      <c r="G4156" s="131"/>
      <c r="H4156" s="131"/>
      <c r="I4156" s="131"/>
      <c r="J4156" s="132"/>
      <c r="K4156" s="131"/>
    </row>
    <row r="4157" spans="7:11" x14ac:dyDescent="0.2">
      <c r="G4157" s="131"/>
      <c r="H4157" s="131"/>
      <c r="I4157" s="131"/>
      <c r="J4157" s="132"/>
      <c r="K4157" s="131"/>
    </row>
    <row r="4158" spans="7:11" x14ac:dyDescent="0.2">
      <c r="G4158" s="131"/>
      <c r="H4158" s="131"/>
      <c r="I4158" s="131"/>
      <c r="J4158" s="132"/>
      <c r="K4158" s="131"/>
    </row>
    <row r="4159" spans="7:11" x14ac:dyDescent="0.2">
      <c r="G4159" s="131"/>
      <c r="H4159" s="131"/>
      <c r="I4159" s="131"/>
      <c r="J4159" s="132"/>
      <c r="K4159" s="131"/>
    </row>
    <row r="4160" spans="7:11" x14ac:dyDescent="0.2">
      <c r="G4160" s="131"/>
      <c r="H4160" s="131"/>
      <c r="I4160" s="131"/>
      <c r="J4160" s="132"/>
      <c r="K4160" s="131"/>
    </row>
    <row r="4161" spans="7:11" x14ac:dyDescent="0.2">
      <c r="G4161" s="131"/>
      <c r="H4161" s="131"/>
      <c r="I4161" s="131"/>
      <c r="J4161" s="132"/>
      <c r="K4161" s="131"/>
    </row>
    <row r="4162" spans="7:11" x14ac:dyDescent="0.2">
      <c r="G4162" s="131"/>
      <c r="H4162" s="131"/>
      <c r="I4162" s="131"/>
      <c r="J4162" s="132"/>
      <c r="K4162" s="131"/>
    </row>
    <row r="4163" spans="7:11" x14ac:dyDescent="0.2">
      <c r="G4163" s="131"/>
      <c r="H4163" s="131"/>
      <c r="I4163" s="131"/>
      <c r="J4163" s="132"/>
      <c r="K4163" s="131"/>
    </row>
    <row r="4164" spans="7:11" x14ac:dyDescent="0.2">
      <c r="G4164" s="131"/>
      <c r="H4164" s="131"/>
      <c r="I4164" s="131"/>
      <c r="J4164" s="132"/>
      <c r="K4164" s="131"/>
    </row>
    <row r="4165" spans="7:11" x14ac:dyDescent="0.2">
      <c r="G4165" s="131"/>
      <c r="H4165" s="131"/>
      <c r="I4165" s="131"/>
      <c r="J4165" s="132"/>
      <c r="K4165" s="131"/>
    </row>
    <row r="4166" spans="7:11" x14ac:dyDescent="0.2">
      <c r="G4166" s="131"/>
      <c r="H4166" s="131"/>
      <c r="I4166" s="131"/>
      <c r="J4166" s="132"/>
      <c r="K4166" s="131"/>
    </row>
    <row r="4167" spans="7:11" x14ac:dyDescent="0.2">
      <c r="G4167" s="131"/>
      <c r="H4167" s="131"/>
      <c r="I4167" s="131"/>
      <c r="J4167" s="132"/>
      <c r="K4167" s="131"/>
    </row>
    <row r="4168" spans="7:11" x14ac:dyDescent="0.2">
      <c r="G4168" s="131"/>
      <c r="H4168" s="131"/>
      <c r="I4168" s="131"/>
      <c r="J4168" s="132"/>
      <c r="K4168" s="131"/>
    </row>
    <row r="4169" spans="7:11" x14ac:dyDescent="0.2">
      <c r="G4169" s="131"/>
      <c r="H4169" s="131"/>
      <c r="I4169" s="131"/>
      <c r="J4169" s="132"/>
      <c r="K4169" s="131"/>
    </row>
    <row r="4170" spans="7:11" x14ac:dyDescent="0.2">
      <c r="G4170" s="131"/>
      <c r="H4170" s="131"/>
      <c r="I4170" s="131"/>
      <c r="J4170" s="132"/>
      <c r="K4170" s="131"/>
    </row>
    <row r="4171" spans="7:11" x14ac:dyDescent="0.2">
      <c r="G4171" s="131"/>
      <c r="H4171" s="131"/>
      <c r="I4171" s="131"/>
      <c r="J4171" s="132"/>
      <c r="K4171" s="131"/>
    </row>
    <row r="4172" spans="7:11" x14ac:dyDescent="0.2">
      <c r="G4172" s="131"/>
      <c r="H4172" s="131"/>
      <c r="I4172" s="131"/>
      <c r="J4172" s="132"/>
      <c r="K4172" s="131"/>
    </row>
    <row r="4173" spans="7:11" x14ac:dyDescent="0.2">
      <c r="G4173" s="131"/>
      <c r="H4173" s="131"/>
      <c r="I4173" s="131"/>
      <c r="J4173" s="132"/>
      <c r="K4173" s="131"/>
    </row>
    <row r="4174" spans="7:11" x14ac:dyDescent="0.2">
      <c r="G4174" s="131"/>
      <c r="H4174" s="131"/>
      <c r="I4174" s="131"/>
      <c r="J4174" s="132"/>
      <c r="K4174" s="131"/>
    </row>
    <row r="4175" spans="7:11" x14ac:dyDescent="0.2">
      <c r="G4175" s="131"/>
      <c r="H4175" s="131"/>
      <c r="I4175" s="131"/>
      <c r="J4175" s="132"/>
      <c r="K4175" s="131"/>
    </row>
    <row r="4176" spans="7:11" x14ac:dyDescent="0.2">
      <c r="G4176" s="131"/>
      <c r="H4176" s="131"/>
      <c r="I4176" s="131"/>
      <c r="J4176" s="132"/>
      <c r="K4176" s="131"/>
    </row>
    <row r="4177" spans="7:11" x14ac:dyDescent="0.2">
      <c r="G4177" s="131"/>
      <c r="H4177" s="131"/>
      <c r="I4177" s="131"/>
      <c r="J4177" s="132"/>
      <c r="K4177" s="131"/>
    </row>
    <row r="4178" spans="7:11" x14ac:dyDescent="0.2">
      <c r="G4178" s="131"/>
      <c r="H4178" s="131"/>
      <c r="I4178" s="131"/>
      <c r="J4178" s="132"/>
      <c r="K4178" s="131"/>
    </row>
    <row r="4179" spans="7:11" x14ac:dyDescent="0.2">
      <c r="G4179" s="131"/>
      <c r="H4179" s="131"/>
      <c r="I4179" s="131"/>
      <c r="J4179" s="132"/>
      <c r="K4179" s="131"/>
    </row>
    <row r="4180" spans="7:11" x14ac:dyDescent="0.2">
      <c r="G4180" s="131"/>
      <c r="H4180" s="131"/>
      <c r="I4180" s="131"/>
      <c r="J4180" s="132"/>
      <c r="K4180" s="131"/>
    </row>
    <row r="4181" spans="7:11" x14ac:dyDescent="0.2">
      <c r="G4181" s="131"/>
      <c r="H4181" s="131"/>
      <c r="I4181" s="131"/>
      <c r="J4181" s="132"/>
      <c r="K4181" s="131"/>
    </row>
    <row r="4182" spans="7:11" x14ac:dyDescent="0.2">
      <c r="G4182" s="131"/>
      <c r="H4182" s="131"/>
      <c r="I4182" s="131"/>
      <c r="J4182" s="132"/>
      <c r="K4182" s="131"/>
    </row>
    <row r="4183" spans="7:11" x14ac:dyDescent="0.2">
      <c r="G4183" s="131"/>
      <c r="H4183" s="131"/>
      <c r="I4183" s="131"/>
      <c r="J4183" s="132"/>
      <c r="K4183" s="131"/>
    </row>
    <row r="4184" spans="7:11" x14ac:dyDescent="0.2">
      <c r="G4184" s="131"/>
      <c r="H4184" s="131"/>
      <c r="I4184" s="131"/>
      <c r="J4184" s="132"/>
      <c r="K4184" s="131"/>
    </row>
    <row r="4185" spans="7:11" x14ac:dyDescent="0.2">
      <c r="G4185" s="131"/>
      <c r="H4185" s="131"/>
      <c r="I4185" s="131"/>
      <c r="J4185" s="132"/>
      <c r="K4185" s="131"/>
    </row>
    <row r="4186" spans="7:11" x14ac:dyDescent="0.2">
      <c r="G4186" s="131"/>
      <c r="H4186" s="131"/>
      <c r="I4186" s="131"/>
      <c r="J4186" s="132"/>
      <c r="K4186" s="131"/>
    </row>
    <row r="4187" spans="7:11" x14ac:dyDescent="0.2">
      <c r="G4187" s="131"/>
      <c r="H4187" s="131"/>
      <c r="I4187" s="131"/>
      <c r="J4187" s="132"/>
      <c r="K4187" s="131"/>
    </row>
    <row r="4188" spans="7:11" x14ac:dyDescent="0.2">
      <c r="G4188" s="131"/>
      <c r="H4188" s="131"/>
      <c r="I4188" s="131"/>
      <c r="J4188" s="132"/>
      <c r="K4188" s="131"/>
    </row>
    <row r="4189" spans="7:11" x14ac:dyDescent="0.2">
      <c r="G4189" s="131"/>
      <c r="H4189" s="131"/>
      <c r="I4189" s="131"/>
      <c r="J4189" s="132"/>
      <c r="K4189" s="131"/>
    </row>
    <row r="4190" spans="7:11" x14ac:dyDescent="0.2">
      <c r="G4190" s="131"/>
      <c r="H4190" s="131"/>
      <c r="I4190" s="131"/>
      <c r="J4190" s="132"/>
      <c r="K4190" s="131"/>
    </row>
    <row r="4191" spans="7:11" x14ac:dyDescent="0.2">
      <c r="G4191" s="131"/>
      <c r="H4191" s="131"/>
      <c r="I4191" s="131"/>
      <c r="J4191" s="132"/>
      <c r="K4191" s="131"/>
    </row>
    <row r="4192" spans="7:11" x14ac:dyDescent="0.2">
      <c r="G4192" s="131"/>
      <c r="H4192" s="131"/>
      <c r="I4192" s="131"/>
      <c r="J4192" s="132"/>
      <c r="K4192" s="131"/>
    </row>
    <row r="4193" spans="7:11" x14ac:dyDescent="0.2">
      <c r="G4193" s="131"/>
      <c r="H4193" s="131"/>
      <c r="I4193" s="131"/>
      <c r="J4193" s="132"/>
      <c r="K4193" s="131"/>
    </row>
    <row r="4194" spans="7:11" x14ac:dyDescent="0.2">
      <c r="G4194" s="131"/>
      <c r="H4194" s="131"/>
      <c r="I4194" s="131"/>
      <c r="J4194" s="132"/>
      <c r="K4194" s="131"/>
    </row>
    <row r="4195" spans="7:11" x14ac:dyDescent="0.2">
      <c r="G4195" s="131"/>
      <c r="H4195" s="131"/>
      <c r="I4195" s="131"/>
      <c r="J4195" s="132"/>
      <c r="K4195" s="131"/>
    </row>
    <row r="4196" spans="7:11" x14ac:dyDescent="0.2">
      <c r="G4196" s="131"/>
      <c r="H4196" s="131"/>
      <c r="I4196" s="131"/>
      <c r="J4196" s="132"/>
      <c r="K4196" s="131"/>
    </row>
    <row r="4197" spans="7:11" x14ac:dyDescent="0.2">
      <c r="G4197" s="131"/>
      <c r="H4197" s="131"/>
      <c r="I4197" s="131"/>
      <c r="J4197" s="132"/>
      <c r="K4197" s="131"/>
    </row>
    <row r="4198" spans="7:11" x14ac:dyDescent="0.2">
      <c r="G4198" s="131"/>
      <c r="H4198" s="131"/>
      <c r="I4198" s="131"/>
      <c r="J4198" s="132"/>
      <c r="K4198" s="131"/>
    </row>
    <row r="4199" spans="7:11" x14ac:dyDescent="0.2">
      <c r="G4199" s="131"/>
      <c r="H4199" s="131"/>
      <c r="I4199" s="131"/>
      <c r="J4199" s="132"/>
      <c r="K4199" s="131"/>
    </row>
    <row r="4200" spans="7:11" x14ac:dyDescent="0.2">
      <c r="G4200" s="131"/>
      <c r="H4200" s="131"/>
      <c r="I4200" s="131"/>
      <c r="J4200" s="132"/>
      <c r="K4200" s="131"/>
    </row>
    <row r="4201" spans="7:11" x14ac:dyDescent="0.2">
      <c r="G4201" s="131"/>
      <c r="H4201" s="131"/>
      <c r="I4201" s="131"/>
      <c r="J4201" s="132"/>
      <c r="K4201" s="131"/>
    </row>
    <row r="4202" spans="7:11" x14ac:dyDescent="0.2">
      <c r="G4202" s="131"/>
      <c r="H4202" s="131"/>
      <c r="I4202" s="131"/>
      <c r="J4202" s="132"/>
      <c r="K4202" s="131"/>
    </row>
    <row r="4203" spans="7:11" x14ac:dyDescent="0.2">
      <c r="G4203" s="131"/>
      <c r="H4203" s="131"/>
      <c r="I4203" s="131"/>
      <c r="J4203" s="132"/>
      <c r="K4203" s="131"/>
    </row>
    <row r="4204" spans="7:11" x14ac:dyDescent="0.2">
      <c r="G4204" s="131"/>
      <c r="H4204" s="131"/>
      <c r="I4204" s="131"/>
      <c r="J4204" s="132"/>
      <c r="K4204" s="131"/>
    </row>
    <row r="4205" spans="7:11" x14ac:dyDescent="0.2">
      <c r="G4205" s="131"/>
      <c r="H4205" s="131"/>
      <c r="I4205" s="131"/>
      <c r="J4205" s="132"/>
      <c r="K4205" s="131"/>
    </row>
    <row r="4206" spans="7:11" x14ac:dyDescent="0.2">
      <c r="G4206" s="131"/>
      <c r="H4206" s="131"/>
      <c r="I4206" s="131"/>
      <c r="J4206" s="132"/>
      <c r="K4206" s="131"/>
    </row>
    <row r="4207" spans="7:11" x14ac:dyDescent="0.2">
      <c r="G4207" s="131"/>
      <c r="H4207" s="131"/>
      <c r="I4207" s="131"/>
      <c r="J4207" s="132"/>
      <c r="K4207" s="131"/>
    </row>
    <row r="4208" spans="7:11" x14ac:dyDescent="0.2">
      <c r="G4208" s="131"/>
      <c r="H4208" s="131"/>
      <c r="I4208" s="131"/>
      <c r="J4208" s="132"/>
      <c r="K4208" s="131"/>
    </row>
    <row r="4209" spans="7:11" x14ac:dyDescent="0.2">
      <c r="G4209" s="131"/>
      <c r="H4209" s="131"/>
      <c r="I4209" s="131"/>
      <c r="J4209" s="132"/>
      <c r="K4209" s="131"/>
    </row>
    <row r="4210" spans="7:11" x14ac:dyDescent="0.2">
      <c r="G4210" s="131"/>
      <c r="H4210" s="131"/>
      <c r="I4210" s="131"/>
      <c r="J4210" s="132"/>
      <c r="K4210" s="131"/>
    </row>
    <row r="4211" spans="7:11" x14ac:dyDescent="0.2">
      <c r="G4211" s="131"/>
      <c r="H4211" s="131"/>
      <c r="I4211" s="131"/>
      <c r="J4211" s="132"/>
      <c r="K4211" s="131"/>
    </row>
    <row r="4212" spans="7:11" x14ac:dyDescent="0.2">
      <c r="G4212" s="131"/>
      <c r="H4212" s="131"/>
      <c r="I4212" s="131"/>
      <c r="J4212" s="132"/>
      <c r="K4212" s="131"/>
    </row>
    <row r="4213" spans="7:11" x14ac:dyDescent="0.2">
      <c r="G4213" s="131"/>
      <c r="H4213" s="131"/>
      <c r="I4213" s="131"/>
      <c r="J4213" s="132"/>
      <c r="K4213" s="131"/>
    </row>
    <row r="4214" spans="7:11" x14ac:dyDescent="0.2">
      <c r="G4214" s="131"/>
      <c r="H4214" s="131"/>
      <c r="I4214" s="131"/>
      <c r="J4214" s="132"/>
      <c r="K4214" s="131"/>
    </row>
    <row r="4215" spans="7:11" x14ac:dyDescent="0.2">
      <c r="G4215" s="131"/>
      <c r="H4215" s="131"/>
      <c r="I4215" s="131"/>
      <c r="J4215" s="132"/>
      <c r="K4215" s="131"/>
    </row>
    <row r="4216" spans="7:11" x14ac:dyDescent="0.2">
      <c r="G4216" s="131"/>
      <c r="H4216" s="131"/>
      <c r="I4216" s="131"/>
      <c r="J4216" s="132"/>
      <c r="K4216" s="131"/>
    </row>
    <row r="4217" spans="7:11" x14ac:dyDescent="0.2">
      <c r="G4217" s="131"/>
      <c r="H4217" s="131"/>
      <c r="I4217" s="131"/>
      <c r="J4217" s="132"/>
      <c r="K4217" s="131"/>
    </row>
    <row r="4218" spans="7:11" x14ac:dyDescent="0.2">
      <c r="G4218" s="131"/>
      <c r="H4218" s="131"/>
      <c r="I4218" s="131"/>
      <c r="J4218" s="132"/>
      <c r="K4218" s="131"/>
    </row>
    <row r="4219" spans="7:11" x14ac:dyDescent="0.2">
      <c r="G4219" s="131"/>
      <c r="H4219" s="131"/>
      <c r="I4219" s="131"/>
      <c r="J4219" s="132"/>
      <c r="K4219" s="131"/>
    </row>
    <row r="4220" spans="7:11" x14ac:dyDescent="0.2">
      <c r="G4220" s="131"/>
      <c r="H4220" s="131"/>
      <c r="I4220" s="131"/>
      <c r="J4220" s="132"/>
      <c r="K4220" s="131"/>
    </row>
    <row r="4221" spans="7:11" x14ac:dyDescent="0.2">
      <c r="G4221" s="131"/>
      <c r="H4221" s="131"/>
      <c r="I4221" s="131"/>
      <c r="J4221" s="132"/>
      <c r="K4221" s="131"/>
    </row>
    <row r="4222" spans="7:11" x14ac:dyDescent="0.2">
      <c r="G4222" s="131"/>
      <c r="H4222" s="131"/>
      <c r="I4222" s="131"/>
      <c r="J4222" s="132"/>
      <c r="K4222" s="131"/>
    </row>
    <row r="4223" spans="7:11" x14ac:dyDescent="0.2">
      <c r="G4223" s="131"/>
      <c r="H4223" s="131"/>
      <c r="I4223" s="131"/>
      <c r="J4223" s="132"/>
      <c r="K4223" s="131"/>
    </row>
    <row r="4224" spans="7:11" x14ac:dyDescent="0.2">
      <c r="G4224" s="131"/>
      <c r="H4224" s="131"/>
      <c r="I4224" s="131"/>
      <c r="J4224" s="132"/>
      <c r="K4224" s="131"/>
    </row>
    <row r="4225" spans="7:11" x14ac:dyDescent="0.2">
      <c r="G4225" s="131"/>
      <c r="H4225" s="131"/>
      <c r="I4225" s="131"/>
      <c r="J4225" s="132"/>
      <c r="K4225" s="131"/>
    </row>
    <row r="4226" spans="7:11" x14ac:dyDescent="0.2">
      <c r="G4226" s="131"/>
      <c r="H4226" s="131"/>
      <c r="I4226" s="131"/>
      <c r="J4226" s="132"/>
      <c r="K4226" s="131"/>
    </row>
    <row r="4227" spans="7:11" x14ac:dyDescent="0.2">
      <c r="G4227" s="131"/>
      <c r="H4227" s="131"/>
      <c r="I4227" s="131"/>
      <c r="J4227" s="132"/>
      <c r="K4227" s="131"/>
    </row>
    <row r="4228" spans="7:11" x14ac:dyDescent="0.2">
      <c r="G4228" s="131"/>
      <c r="H4228" s="131"/>
      <c r="I4228" s="131"/>
      <c r="J4228" s="132"/>
      <c r="K4228" s="131"/>
    </row>
    <row r="4229" spans="7:11" x14ac:dyDescent="0.2">
      <c r="G4229" s="131"/>
      <c r="H4229" s="131"/>
      <c r="I4229" s="131"/>
      <c r="J4229" s="132"/>
      <c r="K4229" s="131"/>
    </row>
    <row r="4230" spans="7:11" x14ac:dyDescent="0.2">
      <c r="G4230" s="131"/>
      <c r="H4230" s="131"/>
      <c r="I4230" s="131"/>
      <c r="J4230" s="132"/>
      <c r="K4230" s="131"/>
    </row>
    <row r="4231" spans="7:11" x14ac:dyDescent="0.2">
      <c r="G4231" s="131"/>
      <c r="H4231" s="131"/>
      <c r="I4231" s="131"/>
      <c r="J4231" s="132"/>
      <c r="K4231" s="131"/>
    </row>
    <row r="4232" spans="7:11" x14ac:dyDescent="0.2">
      <c r="G4232" s="131"/>
      <c r="H4232" s="131"/>
      <c r="I4232" s="131"/>
      <c r="J4232" s="132"/>
      <c r="K4232" s="131"/>
    </row>
    <row r="4233" spans="7:11" x14ac:dyDescent="0.2">
      <c r="G4233" s="131"/>
      <c r="H4233" s="131"/>
      <c r="I4233" s="131"/>
      <c r="J4233" s="132"/>
      <c r="K4233" s="131"/>
    </row>
    <row r="4234" spans="7:11" x14ac:dyDescent="0.2">
      <c r="G4234" s="131"/>
      <c r="H4234" s="131"/>
      <c r="I4234" s="131"/>
      <c r="J4234" s="132"/>
      <c r="K4234" s="131"/>
    </row>
    <row r="4235" spans="7:11" x14ac:dyDescent="0.2">
      <c r="G4235" s="131"/>
      <c r="H4235" s="131"/>
      <c r="I4235" s="131"/>
      <c r="J4235" s="132"/>
      <c r="K4235" s="131"/>
    </row>
    <row r="4236" spans="7:11" x14ac:dyDescent="0.2">
      <c r="G4236" s="131"/>
      <c r="H4236" s="131"/>
      <c r="I4236" s="131"/>
      <c r="J4236" s="132"/>
      <c r="K4236" s="131"/>
    </row>
    <row r="4237" spans="7:11" x14ac:dyDescent="0.2">
      <c r="G4237" s="131"/>
      <c r="H4237" s="131"/>
      <c r="I4237" s="131"/>
      <c r="J4237" s="132"/>
      <c r="K4237" s="131"/>
    </row>
    <row r="4238" spans="7:11" x14ac:dyDescent="0.2">
      <c r="G4238" s="131"/>
      <c r="H4238" s="131"/>
      <c r="I4238" s="131"/>
      <c r="J4238" s="132"/>
      <c r="K4238" s="131"/>
    </row>
    <row r="4239" spans="7:11" x14ac:dyDescent="0.2">
      <c r="G4239" s="131"/>
      <c r="H4239" s="131"/>
      <c r="I4239" s="131"/>
      <c r="J4239" s="132"/>
      <c r="K4239" s="131"/>
    </row>
    <row r="4240" spans="7:11" x14ac:dyDescent="0.2">
      <c r="G4240" s="131"/>
      <c r="H4240" s="131"/>
      <c r="I4240" s="131"/>
      <c r="J4240" s="132"/>
      <c r="K4240" s="131"/>
    </row>
    <row r="4241" spans="7:11" x14ac:dyDescent="0.2">
      <c r="G4241" s="131"/>
      <c r="H4241" s="131"/>
      <c r="I4241" s="131"/>
      <c r="J4241" s="132"/>
      <c r="K4241" s="131"/>
    </row>
    <row r="4242" spans="7:11" x14ac:dyDescent="0.2">
      <c r="G4242" s="131"/>
      <c r="H4242" s="131"/>
      <c r="I4242" s="131"/>
      <c r="J4242" s="132"/>
      <c r="K4242" s="131"/>
    </row>
    <row r="4243" spans="7:11" x14ac:dyDescent="0.2">
      <c r="G4243" s="131"/>
      <c r="H4243" s="131"/>
      <c r="I4243" s="131"/>
      <c r="J4243" s="132"/>
      <c r="K4243" s="131"/>
    </row>
    <row r="4244" spans="7:11" x14ac:dyDescent="0.2">
      <c r="G4244" s="131"/>
      <c r="H4244" s="131"/>
      <c r="I4244" s="131"/>
      <c r="J4244" s="132"/>
      <c r="K4244" s="131"/>
    </row>
    <row r="4245" spans="7:11" x14ac:dyDescent="0.2">
      <c r="G4245" s="131"/>
      <c r="H4245" s="131"/>
      <c r="I4245" s="131"/>
      <c r="J4245" s="132"/>
      <c r="K4245" s="131"/>
    </row>
    <row r="4246" spans="7:11" x14ac:dyDescent="0.2">
      <c r="G4246" s="131"/>
      <c r="H4246" s="131"/>
      <c r="I4246" s="131"/>
      <c r="J4246" s="132"/>
      <c r="K4246" s="131"/>
    </row>
    <row r="4247" spans="7:11" x14ac:dyDescent="0.2">
      <c r="G4247" s="131"/>
      <c r="H4247" s="131"/>
      <c r="I4247" s="131"/>
      <c r="J4247" s="132"/>
      <c r="K4247" s="131"/>
    </row>
    <row r="4248" spans="7:11" x14ac:dyDescent="0.2">
      <c r="G4248" s="131"/>
      <c r="H4248" s="131"/>
      <c r="I4248" s="131"/>
      <c r="J4248" s="132"/>
      <c r="K4248" s="131"/>
    </row>
    <row r="4249" spans="7:11" x14ac:dyDescent="0.2">
      <c r="G4249" s="131"/>
      <c r="H4249" s="131"/>
      <c r="I4249" s="131"/>
      <c r="J4249" s="132"/>
      <c r="K4249" s="131"/>
    </row>
    <row r="4250" spans="7:11" x14ac:dyDescent="0.2">
      <c r="G4250" s="131"/>
      <c r="H4250" s="131"/>
      <c r="I4250" s="131"/>
      <c r="J4250" s="132"/>
      <c r="K4250" s="131"/>
    </row>
    <row r="4251" spans="7:11" x14ac:dyDescent="0.2">
      <c r="G4251" s="131"/>
      <c r="H4251" s="131"/>
      <c r="I4251" s="131"/>
      <c r="J4251" s="132"/>
      <c r="K4251" s="131"/>
    </row>
    <row r="4252" spans="7:11" x14ac:dyDescent="0.2">
      <c r="G4252" s="131"/>
      <c r="H4252" s="131"/>
      <c r="I4252" s="131"/>
      <c r="J4252" s="132"/>
      <c r="K4252" s="131"/>
    </row>
    <row r="4253" spans="7:11" x14ac:dyDescent="0.2">
      <c r="G4253" s="131"/>
      <c r="H4253" s="131"/>
      <c r="I4253" s="131"/>
      <c r="J4253" s="132"/>
      <c r="K4253" s="131"/>
    </row>
    <row r="4254" spans="7:11" x14ac:dyDescent="0.2">
      <c r="G4254" s="131"/>
      <c r="H4254" s="131"/>
      <c r="I4254" s="131"/>
      <c r="J4254" s="132"/>
      <c r="K4254" s="131"/>
    </row>
    <row r="4255" spans="7:11" x14ac:dyDescent="0.2">
      <c r="G4255" s="131"/>
      <c r="H4255" s="131"/>
      <c r="I4255" s="131"/>
      <c r="J4255" s="132"/>
      <c r="K4255" s="131"/>
    </row>
    <row r="4256" spans="7:11" x14ac:dyDescent="0.2">
      <c r="G4256" s="131"/>
      <c r="H4256" s="131"/>
      <c r="I4256" s="131"/>
      <c r="J4256" s="132"/>
      <c r="K4256" s="131"/>
    </row>
    <row r="4257" spans="7:11" x14ac:dyDescent="0.2">
      <c r="G4257" s="131"/>
      <c r="H4257" s="131"/>
      <c r="I4257" s="131"/>
      <c r="J4257" s="132"/>
      <c r="K4257" s="131"/>
    </row>
    <row r="4258" spans="7:11" x14ac:dyDescent="0.2">
      <c r="G4258" s="131"/>
      <c r="H4258" s="131"/>
      <c r="I4258" s="131"/>
      <c r="J4258" s="132"/>
      <c r="K4258" s="131"/>
    </row>
    <row r="4259" spans="7:11" x14ac:dyDescent="0.2">
      <c r="G4259" s="131"/>
      <c r="H4259" s="131"/>
      <c r="I4259" s="131"/>
      <c r="J4259" s="132"/>
      <c r="K4259" s="131"/>
    </row>
    <row r="4260" spans="7:11" x14ac:dyDescent="0.2">
      <c r="G4260" s="131"/>
      <c r="H4260" s="131"/>
      <c r="I4260" s="131"/>
      <c r="J4260" s="132"/>
      <c r="K4260" s="131"/>
    </row>
    <row r="4261" spans="7:11" x14ac:dyDescent="0.2">
      <c r="G4261" s="131"/>
      <c r="H4261" s="131"/>
      <c r="I4261" s="131"/>
      <c r="J4261" s="132"/>
      <c r="K4261" s="131"/>
    </row>
    <row r="4262" spans="7:11" x14ac:dyDescent="0.2">
      <c r="G4262" s="131"/>
      <c r="H4262" s="131"/>
      <c r="I4262" s="131"/>
      <c r="J4262" s="132"/>
      <c r="K4262" s="131"/>
    </row>
    <row r="4263" spans="7:11" x14ac:dyDescent="0.2">
      <c r="G4263" s="131"/>
      <c r="H4263" s="131"/>
      <c r="I4263" s="131"/>
      <c r="J4263" s="132"/>
      <c r="K4263" s="131"/>
    </row>
    <row r="4264" spans="7:11" x14ac:dyDescent="0.2">
      <c r="G4264" s="131"/>
      <c r="H4264" s="131"/>
      <c r="I4264" s="131"/>
      <c r="J4264" s="132"/>
      <c r="K4264" s="131"/>
    </row>
    <row r="4265" spans="7:11" x14ac:dyDescent="0.2">
      <c r="G4265" s="131"/>
      <c r="H4265" s="131"/>
      <c r="I4265" s="131"/>
      <c r="J4265" s="132"/>
      <c r="K4265" s="131"/>
    </row>
    <row r="4266" spans="7:11" x14ac:dyDescent="0.2">
      <c r="G4266" s="131"/>
      <c r="H4266" s="131"/>
      <c r="I4266" s="131"/>
      <c r="J4266" s="132"/>
      <c r="K4266" s="131"/>
    </row>
    <row r="4267" spans="7:11" x14ac:dyDescent="0.2">
      <c r="G4267" s="131"/>
      <c r="H4267" s="131"/>
      <c r="I4267" s="131"/>
      <c r="J4267" s="132"/>
      <c r="K4267" s="131"/>
    </row>
    <row r="4268" spans="7:11" x14ac:dyDescent="0.2">
      <c r="G4268" s="131"/>
      <c r="H4268" s="131"/>
      <c r="I4268" s="131"/>
      <c r="J4268" s="132"/>
      <c r="K4268" s="131"/>
    </row>
    <row r="4269" spans="7:11" x14ac:dyDescent="0.2">
      <c r="G4269" s="131"/>
      <c r="H4269" s="131"/>
      <c r="I4269" s="131"/>
      <c r="J4269" s="132"/>
      <c r="K4269" s="131"/>
    </row>
    <row r="4270" spans="7:11" x14ac:dyDescent="0.2">
      <c r="G4270" s="131"/>
      <c r="H4270" s="131"/>
      <c r="I4270" s="131"/>
      <c r="J4270" s="132"/>
      <c r="K4270" s="131"/>
    </row>
    <row r="4271" spans="7:11" x14ac:dyDescent="0.2">
      <c r="G4271" s="131"/>
      <c r="H4271" s="131"/>
      <c r="I4271" s="131"/>
      <c r="J4271" s="132"/>
      <c r="K4271" s="131"/>
    </row>
    <row r="4272" spans="7:11" x14ac:dyDescent="0.2">
      <c r="G4272" s="131"/>
      <c r="H4272" s="131"/>
      <c r="I4272" s="131"/>
      <c r="J4272" s="132"/>
      <c r="K4272" s="131"/>
    </row>
    <row r="4273" spans="7:11" x14ac:dyDescent="0.2">
      <c r="G4273" s="131"/>
      <c r="H4273" s="131"/>
      <c r="I4273" s="131"/>
      <c r="J4273" s="132"/>
      <c r="K4273" s="131"/>
    </row>
    <row r="4274" spans="7:11" x14ac:dyDescent="0.2">
      <c r="G4274" s="131"/>
      <c r="H4274" s="131"/>
      <c r="I4274" s="131"/>
      <c r="J4274" s="132"/>
      <c r="K4274" s="131"/>
    </row>
    <row r="4275" spans="7:11" x14ac:dyDescent="0.2">
      <c r="G4275" s="131"/>
      <c r="H4275" s="131"/>
      <c r="I4275" s="131"/>
      <c r="J4275" s="132"/>
      <c r="K4275" s="131"/>
    </row>
    <row r="4276" spans="7:11" x14ac:dyDescent="0.2">
      <c r="G4276" s="131"/>
      <c r="H4276" s="131"/>
      <c r="I4276" s="131"/>
      <c r="J4276" s="132"/>
      <c r="K4276" s="131"/>
    </row>
    <row r="4277" spans="7:11" x14ac:dyDescent="0.2">
      <c r="G4277" s="131"/>
      <c r="H4277" s="131"/>
      <c r="I4277" s="131"/>
      <c r="J4277" s="132"/>
      <c r="K4277" s="131"/>
    </row>
    <row r="4278" spans="7:11" x14ac:dyDescent="0.2">
      <c r="G4278" s="131"/>
      <c r="H4278" s="131"/>
      <c r="I4278" s="131"/>
      <c r="J4278" s="132"/>
      <c r="K4278" s="131"/>
    </row>
    <row r="4279" spans="7:11" x14ac:dyDescent="0.2">
      <c r="G4279" s="131"/>
      <c r="H4279" s="131"/>
      <c r="I4279" s="131"/>
      <c r="J4279" s="132"/>
      <c r="K4279" s="131"/>
    </row>
    <row r="4280" spans="7:11" x14ac:dyDescent="0.2">
      <c r="G4280" s="131"/>
      <c r="H4280" s="131"/>
      <c r="I4280" s="131"/>
      <c r="J4280" s="132"/>
      <c r="K4280" s="131"/>
    </row>
    <row r="4281" spans="7:11" x14ac:dyDescent="0.2">
      <c r="G4281" s="131"/>
      <c r="H4281" s="131"/>
      <c r="I4281" s="131"/>
      <c r="J4281" s="132"/>
      <c r="K4281" s="131"/>
    </row>
    <row r="4282" spans="7:11" x14ac:dyDescent="0.2">
      <c r="G4282" s="131"/>
      <c r="H4282" s="131"/>
      <c r="I4282" s="131"/>
      <c r="J4282" s="132"/>
      <c r="K4282" s="131"/>
    </row>
    <row r="4283" spans="7:11" x14ac:dyDescent="0.2">
      <c r="G4283" s="131"/>
      <c r="H4283" s="131"/>
      <c r="I4283" s="131"/>
      <c r="J4283" s="132"/>
      <c r="K4283" s="131"/>
    </row>
    <row r="4284" spans="7:11" x14ac:dyDescent="0.2">
      <c r="G4284" s="131"/>
      <c r="H4284" s="131"/>
      <c r="I4284" s="131"/>
      <c r="J4284" s="132"/>
      <c r="K4284" s="131"/>
    </row>
    <row r="4285" spans="7:11" x14ac:dyDescent="0.2">
      <c r="G4285" s="131"/>
      <c r="H4285" s="131"/>
      <c r="I4285" s="131"/>
      <c r="J4285" s="132"/>
      <c r="K4285" s="131"/>
    </row>
    <row r="4286" spans="7:11" x14ac:dyDescent="0.2">
      <c r="G4286" s="131"/>
      <c r="H4286" s="131"/>
      <c r="I4286" s="131"/>
      <c r="J4286" s="132"/>
      <c r="K4286" s="131"/>
    </row>
    <row r="4287" spans="7:11" x14ac:dyDescent="0.2">
      <c r="G4287" s="131"/>
      <c r="H4287" s="131"/>
      <c r="I4287" s="131"/>
      <c r="J4287" s="132"/>
      <c r="K4287" s="131"/>
    </row>
    <row r="4288" spans="7:11" x14ac:dyDescent="0.2">
      <c r="G4288" s="131"/>
      <c r="H4288" s="131"/>
      <c r="I4288" s="131"/>
      <c r="J4288" s="132"/>
      <c r="K4288" s="131"/>
    </row>
    <row r="4289" spans="7:11" x14ac:dyDescent="0.2">
      <c r="G4289" s="131"/>
      <c r="H4289" s="131"/>
      <c r="I4289" s="131"/>
      <c r="J4289" s="132"/>
      <c r="K4289" s="131"/>
    </row>
    <row r="4290" spans="7:11" x14ac:dyDescent="0.2">
      <c r="G4290" s="131"/>
      <c r="H4290" s="131"/>
      <c r="I4290" s="131"/>
      <c r="J4290" s="132"/>
      <c r="K4290" s="131"/>
    </row>
    <row r="4291" spans="7:11" x14ac:dyDescent="0.2">
      <c r="G4291" s="131"/>
      <c r="H4291" s="131"/>
      <c r="I4291" s="131"/>
      <c r="J4291" s="132"/>
      <c r="K4291" s="131"/>
    </row>
    <row r="4292" spans="7:11" x14ac:dyDescent="0.2">
      <c r="G4292" s="131"/>
      <c r="H4292" s="131"/>
      <c r="I4292" s="131"/>
      <c r="J4292" s="132"/>
      <c r="K4292" s="131"/>
    </row>
    <row r="4293" spans="7:11" x14ac:dyDescent="0.2">
      <c r="G4293" s="131"/>
      <c r="H4293" s="131"/>
      <c r="I4293" s="131"/>
      <c r="J4293" s="132"/>
      <c r="K4293" s="131"/>
    </row>
    <row r="4294" spans="7:11" x14ac:dyDescent="0.2">
      <c r="G4294" s="131"/>
      <c r="H4294" s="131"/>
      <c r="I4294" s="131"/>
      <c r="J4294" s="132"/>
      <c r="K4294" s="131"/>
    </row>
    <row r="4295" spans="7:11" x14ac:dyDescent="0.2">
      <c r="G4295" s="131"/>
      <c r="H4295" s="131"/>
      <c r="I4295" s="131"/>
      <c r="J4295" s="132"/>
      <c r="K4295" s="131"/>
    </row>
    <row r="4296" spans="7:11" x14ac:dyDescent="0.2">
      <c r="G4296" s="131"/>
      <c r="H4296" s="131"/>
      <c r="I4296" s="131"/>
      <c r="J4296" s="132"/>
      <c r="K4296" s="131"/>
    </row>
    <row r="4297" spans="7:11" x14ac:dyDescent="0.2">
      <c r="G4297" s="131"/>
      <c r="H4297" s="131"/>
      <c r="I4297" s="131"/>
      <c r="J4297" s="132"/>
      <c r="K4297" s="131"/>
    </row>
    <row r="4298" spans="7:11" x14ac:dyDescent="0.2">
      <c r="G4298" s="131"/>
      <c r="H4298" s="131"/>
      <c r="I4298" s="131"/>
      <c r="J4298" s="132"/>
      <c r="K4298" s="131"/>
    </row>
    <row r="4299" spans="7:11" x14ac:dyDescent="0.2">
      <c r="G4299" s="131"/>
      <c r="H4299" s="131"/>
      <c r="I4299" s="131"/>
      <c r="J4299" s="132"/>
      <c r="K4299" s="131"/>
    </row>
    <row r="4300" spans="7:11" x14ac:dyDescent="0.2">
      <c r="G4300" s="131"/>
      <c r="H4300" s="131"/>
      <c r="I4300" s="131"/>
      <c r="J4300" s="132"/>
      <c r="K4300" s="131"/>
    </row>
    <row r="4301" spans="7:11" x14ac:dyDescent="0.2">
      <c r="G4301" s="131"/>
      <c r="H4301" s="131"/>
      <c r="I4301" s="131"/>
      <c r="J4301" s="132"/>
      <c r="K4301" s="131"/>
    </row>
    <row r="4302" spans="7:11" x14ac:dyDescent="0.2">
      <c r="G4302" s="131"/>
      <c r="H4302" s="131"/>
      <c r="I4302" s="131"/>
      <c r="J4302" s="132"/>
      <c r="K4302" s="131"/>
    </row>
    <row r="4303" spans="7:11" x14ac:dyDescent="0.2">
      <c r="G4303" s="131"/>
      <c r="H4303" s="131"/>
      <c r="I4303" s="131"/>
      <c r="J4303" s="132"/>
      <c r="K4303" s="131"/>
    </row>
    <row r="4304" spans="7:11" x14ac:dyDescent="0.2">
      <c r="G4304" s="131"/>
      <c r="H4304" s="131"/>
      <c r="I4304" s="131"/>
      <c r="J4304" s="132"/>
      <c r="K4304" s="131"/>
    </row>
    <row r="4305" spans="7:11" x14ac:dyDescent="0.2">
      <c r="G4305" s="131"/>
      <c r="H4305" s="131"/>
      <c r="I4305" s="131"/>
      <c r="J4305" s="132"/>
      <c r="K4305" s="131"/>
    </row>
    <row r="4306" spans="7:11" x14ac:dyDescent="0.2">
      <c r="G4306" s="131"/>
      <c r="H4306" s="131"/>
      <c r="I4306" s="131"/>
      <c r="J4306" s="132"/>
      <c r="K4306" s="131"/>
    </row>
    <row r="4307" spans="7:11" x14ac:dyDescent="0.2">
      <c r="G4307" s="131"/>
      <c r="H4307" s="131"/>
      <c r="I4307" s="131"/>
      <c r="J4307" s="132"/>
      <c r="K4307" s="131"/>
    </row>
    <row r="4308" spans="7:11" x14ac:dyDescent="0.2">
      <c r="G4308" s="131"/>
      <c r="H4308" s="131"/>
      <c r="I4308" s="131"/>
      <c r="J4308" s="132"/>
      <c r="K4308" s="131"/>
    </row>
    <row r="4309" spans="7:11" x14ac:dyDescent="0.2">
      <c r="G4309" s="131"/>
      <c r="H4309" s="131"/>
      <c r="I4309" s="131"/>
      <c r="J4309" s="132"/>
      <c r="K4309" s="131"/>
    </row>
    <row r="4310" spans="7:11" x14ac:dyDescent="0.2">
      <c r="G4310" s="131"/>
      <c r="H4310" s="131"/>
      <c r="I4310" s="131"/>
      <c r="J4310" s="132"/>
      <c r="K4310" s="131"/>
    </row>
    <row r="4311" spans="7:11" x14ac:dyDescent="0.2">
      <c r="G4311" s="131"/>
      <c r="H4311" s="131"/>
      <c r="I4311" s="131"/>
      <c r="J4311" s="132"/>
      <c r="K4311" s="131"/>
    </row>
    <row r="4312" spans="7:11" x14ac:dyDescent="0.2">
      <c r="G4312" s="131"/>
      <c r="H4312" s="131"/>
      <c r="I4312" s="131"/>
      <c r="J4312" s="132"/>
      <c r="K4312" s="131"/>
    </row>
    <row r="4313" spans="7:11" x14ac:dyDescent="0.2">
      <c r="G4313" s="131"/>
      <c r="H4313" s="131"/>
      <c r="I4313" s="131"/>
      <c r="J4313" s="132"/>
      <c r="K4313" s="131"/>
    </row>
    <row r="4314" spans="7:11" x14ac:dyDescent="0.2">
      <c r="G4314" s="131"/>
      <c r="H4314" s="131"/>
      <c r="I4314" s="131"/>
      <c r="J4314" s="132"/>
      <c r="K4314" s="131"/>
    </row>
    <row r="4315" spans="7:11" x14ac:dyDescent="0.2">
      <c r="G4315" s="131"/>
      <c r="H4315" s="131"/>
      <c r="I4315" s="131"/>
      <c r="J4315" s="132"/>
      <c r="K4315" s="131"/>
    </row>
    <row r="4316" spans="7:11" x14ac:dyDescent="0.2">
      <c r="G4316" s="131"/>
      <c r="H4316" s="131"/>
      <c r="I4316" s="131"/>
      <c r="J4316" s="132"/>
      <c r="K4316" s="131"/>
    </row>
    <row r="4317" spans="7:11" x14ac:dyDescent="0.2">
      <c r="G4317" s="131"/>
      <c r="H4317" s="131"/>
      <c r="I4317" s="131"/>
      <c r="J4317" s="132"/>
      <c r="K4317" s="131"/>
    </row>
    <row r="4318" spans="7:11" x14ac:dyDescent="0.2">
      <c r="G4318" s="131"/>
      <c r="H4318" s="131"/>
      <c r="I4318" s="131"/>
      <c r="J4318" s="132"/>
      <c r="K4318" s="131"/>
    </row>
    <row r="4319" spans="7:11" x14ac:dyDescent="0.2">
      <c r="G4319" s="131"/>
      <c r="H4319" s="131"/>
      <c r="I4319" s="131"/>
      <c r="J4319" s="132"/>
      <c r="K4319" s="131"/>
    </row>
    <row r="4320" spans="7:11" x14ac:dyDescent="0.2">
      <c r="G4320" s="131"/>
      <c r="H4320" s="131"/>
      <c r="I4320" s="131"/>
      <c r="J4320" s="132"/>
      <c r="K4320" s="131"/>
    </row>
    <row r="4321" spans="7:11" x14ac:dyDescent="0.2">
      <c r="G4321" s="131"/>
      <c r="H4321" s="131"/>
      <c r="I4321" s="131"/>
      <c r="J4321" s="132"/>
      <c r="K4321" s="131"/>
    </row>
    <row r="4322" spans="7:11" x14ac:dyDescent="0.2">
      <c r="G4322" s="131"/>
      <c r="H4322" s="131"/>
      <c r="I4322" s="131"/>
      <c r="J4322" s="132"/>
      <c r="K4322" s="131"/>
    </row>
    <row r="4323" spans="7:11" x14ac:dyDescent="0.2">
      <c r="G4323" s="131"/>
      <c r="H4323" s="131"/>
      <c r="I4323" s="131"/>
      <c r="J4323" s="132"/>
      <c r="K4323" s="131"/>
    </row>
    <row r="4324" spans="7:11" x14ac:dyDescent="0.2">
      <c r="G4324" s="131"/>
      <c r="H4324" s="131"/>
      <c r="I4324" s="131"/>
      <c r="J4324" s="132"/>
      <c r="K4324" s="131"/>
    </row>
    <row r="4325" spans="7:11" x14ac:dyDescent="0.2">
      <c r="G4325" s="131"/>
      <c r="H4325" s="131"/>
      <c r="I4325" s="131"/>
      <c r="J4325" s="132"/>
      <c r="K4325" s="131"/>
    </row>
    <row r="4326" spans="7:11" x14ac:dyDescent="0.2">
      <c r="G4326" s="131"/>
      <c r="H4326" s="131"/>
      <c r="I4326" s="131"/>
      <c r="J4326" s="132"/>
      <c r="K4326" s="131"/>
    </row>
    <row r="4327" spans="7:11" x14ac:dyDescent="0.2">
      <c r="G4327" s="131"/>
      <c r="H4327" s="131"/>
      <c r="I4327" s="131"/>
      <c r="J4327" s="132"/>
      <c r="K4327" s="131"/>
    </row>
    <row r="4328" spans="7:11" x14ac:dyDescent="0.2">
      <c r="G4328" s="131"/>
      <c r="H4328" s="131"/>
      <c r="I4328" s="131"/>
      <c r="J4328" s="132"/>
      <c r="K4328" s="131"/>
    </row>
    <row r="4329" spans="7:11" x14ac:dyDescent="0.2">
      <c r="G4329" s="131"/>
      <c r="H4329" s="131"/>
      <c r="I4329" s="131"/>
      <c r="J4329" s="132"/>
      <c r="K4329" s="131"/>
    </row>
    <row r="4330" spans="7:11" x14ac:dyDescent="0.2">
      <c r="G4330" s="131"/>
      <c r="H4330" s="131"/>
      <c r="I4330" s="131"/>
      <c r="J4330" s="132"/>
      <c r="K4330" s="131"/>
    </row>
    <row r="4331" spans="7:11" x14ac:dyDescent="0.2">
      <c r="G4331" s="131"/>
      <c r="H4331" s="131"/>
      <c r="I4331" s="131"/>
      <c r="J4331" s="132"/>
      <c r="K4331" s="131"/>
    </row>
    <row r="4332" spans="7:11" x14ac:dyDescent="0.2">
      <c r="G4332" s="131"/>
      <c r="H4332" s="131"/>
      <c r="I4332" s="131"/>
      <c r="J4332" s="132"/>
      <c r="K4332" s="131"/>
    </row>
    <row r="4333" spans="7:11" x14ac:dyDescent="0.2">
      <c r="G4333" s="131"/>
      <c r="H4333" s="131"/>
      <c r="I4333" s="131"/>
      <c r="J4333" s="132"/>
      <c r="K4333" s="131"/>
    </row>
    <row r="4334" spans="7:11" x14ac:dyDescent="0.2">
      <c r="G4334" s="131"/>
      <c r="H4334" s="131"/>
      <c r="I4334" s="131"/>
      <c r="J4334" s="132"/>
      <c r="K4334" s="131"/>
    </row>
    <row r="4335" spans="7:11" x14ac:dyDescent="0.2">
      <c r="G4335" s="131"/>
      <c r="H4335" s="131"/>
      <c r="I4335" s="131"/>
      <c r="J4335" s="132"/>
      <c r="K4335" s="131"/>
    </row>
    <row r="4336" spans="7:11" x14ac:dyDescent="0.2">
      <c r="G4336" s="131"/>
      <c r="H4336" s="131"/>
      <c r="I4336" s="131"/>
      <c r="J4336" s="132"/>
      <c r="K4336" s="131"/>
    </row>
    <row r="4337" spans="7:11" x14ac:dyDescent="0.2">
      <c r="G4337" s="131"/>
      <c r="H4337" s="131"/>
      <c r="I4337" s="131"/>
      <c r="J4337" s="132"/>
      <c r="K4337" s="131"/>
    </row>
    <row r="4338" spans="7:11" x14ac:dyDescent="0.2">
      <c r="G4338" s="131"/>
      <c r="H4338" s="131"/>
      <c r="I4338" s="131"/>
      <c r="J4338" s="132"/>
      <c r="K4338" s="131"/>
    </row>
    <row r="4339" spans="7:11" x14ac:dyDescent="0.2">
      <c r="G4339" s="131"/>
      <c r="H4339" s="131"/>
      <c r="I4339" s="131"/>
      <c r="J4339" s="132"/>
      <c r="K4339" s="131"/>
    </row>
    <row r="4340" spans="7:11" x14ac:dyDescent="0.2">
      <c r="G4340" s="131"/>
      <c r="H4340" s="131"/>
      <c r="I4340" s="131"/>
      <c r="J4340" s="132"/>
      <c r="K4340" s="131"/>
    </row>
    <row r="4341" spans="7:11" x14ac:dyDescent="0.2">
      <c r="G4341" s="131"/>
      <c r="H4341" s="131"/>
      <c r="I4341" s="131"/>
      <c r="J4341" s="132"/>
      <c r="K4341" s="131"/>
    </row>
    <row r="4342" spans="7:11" x14ac:dyDescent="0.2">
      <c r="G4342" s="131"/>
      <c r="H4342" s="131"/>
      <c r="I4342" s="131"/>
      <c r="J4342" s="132"/>
      <c r="K4342" s="131"/>
    </row>
    <row r="4343" spans="7:11" x14ac:dyDescent="0.2">
      <c r="G4343" s="131"/>
      <c r="H4343" s="131"/>
      <c r="I4343" s="131"/>
      <c r="J4343" s="132"/>
      <c r="K4343" s="131"/>
    </row>
    <row r="4344" spans="7:11" x14ac:dyDescent="0.2">
      <c r="G4344" s="131"/>
      <c r="H4344" s="131"/>
      <c r="I4344" s="131"/>
      <c r="J4344" s="132"/>
      <c r="K4344" s="131"/>
    </row>
    <row r="4345" spans="7:11" x14ac:dyDescent="0.2">
      <c r="G4345" s="131"/>
      <c r="H4345" s="131"/>
      <c r="I4345" s="131"/>
      <c r="J4345" s="132"/>
      <c r="K4345" s="131"/>
    </row>
    <row r="4346" spans="7:11" x14ac:dyDescent="0.2">
      <c r="G4346" s="131"/>
      <c r="H4346" s="131"/>
      <c r="I4346" s="131"/>
      <c r="J4346" s="132"/>
      <c r="K4346" s="131"/>
    </row>
    <row r="4347" spans="7:11" x14ac:dyDescent="0.2">
      <c r="G4347" s="131"/>
      <c r="H4347" s="131"/>
      <c r="I4347" s="131"/>
      <c r="J4347" s="132"/>
      <c r="K4347" s="131"/>
    </row>
    <row r="4348" spans="7:11" x14ac:dyDescent="0.2">
      <c r="G4348" s="131"/>
      <c r="H4348" s="131"/>
      <c r="I4348" s="131"/>
      <c r="J4348" s="132"/>
      <c r="K4348" s="131"/>
    </row>
    <row r="4349" spans="7:11" x14ac:dyDescent="0.2">
      <c r="G4349" s="131"/>
      <c r="H4349" s="131"/>
      <c r="I4349" s="131"/>
      <c r="J4349" s="132"/>
      <c r="K4349" s="131"/>
    </row>
    <row r="4350" spans="7:11" x14ac:dyDescent="0.2">
      <c r="G4350" s="131"/>
      <c r="H4350" s="131"/>
      <c r="I4350" s="131"/>
      <c r="J4350" s="132"/>
      <c r="K4350" s="131"/>
    </row>
    <row r="4351" spans="7:11" x14ac:dyDescent="0.2">
      <c r="G4351" s="131"/>
      <c r="H4351" s="131"/>
      <c r="I4351" s="131"/>
      <c r="J4351" s="132"/>
      <c r="K4351" s="131"/>
    </row>
    <row r="4352" spans="7:11" x14ac:dyDescent="0.2">
      <c r="G4352" s="131"/>
      <c r="H4352" s="131"/>
      <c r="I4352" s="131"/>
      <c r="J4352" s="132"/>
      <c r="K4352" s="131"/>
    </row>
    <row r="4353" spans="7:11" x14ac:dyDescent="0.2">
      <c r="G4353" s="131"/>
      <c r="H4353" s="131"/>
      <c r="I4353" s="131"/>
      <c r="J4353" s="132"/>
      <c r="K4353" s="131"/>
    </row>
    <row r="4354" spans="7:11" x14ac:dyDescent="0.2">
      <c r="G4354" s="131"/>
      <c r="H4354" s="131"/>
      <c r="I4354" s="131"/>
      <c r="J4354" s="132"/>
      <c r="K4354" s="131"/>
    </row>
    <row r="4355" spans="7:11" x14ac:dyDescent="0.2">
      <c r="G4355" s="131"/>
      <c r="H4355" s="131"/>
      <c r="I4355" s="131"/>
      <c r="J4355" s="132"/>
      <c r="K4355" s="131"/>
    </row>
    <row r="4356" spans="7:11" x14ac:dyDescent="0.2">
      <c r="G4356" s="131"/>
      <c r="H4356" s="131"/>
      <c r="I4356" s="131"/>
      <c r="J4356" s="132"/>
      <c r="K4356" s="131"/>
    </row>
    <row r="4357" spans="7:11" x14ac:dyDescent="0.2">
      <c r="G4357" s="131"/>
      <c r="H4357" s="131"/>
      <c r="I4357" s="131"/>
      <c r="J4357" s="132"/>
      <c r="K4357" s="131"/>
    </row>
    <row r="4358" spans="7:11" x14ac:dyDescent="0.2">
      <c r="G4358" s="131"/>
      <c r="H4358" s="131"/>
      <c r="I4358" s="131"/>
      <c r="J4358" s="132"/>
      <c r="K4358" s="131"/>
    </row>
    <row r="4359" spans="7:11" x14ac:dyDescent="0.2">
      <c r="G4359" s="131"/>
      <c r="H4359" s="131"/>
      <c r="I4359" s="131"/>
      <c r="J4359" s="132"/>
      <c r="K4359" s="131"/>
    </row>
    <row r="4360" spans="7:11" x14ac:dyDescent="0.2">
      <c r="G4360" s="131"/>
      <c r="H4360" s="131"/>
      <c r="I4360" s="131"/>
      <c r="J4360" s="132"/>
      <c r="K4360" s="131"/>
    </row>
    <row r="4361" spans="7:11" x14ac:dyDescent="0.2">
      <c r="G4361" s="131"/>
      <c r="H4361" s="131"/>
      <c r="I4361" s="131"/>
      <c r="J4361" s="132"/>
      <c r="K4361" s="131"/>
    </row>
    <row r="4362" spans="7:11" x14ac:dyDescent="0.2">
      <c r="G4362" s="131"/>
      <c r="H4362" s="131"/>
      <c r="I4362" s="131"/>
      <c r="J4362" s="132"/>
      <c r="K4362" s="131"/>
    </row>
    <row r="4363" spans="7:11" x14ac:dyDescent="0.2">
      <c r="G4363" s="131"/>
      <c r="H4363" s="131"/>
      <c r="I4363" s="131"/>
      <c r="J4363" s="132"/>
      <c r="K4363" s="131"/>
    </row>
    <row r="4364" spans="7:11" x14ac:dyDescent="0.2">
      <c r="G4364" s="131"/>
      <c r="H4364" s="131"/>
      <c r="I4364" s="131"/>
      <c r="J4364" s="132"/>
      <c r="K4364" s="131"/>
    </row>
    <row r="4365" spans="7:11" x14ac:dyDescent="0.2">
      <c r="G4365" s="131"/>
      <c r="H4365" s="131"/>
      <c r="I4365" s="131"/>
      <c r="J4365" s="132"/>
      <c r="K4365" s="131"/>
    </row>
    <row r="4366" spans="7:11" x14ac:dyDescent="0.2">
      <c r="G4366" s="131"/>
      <c r="H4366" s="131"/>
      <c r="I4366" s="131"/>
      <c r="J4366" s="132"/>
      <c r="K4366" s="131"/>
    </row>
    <row r="4367" spans="7:11" x14ac:dyDescent="0.2">
      <c r="G4367" s="131"/>
      <c r="H4367" s="131"/>
      <c r="I4367" s="131"/>
      <c r="J4367" s="132"/>
      <c r="K4367" s="131"/>
    </row>
    <row r="4368" spans="7:11" x14ac:dyDescent="0.2">
      <c r="G4368" s="131"/>
      <c r="H4368" s="131"/>
      <c r="I4368" s="131"/>
      <c r="J4368" s="132"/>
      <c r="K4368" s="131"/>
    </row>
    <row r="4369" spans="7:11" x14ac:dyDescent="0.2">
      <c r="G4369" s="131"/>
      <c r="H4369" s="131"/>
      <c r="I4369" s="131"/>
      <c r="J4369" s="132"/>
      <c r="K4369" s="131"/>
    </row>
    <row r="4370" spans="7:11" x14ac:dyDescent="0.2">
      <c r="G4370" s="131"/>
      <c r="H4370" s="131"/>
      <c r="I4370" s="131"/>
      <c r="J4370" s="132"/>
      <c r="K4370" s="131"/>
    </row>
    <row r="4371" spans="7:11" x14ac:dyDescent="0.2">
      <c r="G4371" s="131"/>
      <c r="H4371" s="131"/>
      <c r="I4371" s="131"/>
      <c r="J4371" s="132"/>
      <c r="K4371" s="131"/>
    </row>
    <row r="4372" spans="7:11" x14ac:dyDescent="0.2">
      <c r="G4372" s="131"/>
      <c r="H4372" s="131"/>
      <c r="I4372" s="131"/>
      <c r="J4372" s="132"/>
      <c r="K4372" s="131"/>
    </row>
    <row r="4373" spans="7:11" x14ac:dyDescent="0.2">
      <c r="G4373" s="131"/>
      <c r="H4373" s="131"/>
      <c r="I4373" s="131"/>
      <c r="J4373" s="132"/>
      <c r="K4373" s="131"/>
    </row>
    <row r="4374" spans="7:11" x14ac:dyDescent="0.2">
      <c r="G4374" s="131"/>
      <c r="H4374" s="131"/>
      <c r="I4374" s="131"/>
      <c r="J4374" s="132"/>
      <c r="K4374" s="131"/>
    </row>
    <row r="4375" spans="7:11" x14ac:dyDescent="0.2">
      <c r="G4375" s="131"/>
      <c r="H4375" s="131"/>
      <c r="I4375" s="131"/>
      <c r="J4375" s="132"/>
      <c r="K4375" s="131"/>
    </row>
    <row r="4376" spans="7:11" x14ac:dyDescent="0.2">
      <c r="G4376" s="131"/>
      <c r="H4376" s="131"/>
      <c r="I4376" s="131"/>
      <c r="J4376" s="132"/>
      <c r="K4376" s="131"/>
    </row>
    <row r="4377" spans="7:11" x14ac:dyDescent="0.2">
      <c r="G4377" s="131"/>
      <c r="H4377" s="131"/>
      <c r="I4377" s="131"/>
      <c r="J4377" s="132"/>
      <c r="K4377" s="131"/>
    </row>
    <row r="4378" spans="7:11" x14ac:dyDescent="0.2">
      <c r="G4378" s="131"/>
      <c r="H4378" s="131"/>
      <c r="I4378" s="131"/>
      <c r="J4378" s="132"/>
      <c r="K4378" s="131"/>
    </row>
    <row r="4379" spans="7:11" x14ac:dyDescent="0.2">
      <c r="G4379" s="131"/>
      <c r="H4379" s="131"/>
      <c r="I4379" s="131"/>
      <c r="J4379" s="132"/>
      <c r="K4379" s="131"/>
    </row>
    <row r="4380" spans="7:11" x14ac:dyDescent="0.2">
      <c r="G4380" s="131"/>
      <c r="H4380" s="131"/>
      <c r="I4380" s="131"/>
      <c r="J4380" s="132"/>
      <c r="K4380" s="131"/>
    </row>
    <row r="4381" spans="7:11" x14ac:dyDescent="0.2">
      <c r="G4381" s="131"/>
      <c r="H4381" s="131"/>
      <c r="I4381" s="131"/>
      <c r="J4381" s="132"/>
      <c r="K4381" s="131"/>
    </row>
    <row r="4382" spans="7:11" x14ac:dyDescent="0.2">
      <c r="G4382" s="131"/>
      <c r="H4382" s="131"/>
      <c r="I4382" s="131"/>
      <c r="J4382" s="132"/>
      <c r="K4382" s="131"/>
    </row>
    <row r="4383" spans="7:11" x14ac:dyDescent="0.2">
      <c r="G4383" s="131"/>
      <c r="H4383" s="131"/>
      <c r="I4383" s="131"/>
      <c r="J4383" s="132"/>
      <c r="K4383" s="131"/>
    </row>
    <row r="4384" spans="7:11" x14ac:dyDescent="0.2">
      <c r="G4384" s="131"/>
      <c r="H4384" s="131"/>
      <c r="I4384" s="131"/>
      <c r="J4384" s="132"/>
      <c r="K4384" s="131"/>
    </row>
    <row r="4385" spans="7:11" x14ac:dyDescent="0.2">
      <c r="G4385" s="131"/>
      <c r="H4385" s="131"/>
      <c r="I4385" s="131"/>
      <c r="J4385" s="132"/>
      <c r="K4385" s="131"/>
    </row>
    <row r="4386" spans="7:11" x14ac:dyDescent="0.2">
      <c r="G4386" s="131"/>
      <c r="H4386" s="131"/>
      <c r="I4386" s="131"/>
      <c r="J4386" s="132"/>
      <c r="K4386" s="131"/>
    </row>
    <row r="4387" spans="7:11" x14ac:dyDescent="0.2">
      <c r="G4387" s="131"/>
      <c r="H4387" s="131"/>
      <c r="I4387" s="131"/>
      <c r="J4387" s="132"/>
      <c r="K4387" s="131"/>
    </row>
    <row r="4388" spans="7:11" x14ac:dyDescent="0.2">
      <c r="G4388" s="131"/>
      <c r="H4388" s="131"/>
      <c r="I4388" s="131"/>
      <c r="J4388" s="132"/>
      <c r="K4388" s="131"/>
    </row>
    <row r="4389" spans="7:11" x14ac:dyDescent="0.2">
      <c r="G4389" s="131"/>
      <c r="H4389" s="131"/>
      <c r="I4389" s="131"/>
      <c r="J4389" s="132"/>
      <c r="K4389" s="131"/>
    </row>
    <row r="4390" spans="7:11" x14ac:dyDescent="0.2">
      <c r="G4390" s="131"/>
      <c r="H4390" s="131"/>
      <c r="I4390" s="131"/>
      <c r="J4390" s="132"/>
      <c r="K4390" s="131"/>
    </row>
    <row r="4391" spans="7:11" x14ac:dyDescent="0.2">
      <c r="G4391" s="131"/>
      <c r="H4391" s="131"/>
      <c r="I4391" s="131"/>
      <c r="J4391" s="132"/>
      <c r="K4391" s="131"/>
    </row>
    <row r="4392" spans="7:11" x14ac:dyDescent="0.2">
      <c r="G4392" s="131"/>
      <c r="H4392" s="131"/>
      <c r="I4392" s="131"/>
      <c r="J4392" s="132"/>
      <c r="K4392" s="131"/>
    </row>
    <row r="4393" spans="7:11" x14ac:dyDescent="0.2">
      <c r="G4393" s="131"/>
      <c r="H4393" s="131"/>
      <c r="I4393" s="131"/>
      <c r="J4393" s="132"/>
      <c r="K4393" s="131"/>
    </row>
    <row r="4394" spans="7:11" x14ac:dyDescent="0.2">
      <c r="G4394" s="131"/>
      <c r="H4394" s="131"/>
      <c r="I4394" s="131"/>
      <c r="J4394" s="132"/>
      <c r="K4394" s="131"/>
    </row>
    <row r="4395" spans="7:11" x14ac:dyDescent="0.2">
      <c r="G4395" s="131"/>
      <c r="H4395" s="131"/>
      <c r="I4395" s="131"/>
      <c r="J4395" s="132"/>
      <c r="K4395" s="131"/>
    </row>
    <row r="4396" spans="7:11" x14ac:dyDescent="0.2">
      <c r="G4396" s="131"/>
      <c r="H4396" s="131"/>
      <c r="I4396" s="131"/>
      <c r="J4396" s="132"/>
      <c r="K4396" s="131"/>
    </row>
    <row r="4397" spans="7:11" x14ac:dyDescent="0.2">
      <c r="G4397" s="131"/>
      <c r="H4397" s="131"/>
      <c r="I4397" s="131"/>
      <c r="J4397" s="132"/>
      <c r="K4397" s="131"/>
    </row>
    <row r="4398" spans="7:11" x14ac:dyDescent="0.2">
      <c r="G4398" s="131"/>
      <c r="H4398" s="131"/>
      <c r="I4398" s="131"/>
      <c r="J4398" s="132"/>
      <c r="K4398" s="131"/>
    </row>
    <row r="4399" spans="7:11" x14ac:dyDescent="0.2">
      <c r="G4399" s="131"/>
      <c r="H4399" s="131"/>
      <c r="I4399" s="131"/>
      <c r="J4399" s="132"/>
      <c r="K4399" s="131"/>
    </row>
    <row r="4400" spans="7:11" x14ac:dyDescent="0.2">
      <c r="G4400" s="131"/>
      <c r="H4400" s="131"/>
      <c r="I4400" s="131"/>
      <c r="J4400" s="132"/>
      <c r="K4400" s="131"/>
    </row>
    <row r="4401" spans="7:11" x14ac:dyDescent="0.2">
      <c r="G4401" s="131"/>
      <c r="H4401" s="131"/>
      <c r="I4401" s="131"/>
      <c r="J4401" s="132"/>
      <c r="K4401" s="131"/>
    </row>
    <row r="4402" spans="7:11" x14ac:dyDescent="0.2">
      <c r="G4402" s="131"/>
      <c r="H4402" s="131"/>
      <c r="I4402" s="131"/>
      <c r="J4402" s="132"/>
      <c r="K4402" s="131"/>
    </row>
    <row r="4403" spans="7:11" x14ac:dyDescent="0.2">
      <c r="G4403" s="131"/>
      <c r="H4403" s="131"/>
      <c r="I4403" s="131"/>
      <c r="J4403" s="132"/>
      <c r="K4403" s="131"/>
    </row>
    <row r="4404" spans="7:11" x14ac:dyDescent="0.2">
      <c r="G4404" s="131"/>
      <c r="H4404" s="131"/>
      <c r="I4404" s="131"/>
      <c r="J4404" s="132"/>
      <c r="K4404" s="131"/>
    </row>
    <row r="4405" spans="7:11" x14ac:dyDescent="0.2">
      <c r="G4405" s="131"/>
      <c r="H4405" s="131"/>
      <c r="I4405" s="131"/>
      <c r="J4405" s="132"/>
      <c r="K4405" s="131"/>
    </row>
    <row r="4406" spans="7:11" x14ac:dyDescent="0.2">
      <c r="G4406" s="131"/>
      <c r="H4406" s="131"/>
      <c r="I4406" s="131"/>
      <c r="J4406" s="132"/>
      <c r="K4406" s="131"/>
    </row>
    <row r="4407" spans="7:11" x14ac:dyDescent="0.2">
      <c r="G4407" s="131"/>
      <c r="H4407" s="131"/>
      <c r="I4407" s="131"/>
      <c r="J4407" s="132"/>
      <c r="K4407" s="131"/>
    </row>
    <row r="4408" spans="7:11" x14ac:dyDescent="0.2">
      <c r="G4408" s="131"/>
      <c r="H4408" s="131"/>
      <c r="I4408" s="131"/>
      <c r="J4408" s="132"/>
      <c r="K4408" s="131"/>
    </row>
    <row r="4409" spans="7:11" x14ac:dyDescent="0.2">
      <c r="G4409" s="131"/>
      <c r="H4409" s="131"/>
      <c r="I4409" s="131"/>
      <c r="J4409" s="132"/>
      <c r="K4409" s="131"/>
    </row>
    <row r="4410" spans="7:11" x14ac:dyDescent="0.2">
      <c r="G4410" s="131"/>
      <c r="H4410" s="131"/>
      <c r="I4410" s="131"/>
      <c r="J4410" s="132"/>
      <c r="K4410" s="131"/>
    </row>
    <row r="4411" spans="7:11" x14ac:dyDescent="0.2">
      <c r="G4411" s="131"/>
      <c r="H4411" s="131"/>
      <c r="I4411" s="131"/>
      <c r="J4411" s="132"/>
      <c r="K4411" s="131"/>
    </row>
    <row r="4412" spans="7:11" x14ac:dyDescent="0.2">
      <c r="G4412" s="131"/>
      <c r="H4412" s="131"/>
      <c r="I4412" s="131"/>
      <c r="J4412" s="132"/>
      <c r="K4412" s="131"/>
    </row>
    <row r="4413" spans="7:11" x14ac:dyDescent="0.2">
      <c r="G4413" s="131"/>
      <c r="H4413" s="131"/>
      <c r="I4413" s="131"/>
      <c r="J4413" s="132"/>
      <c r="K4413" s="131"/>
    </row>
    <row r="4414" spans="7:11" x14ac:dyDescent="0.2">
      <c r="G4414" s="131"/>
      <c r="H4414" s="131"/>
      <c r="I4414" s="131"/>
      <c r="J4414" s="132"/>
      <c r="K4414" s="131"/>
    </row>
    <row r="4415" spans="7:11" x14ac:dyDescent="0.2">
      <c r="G4415" s="131"/>
      <c r="H4415" s="131"/>
      <c r="I4415" s="131"/>
      <c r="J4415" s="132"/>
      <c r="K4415" s="131"/>
    </row>
    <row r="4416" spans="7:11" x14ac:dyDescent="0.2">
      <c r="G4416" s="131"/>
      <c r="H4416" s="131"/>
      <c r="I4416" s="131"/>
      <c r="J4416" s="132"/>
      <c r="K4416" s="131"/>
    </row>
    <row r="4417" spans="7:11" x14ac:dyDescent="0.2">
      <c r="G4417" s="131"/>
      <c r="H4417" s="131"/>
      <c r="I4417" s="131"/>
      <c r="J4417" s="132"/>
      <c r="K4417" s="131"/>
    </row>
    <row r="4418" spans="7:11" x14ac:dyDescent="0.2">
      <c r="G4418" s="131"/>
      <c r="H4418" s="131"/>
      <c r="I4418" s="131"/>
      <c r="J4418" s="132"/>
      <c r="K4418" s="131"/>
    </row>
    <row r="4419" spans="7:11" x14ac:dyDescent="0.2">
      <c r="G4419" s="131"/>
      <c r="H4419" s="131"/>
      <c r="I4419" s="131"/>
      <c r="J4419" s="132"/>
      <c r="K4419" s="131"/>
    </row>
    <row r="4420" spans="7:11" x14ac:dyDescent="0.2">
      <c r="G4420" s="131"/>
      <c r="H4420" s="131"/>
      <c r="I4420" s="131"/>
      <c r="J4420" s="132"/>
      <c r="K4420" s="131"/>
    </row>
    <row r="4421" spans="7:11" x14ac:dyDescent="0.2">
      <c r="G4421" s="131"/>
      <c r="H4421" s="131"/>
      <c r="I4421" s="131"/>
      <c r="J4421" s="132"/>
      <c r="K4421" s="131"/>
    </row>
    <row r="4422" spans="7:11" x14ac:dyDescent="0.2">
      <c r="G4422" s="131"/>
      <c r="H4422" s="131"/>
      <c r="I4422" s="131"/>
      <c r="J4422" s="132"/>
      <c r="K4422" s="131"/>
    </row>
    <row r="4423" spans="7:11" x14ac:dyDescent="0.2">
      <c r="G4423" s="131"/>
      <c r="H4423" s="131"/>
      <c r="I4423" s="131"/>
      <c r="J4423" s="132"/>
      <c r="K4423" s="131"/>
    </row>
    <row r="4424" spans="7:11" x14ac:dyDescent="0.2">
      <c r="G4424" s="131"/>
      <c r="H4424" s="131"/>
      <c r="I4424" s="131"/>
      <c r="J4424" s="132"/>
      <c r="K4424" s="131"/>
    </row>
    <row r="4425" spans="7:11" x14ac:dyDescent="0.2">
      <c r="G4425" s="131"/>
      <c r="H4425" s="131"/>
      <c r="I4425" s="131"/>
      <c r="J4425" s="132"/>
      <c r="K4425" s="131"/>
    </row>
    <row r="4426" spans="7:11" x14ac:dyDescent="0.2">
      <c r="G4426" s="131"/>
      <c r="H4426" s="131"/>
      <c r="I4426" s="131"/>
      <c r="J4426" s="132"/>
      <c r="K4426" s="131"/>
    </row>
    <row r="4427" spans="7:11" x14ac:dyDescent="0.2">
      <c r="G4427" s="131"/>
      <c r="H4427" s="131"/>
      <c r="I4427" s="131"/>
      <c r="J4427" s="132"/>
      <c r="K4427" s="131"/>
    </row>
    <row r="4428" spans="7:11" x14ac:dyDescent="0.2">
      <c r="G4428" s="131"/>
      <c r="H4428" s="131"/>
      <c r="I4428" s="131"/>
      <c r="J4428" s="132"/>
      <c r="K4428" s="131"/>
    </row>
    <row r="4429" spans="7:11" x14ac:dyDescent="0.2">
      <c r="G4429" s="131"/>
      <c r="H4429" s="131"/>
      <c r="I4429" s="131"/>
      <c r="J4429" s="132"/>
      <c r="K4429" s="131"/>
    </row>
    <row r="4430" spans="7:11" x14ac:dyDescent="0.2">
      <c r="G4430" s="131"/>
      <c r="H4430" s="131"/>
      <c r="I4430" s="131"/>
      <c r="J4430" s="132"/>
      <c r="K4430" s="131"/>
    </row>
    <row r="4431" spans="7:11" x14ac:dyDescent="0.2">
      <c r="G4431" s="131"/>
      <c r="H4431" s="131"/>
      <c r="I4431" s="131"/>
      <c r="J4431" s="132"/>
      <c r="K4431" s="131"/>
    </row>
    <row r="4432" spans="7:11" x14ac:dyDescent="0.2">
      <c r="G4432" s="131"/>
      <c r="H4432" s="131"/>
      <c r="I4432" s="131"/>
      <c r="J4432" s="132"/>
      <c r="K4432" s="131"/>
    </row>
    <row r="4433" spans="7:11" x14ac:dyDescent="0.2">
      <c r="G4433" s="131"/>
      <c r="H4433" s="131"/>
      <c r="I4433" s="131"/>
      <c r="J4433" s="132"/>
      <c r="K4433" s="131"/>
    </row>
    <row r="4434" spans="7:11" x14ac:dyDescent="0.2">
      <c r="G4434" s="131"/>
      <c r="H4434" s="131"/>
      <c r="I4434" s="131"/>
      <c r="J4434" s="132"/>
      <c r="K4434" s="131"/>
    </row>
    <row r="4435" spans="7:11" x14ac:dyDescent="0.2">
      <c r="G4435" s="131"/>
      <c r="H4435" s="131"/>
      <c r="I4435" s="131"/>
      <c r="J4435" s="132"/>
      <c r="K4435" s="131"/>
    </row>
    <row r="4436" spans="7:11" x14ac:dyDescent="0.2">
      <c r="G4436" s="131"/>
      <c r="H4436" s="131"/>
      <c r="I4436" s="131"/>
      <c r="J4436" s="132"/>
      <c r="K4436" s="131"/>
    </row>
    <row r="4437" spans="7:11" x14ac:dyDescent="0.2">
      <c r="G4437" s="131"/>
      <c r="H4437" s="131"/>
      <c r="I4437" s="131"/>
      <c r="J4437" s="132"/>
      <c r="K4437" s="131"/>
    </row>
    <row r="4438" spans="7:11" x14ac:dyDescent="0.2">
      <c r="G4438" s="131"/>
      <c r="H4438" s="131"/>
      <c r="I4438" s="131"/>
      <c r="J4438" s="132"/>
      <c r="K4438" s="131"/>
    </row>
    <row r="4439" spans="7:11" x14ac:dyDescent="0.2">
      <c r="G4439" s="131"/>
      <c r="H4439" s="131"/>
      <c r="I4439" s="131"/>
      <c r="J4439" s="132"/>
      <c r="K4439" s="131"/>
    </row>
    <row r="4440" spans="7:11" x14ac:dyDescent="0.2">
      <c r="G4440" s="131"/>
      <c r="H4440" s="131"/>
      <c r="I4440" s="131"/>
      <c r="J4440" s="132"/>
      <c r="K4440" s="131"/>
    </row>
    <row r="4441" spans="7:11" x14ac:dyDescent="0.2">
      <c r="G4441" s="131"/>
      <c r="H4441" s="131"/>
      <c r="I4441" s="131"/>
      <c r="J4441" s="132"/>
      <c r="K4441" s="131"/>
    </row>
    <row r="4442" spans="7:11" x14ac:dyDescent="0.2">
      <c r="G4442" s="131"/>
      <c r="H4442" s="131"/>
      <c r="I4442" s="131"/>
      <c r="J4442" s="132"/>
      <c r="K4442" s="131"/>
    </row>
    <row r="4443" spans="7:11" x14ac:dyDescent="0.2">
      <c r="G4443" s="131"/>
      <c r="H4443" s="131"/>
      <c r="I4443" s="131"/>
      <c r="J4443" s="132"/>
      <c r="K4443" s="131"/>
    </row>
    <row r="4444" spans="7:11" x14ac:dyDescent="0.2">
      <c r="G4444" s="131"/>
      <c r="H4444" s="131"/>
      <c r="I4444" s="131"/>
      <c r="J4444" s="132"/>
      <c r="K4444" s="131"/>
    </row>
    <row r="4445" spans="7:11" x14ac:dyDescent="0.2">
      <c r="G4445" s="131"/>
      <c r="H4445" s="131"/>
      <c r="I4445" s="131"/>
      <c r="J4445" s="132"/>
      <c r="K4445" s="131"/>
    </row>
    <row r="4446" spans="7:11" x14ac:dyDescent="0.2">
      <c r="G4446" s="131"/>
      <c r="H4446" s="131"/>
      <c r="I4446" s="131"/>
      <c r="J4446" s="132"/>
      <c r="K4446" s="131"/>
    </row>
    <row r="4447" spans="7:11" x14ac:dyDescent="0.2">
      <c r="G4447" s="131"/>
      <c r="H4447" s="131"/>
      <c r="I4447" s="131"/>
      <c r="J4447" s="132"/>
      <c r="K4447" s="131"/>
    </row>
    <row r="4448" spans="7:11" x14ac:dyDescent="0.2">
      <c r="G4448" s="131"/>
      <c r="H4448" s="131"/>
      <c r="I4448" s="131"/>
      <c r="J4448" s="132"/>
      <c r="K4448" s="131"/>
    </row>
    <row r="4449" spans="7:11" x14ac:dyDescent="0.2">
      <c r="G4449" s="131"/>
      <c r="H4449" s="131"/>
      <c r="I4449" s="131"/>
      <c r="J4449" s="132"/>
      <c r="K4449" s="131"/>
    </row>
    <row r="4450" spans="7:11" x14ac:dyDescent="0.2">
      <c r="G4450" s="131"/>
      <c r="H4450" s="131"/>
      <c r="I4450" s="131"/>
      <c r="J4450" s="132"/>
      <c r="K4450" s="131"/>
    </row>
    <row r="4451" spans="7:11" x14ac:dyDescent="0.2">
      <c r="G4451" s="131"/>
      <c r="H4451" s="131"/>
      <c r="I4451" s="131"/>
      <c r="J4451" s="132"/>
      <c r="K4451" s="131"/>
    </row>
    <row r="4452" spans="7:11" x14ac:dyDescent="0.2">
      <c r="G4452" s="131"/>
      <c r="H4452" s="131"/>
      <c r="I4452" s="131"/>
      <c r="J4452" s="132"/>
      <c r="K4452" s="131"/>
    </row>
    <row r="4453" spans="7:11" x14ac:dyDescent="0.2">
      <c r="G4453" s="131"/>
      <c r="H4453" s="131"/>
      <c r="I4453" s="131"/>
      <c r="J4453" s="132"/>
      <c r="K4453" s="131"/>
    </row>
    <row r="4454" spans="7:11" x14ac:dyDescent="0.2">
      <c r="G4454" s="131"/>
      <c r="H4454" s="131"/>
      <c r="I4454" s="131"/>
      <c r="J4454" s="132"/>
      <c r="K4454" s="131"/>
    </row>
    <row r="4455" spans="7:11" x14ac:dyDescent="0.2">
      <c r="G4455" s="131"/>
      <c r="H4455" s="131"/>
      <c r="I4455" s="131"/>
      <c r="J4455" s="132"/>
      <c r="K4455" s="131"/>
    </row>
    <row r="4456" spans="7:11" x14ac:dyDescent="0.2">
      <c r="G4456" s="131"/>
      <c r="H4456" s="131"/>
      <c r="I4456" s="131"/>
      <c r="J4456" s="132"/>
      <c r="K4456" s="131"/>
    </row>
    <row r="4457" spans="7:11" x14ac:dyDescent="0.2">
      <c r="G4457" s="131"/>
      <c r="H4457" s="131"/>
      <c r="I4457" s="131"/>
      <c r="J4457" s="132"/>
      <c r="K4457" s="131"/>
    </row>
    <row r="4458" spans="7:11" x14ac:dyDescent="0.2">
      <c r="G4458" s="131"/>
      <c r="H4458" s="131"/>
      <c r="I4458" s="131"/>
      <c r="J4458" s="132"/>
      <c r="K4458" s="131"/>
    </row>
    <row r="4459" spans="7:11" x14ac:dyDescent="0.2">
      <c r="G4459" s="131"/>
      <c r="H4459" s="131"/>
      <c r="I4459" s="131"/>
      <c r="J4459" s="132"/>
      <c r="K4459" s="131"/>
    </row>
    <row r="4460" spans="7:11" x14ac:dyDescent="0.2">
      <c r="G4460" s="131"/>
      <c r="H4460" s="131"/>
      <c r="I4460" s="131"/>
      <c r="J4460" s="132"/>
      <c r="K4460" s="131"/>
    </row>
    <row r="4461" spans="7:11" x14ac:dyDescent="0.2">
      <c r="G4461" s="131"/>
      <c r="H4461" s="131"/>
      <c r="I4461" s="131"/>
      <c r="J4461" s="132"/>
      <c r="K4461" s="131"/>
    </row>
    <row r="4462" spans="7:11" x14ac:dyDescent="0.2">
      <c r="G4462" s="131"/>
      <c r="H4462" s="131"/>
      <c r="I4462" s="131"/>
      <c r="J4462" s="132"/>
      <c r="K4462" s="131"/>
    </row>
    <row r="4463" spans="7:11" x14ac:dyDescent="0.2">
      <c r="G4463" s="131"/>
      <c r="H4463" s="131"/>
      <c r="I4463" s="131"/>
      <c r="J4463" s="132"/>
      <c r="K4463" s="131"/>
    </row>
    <row r="4464" spans="7:11" x14ac:dyDescent="0.2">
      <c r="G4464" s="131"/>
      <c r="H4464" s="131"/>
      <c r="I4464" s="131"/>
      <c r="J4464" s="132"/>
      <c r="K4464" s="131"/>
    </row>
    <row r="4465" spans="7:11" x14ac:dyDescent="0.2">
      <c r="G4465" s="131"/>
      <c r="H4465" s="131"/>
      <c r="I4465" s="131"/>
      <c r="J4465" s="132"/>
      <c r="K4465" s="131"/>
    </row>
    <row r="4466" spans="7:11" x14ac:dyDescent="0.2">
      <c r="G4466" s="131"/>
      <c r="H4466" s="131"/>
      <c r="I4466" s="131"/>
      <c r="J4466" s="132"/>
      <c r="K4466" s="131"/>
    </row>
    <row r="4467" spans="7:11" x14ac:dyDescent="0.2">
      <c r="G4467" s="131"/>
      <c r="H4467" s="131"/>
      <c r="I4467" s="131"/>
      <c r="J4467" s="132"/>
      <c r="K4467" s="131"/>
    </row>
    <row r="4468" spans="7:11" x14ac:dyDescent="0.2">
      <c r="G4468" s="131"/>
      <c r="H4468" s="131"/>
      <c r="I4468" s="131"/>
      <c r="J4468" s="132"/>
      <c r="K4468" s="131"/>
    </row>
    <row r="4469" spans="7:11" x14ac:dyDescent="0.2">
      <c r="G4469" s="131"/>
      <c r="H4469" s="131"/>
      <c r="I4469" s="131"/>
      <c r="J4469" s="132"/>
      <c r="K4469" s="131"/>
    </row>
    <row r="4470" spans="7:11" x14ac:dyDescent="0.2">
      <c r="G4470" s="131"/>
      <c r="H4470" s="131"/>
      <c r="I4470" s="131"/>
      <c r="J4470" s="132"/>
      <c r="K4470" s="131"/>
    </row>
    <row r="4471" spans="7:11" x14ac:dyDescent="0.2">
      <c r="G4471" s="131"/>
      <c r="H4471" s="131"/>
      <c r="I4471" s="131"/>
      <c r="J4471" s="132"/>
      <c r="K4471" s="131"/>
    </row>
    <row r="4472" spans="7:11" x14ac:dyDescent="0.2">
      <c r="G4472" s="131"/>
      <c r="H4472" s="131"/>
      <c r="I4472" s="131"/>
      <c r="J4472" s="132"/>
      <c r="K4472" s="131"/>
    </row>
    <row r="4473" spans="7:11" x14ac:dyDescent="0.2">
      <c r="G4473" s="131"/>
      <c r="H4473" s="131"/>
      <c r="I4473" s="131"/>
      <c r="J4473" s="132"/>
      <c r="K4473" s="131"/>
    </row>
    <row r="4474" spans="7:11" x14ac:dyDescent="0.2">
      <c r="G4474" s="131"/>
      <c r="H4474" s="131"/>
      <c r="I4474" s="131"/>
      <c r="J4474" s="132"/>
      <c r="K4474" s="131"/>
    </row>
    <row r="4475" spans="7:11" x14ac:dyDescent="0.2">
      <c r="G4475" s="131"/>
      <c r="H4475" s="131"/>
      <c r="I4475" s="131"/>
      <c r="J4475" s="132"/>
      <c r="K4475" s="131"/>
    </row>
    <row r="4476" spans="7:11" x14ac:dyDescent="0.2">
      <c r="G4476" s="131"/>
      <c r="H4476" s="131"/>
      <c r="I4476" s="131"/>
      <c r="J4476" s="132"/>
      <c r="K4476" s="131"/>
    </row>
    <row r="4477" spans="7:11" x14ac:dyDescent="0.2">
      <c r="G4477" s="131"/>
      <c r="H4477" s="131"/>
      <c r="I4477" s="131"/>
      <c r="J4477" s="132"/>
      <c r="K4477" s="131"/>
    </row>
    <row r="4478" spans="7:11" x14ac:dyDescent="0.2">
      <c r="G4478" s="131"/>
      <c r="H4478" s="131"/>
      <c r="I4478" s="131"/>
      <c r="J4478" s="132"/>
      <c r="K4478" s="131"/>
    </row>
    <row r="4479" spans="7:11" x14ac:dyDescent="0.2">
      <c r="G4479" s="131"/>
      <c r="H4479" s="131"/>
      <c r="I4479" s="131"/>
      <c r="J4479" s="132"/>
      <c r="K4479" s="131"/>
    </row>
    <row r="4480" spans="7:11" x14ac:dyDescent="0.2">
      <c r="G4480" s="131"/>
      <c r="H4480" s="131"/>
      <c r="I4480" s="131"/>
      <c r="J4480" s="132"/>
      <c r="K4480" s="131"/>
    </row>
    <row r="4481" spans="7:11" x14ac:dyDescent="0.2">
      <c r="G4481" s="131"/>
      <c r="H4481" s="131"/>
      <c r="I4481" s="131"/>
      <c r="J4481" s="132"/>
      <c r="K4481" s="131"/>
    </row>
    <row r="4482" spans="7:11" x14ac:dyDescent="0.2">
      <c r="G4482" s="131"/>
      <c r="H4482" s="131"/>
      <c r="I4482" s="131"/>
      <c r="J4482" s="132"/>
      <c r="K4482" s="131"/>
    </row>
    <row r="4483" spans="7:11" x14ac:dyDescent="0.2">
      <c r="G4483" s="131"/>
      <c r="H4483" s="131"/>
      <c r="I4483" s="131"/>
      <c r="J4483" s="132"/>
      <c r="K4483" s="131"/>
    </row>
    <row r="4484" spans="7:11" x14ac:dyDescent="0.2">
      <c r="G4484" s="131"/>
      <c r="H4484" s="131"/>
      <c r="I4484" s="131"/>
      <c r="J4484" s="132"/>
      <c r="K4484" s="131"/>
    </row>
    <row r="4485" spans="7:11" x14ac:dyDescent="0.2">
      <c r="G4485" s="131"/>
      <c r="H4485" s="131"/>
      <c r="I4485" s="131"/>
      <c r="J4485" s="132"/>
      <c r="K4485" s="131"/>
    </row>
    <row r="4486" spans="7:11" x14ac:dyDescent="0.2">
      <c r="G4486" s="131"/>
      <c r="H4486" s="131"/>
      <c r="I4486" s="131"/>
      <c r="J4486" s="132"/>
      <c r="K4486" s="131"/>
    </row>
    <row r="4487" spans="7:11" x14ac:dyDescent="0.2">
      <c r="G4487" s="131"/>
      <c r="H4487" s="131"/>
      <c r="I4487" s="131"/>
      <c r="J4487" s="132"/>
      <c r="K4487" s="131"/>
    </row>
    <row r="4488" spans="7:11" x14ac:dyDescent="0.2">
      <c r="G4488" s="131"/>
      <c r="H4488" s="131"/>
      <c r="I4488" s="131"/>
      <c r="J4488" s="132"/>
      <c r="K4488" s="131"/>
    </row>
    <row r="4489" spans="7:11" x14ac:dyDescent="0.2">
      <c r="G4489" s="131"/>
      <c r="H4489" s="131"/>
      <c r="I4489" s="131"/>
      <c r="J4489" s="132"/>
      <c r="K4489" s="131"/>
    </row>
    <row r="4490" spans="7:11" x14ac:dyDescent="0.2">
      <c r="G4490" s="131"/>
      <c r="H4490" s="131"/>
      <c r="I4490" s="131"/>
      <c r="J4490" s="132"/>
      <c r="K4490" s="131"/>
    </row>
    <row r="4491" spans="7:11" x14ac:dyDescent="0.2">
      <c r="G4491" s="131"/>
      <c r="H4491" s="131"/>
      <c r="I4491" s="131"/>
      <c r="J4491" s="132"/>
      <c r="K4491" s="131"/>
    </row>
    <row r="4492" spans="7:11" x14ac:dyDescent="0.2">
      <c r="G4492" s="131"/>
      <c r="H4492" s="131"/>
      <c r="I4492" s="131"/>
      <c r="J4492" s="132"/>
      <c r="K4492" s="131"/>
    </row>
    <row r="4493" spans="7:11" x14ac:dyDescent="0.2">
      <c r="G4493" s="131"/>
      <c r="H4493" s="131"/>
      <c r="I4493" s="131"/>
      <c r="J4493" s="132"/>
      <c r="K4493" s="131"/>
    </row>
    <row r="4494" spans="7:11" x14ac:dyDescent="0.2">
      <c r="G4494" s="131"/>
      <c r="H4494" s="131"/>
      <c r="I4494" s="131"/>
      <c r="J4494" s="132"/>
      <c r="K4494" s="131"/>
    </row>
    <row r="4495" spans="7:11" x14ac:dyDescent="0.2">
      <c r="G4495" s="131"/>
      <c r="H4495" s="131"/>
      <c r="I4495" s="131"/>
      <c r="J4495" s="132"/>
      <c r="K4495" s="131"/>
    </row>
    <row r="4496" spans="7:11" x14ac:dyDescent="0.2">
      <c r="G4496" s="131"/>
      <c r="H4496" s="131"/>
      <c r="I4496" s="131"/>
      <c r="J4496" s="132"/>
      <c r="K4496" s="131"/>
    </row>
    <row r="4497" spans="7:11" x14ac:dyDescent="0.2">
      <c r="G4497" s="131"/>
      <c r="H4497" s="131"/>
      <c r="I4497" s="131"/>
      <c r="J4497" s="132"/>
      <c r="K4497" s="131"/>
    </row>
    <row r="4498" spans="7:11" x14ac:dyDescent="0.2">
      <c r="G4498" s="131"/>
      <c r="H4498" s="131"/>
      <c r="I4498" s="131"/>
      <c r="J4498" s="132"/>
      <c r="K4498" s="131"/>
    </row>
    <row r="4499" spans="7:11" x14ac:dyDescent="0.2">
      <c r="G4499" s="131"/>
      <c r="H4499" s="131"/>
      <c r="I4499" s="131"/>
      <c r="J4499" s="132"/>
      <c r="K4499" s="131"/>
    </row>
    <row r="4500" spans="7:11" x14ac:dyDescent="0.2">
      <c r="G4500" s="131"/>
      <c r="H4500" s="131"/>
      <c r="I4500" s="131"/>
      <c r="J4500" s="132"/>
      <c r="K4500" s="131"/>
    </row>
    <row r="4501" spans="7:11" x14ac:dyDescent="0.2">
      <c r="G4501" s="131"/>
      <c r="H4501" s="131"/>
      <c r="I4501" s="131"/>
      <c r="J4501" s="132"/>
      <c r="K4501" s="131"/>
    </row>
    <row r="4502" spans="7:11" x14ac:dyDescent="0.2">
      <c r="G4502" s="131"/>
      <c r="H4502" s="131"/>
      <c r="I4502" s="131"/>
      <c r="J4502" s="132"/>
      <c r="K4502" s="131"/>
    </row>
    <row r="4503" spans="7:11" x14ac:dyDescent="0.2">
      <c r="G4503" s="131"/>
      <c r="H4503" s="131"/>
      <c r="I4503" s="131"/>
      <c r="J4503" s="132"/>
      <c r="K4503" s="131"/>
    </row>
    <row r="4504" spans="7:11" x14ac:dyDescent="0.2">
      <c r="G4504" s="131"/>
      <c r="H4504" s="131"/>
      <c r="I4504" s="131"/>
      <c r="J4504" s="132"/>
      <c r="K4504" s="131"/>
    </row>
    <row r="4505" spans="7:11" x14ac:dyDescent="0.2">
      <c r="G4505" s="131"/>
      <c r="H4505" s="131"/>
      <c r="I4505" s="131"/>
      <c r="J4505" s="132"/>
      <c r="K4505" s="131"/>
    </row>
    <row r="4506" spans="7:11" x14ac:dyDescent="0.2">
      <c r="G4506" s="131"/>
      <c r="H4506" s="131"/>
      <c r="I4506" s="131"/>
      <c r="J4506" s="132"/>
      <c r="K4506" s="131"/>
    </row>
    <row r="4507" spans="7:11" x14ac:dyDescent="0.2">
      <c r="G4507" s="131"/>
      <c r="H4507" s="131"/>
      <c r="I4507" s="131"/>
      <c r="J4507" s="132"/>
      <c r="K4507" s="131"/>
    </row>
    <row r="4508" spans="7:11" x14ac:dyDescent="0.2">
      <c r="G4508" s="131"/>
      <c r="H4508" s="131"/>
      <c r="I4508" s="131"/>
      <c r="J4508" s="132"/>
      <c r="K4508" s="131"/>
    </row>
    <row r="4509" spans="7:11" x14ac:dyDescent="0.2">
      <c r="G4509" s="131"/>
      <c r="H4509" s="131"/>
      <c r="I4509" s="131"/>
      <c r="J4509" s="132"/>
      <c r="K4509" s="131"/>
    </row>
    <row r="4510" spans="7:11" x14ac:dyDescent="0.2">
      <c r="G4510" s="131"/>
      <c r="H4510" s="131"/>
      <c r="I4510" s="131"/>
      <c r="J4510" s="132"/>
      <c r="K4510" s="131"/>
    </row>
    <row r="4511" spans="7:11" x14ac:dyDescent="0.2">
      <c r="G4511" s="131"/>
      <c r="H4511" s="131"/>
      <c r="I4511" s="131"/>
      <c r="J4511" s="132"/>
      <c r="K4511" s="131"/>
    </row>
    <row r="4512" spans="7:11" x14ac:dyDescent="0.2">
      <c r="G4512" s="131"/>
      <c r="H4512" s="131"/>
      <c r="I4512" s="131"/>
      <c r="J4512" s="132"/>
      <c r="K4512" s="131"/>
    </row>
    <row r="4513" spans="7:11" x14ac:dyDescent="0.2">
      <c r="G4513" s="131"/>
      <c r="H4513" s="131"/>
      <c r="I4513" s="131"/>
      <c r="J4513" s="132"/>
      <c r="K4513" s="131"/>
    </row>
    <row r="4514" spans="7:11" x14ac:dyDescent="0.2">
      <c r="G4514" s="131"/>
      <c r="H4514" s="131"/>
      <c r="I4514" s="131"/>
      <c r="J4514" s="132"/>
      <c r="K4514" s="131"/>
    </row>
    <row r="4515" spans="7:11" x14ac:dyDescent="0.2">
      <c r="G4515" s="131"/>
      <c r="H4515" s="131"/>
      <c r="I4515" s="131"/>
      <c r="J4515" s="132"/>
      <c r="K4515" s="131"/>
    </row>
    <row r="4516" spans="7:11" x14ac:dyDescent="0.2">
      <c r="G4516" s="131"/>
      <c r="H4516" s="131"/>
      <c r="I4516" s="131"/>
      <c r="J4516" s="132"/>
      <c r="K4516" s="131"/>
    </row>
    <row r="4517" spans="7:11" x14ac:dyDescent="0.2">
      <c r="G4517" s="131"/>
      <c r="H4517" s="131"/>
      <c r="I4517" s="131"/>
      <c r="J4517" s="132"/>
      <c r="K4517" s="131"/>
    </row>
    <row r="4518" spans="7:11" x14ac:dyDescent="0.2">
      <c r="G4518" s="131"/>
      <c r="H4518" s="131"/>
      <c r="I4518" s="131"/>
      <c r="J4518" s="132"/>
      <c r="K4518" s="131"/>
    </row>
    <row r="4519" spans="7:11" x14ac:dyDescent="0.2">
      <c r="G4519" s="131"/>
      <c r="H4519" s="131"/>
      <c r="I4519" s="131"/>
      <c r="J4519" s="132"/>
      <c r="K4519" s="131"/>
    </row>
    <row r="4520" spans="7:11" x14ac:dyDescent="0.2">
      <c r="G4520" s="131"/>
      <c r="H4520" s="131"/>
      <c r="I4520" s="131"/>
      <c r="J4520" s="132"/>
      <c r="K4520" s="131"/>
    </row>
    <row r="4521" spans="7:11" x14ac:dyDescent="0.2">
      <c r="G4521" s="131"/>
      <c r="H4521" s="131"/>
      <c r="I4521" s="131"/>
      <c r="J4521" s="132"/>
      <c r="K4521" s="131"/>
    </row>
    <row r="4522" spans="7:11" x14ac:dyDescent="0.2">
      <c r="G4522" s="131"/>
      <c r="H4522" s="131"/>
      <c r="I4522" s="131"/>
      <c r="J4522" s="132"/>
      <c r="K4522" s="131"/>
    </row>
    <row r="4523" spans="7:11" x14ac:dyDescent="0.2">
      <c r="G4523" s="131"/>
      <c r="H4523" s="131"/>
      <c r="I4523" s="131"/>
      <c r="J4523" s="132"/>
      <c r="K4523" s="131"/>
    </row>
    <row r="4524" spans="7:11" x14ac:dyDescent="0.2">
      <c r="G4524" s="131"/>
      <c r="H4524" s="131"/>
      <c r="I4524" s="131"/>
      <c r="J4524" s="132"/>
      <c r="K4524" s="131"/>
    </row>
    <row r="4525" spans="7:11" x14ac:dyDescent="0.2">
      <c r="G4525" s="131"/>
      <c r="H4525" s="131"/>
      <c r="I4525" s="131"/>
      <c r="J4525" s="132"/>
      <c r="K4525" s="131"/>
    </row>
    <row r="4526" spans="7:11" x14ac:dyDescent="0.2">
      <c r="G4526" s="131"/>
      <c r="H4526" s="131"/>
      <c r="I4526" s="131"/>
      <c r="J4526" s="132"/>
      <c r="K4526" s="131"/>
    </row>
    <row r="4527" spans="7:11" x14ac:dyDescent="0.2">
      <c r="G4527" s="131"/>
      <c r="H4527" s="131"/>
      <c r="I4527" s="131"/>
      <c r="J4527" s="132"/>
      <c r="K4527" s="131"/>
    </row>
    <row r="4528" spans="7:11" x14ac:dyDescent="0.2">
      <c r="G4528" s="131"/>
      <c r="H4528" s="131"/>
      <c r="I4528" s="131"/>
      <c r="J4528" s="132"/>
      <c r="K4528" s="131"/>
    </row>
    <row r="4529" spans="7:11" x14ac:dyDescent="0.2">
      <c r="G4529" s="131"/>
      <c r="H4529" s="131"/>
      <c r="I4529" s="131"/>
      <c r="J4529" s="132"/>
      <c r="K4529" s="131"/>
    </row>
    <row r="4530" spans="7:11" x14ac:dyDescent="0.2">
      <c r="G4530" s="131"/>
      <c r="H4530" s="131"/>
      <c r="I4530" s="131"/>
      <c r="J4530" s="132"/>
      <c r="K4530" s="131"/>
    </row>
    <row r="4531" spans="7:11" x14ac:dyDescent="0.2">
      <c r="G4531" s="131"/>
      <c r="H4531" s="131"/>
      <c r="I4531" s="131"/>
      <c r="J4531" s="132"/>
      <c r="K4531" s="131"/>
    </row>
    <row r="4532" spans="7:11" x14ac:dyDescent="0.2">
      <c r="G4532" s="131"/>
      <c r="H4532" s="131"/>
      <c r="I4532" s="131"/>
      <c r="J4532" s="132"/>
      <c r="K4532" s="131"/>
    </row>
    <row r="4533" spans="7:11" x14ac:dyDescent="0.2">
      <c r="G4533" s="131"/>
      <c r="H4533" s="131"/>
      <c r="I4533" s="131"/>
      <c r="J4533" s="132"/>
      <c r="K4533" s="131"/>
    </row>
    <row r="4534" spans="7:11" x14ac:dyDescent="0.2">
      <c r="G4534" s="131"/>
      <c r="H4534" s="131"/>
      <c r="I4534" s="131"/>
      <c r="J4534" s="132"/>
      <c r="K4534" s="131"/>
    </row>
    <row r="4535" spans="7:11" x14ac:dyDescent="0.2">
      <c r="G4535" s="131"/>
      <c r="H4535" s="131"/>
      <c r="I4535" s="131"/>
      <c r="J4535" s="132"/>
      <c r="K4535" s="131"/>
    </row>
    <row r="4536" spans="7:11" x14ac:dyDescent="0.2">
      <c r="G4536" s="131"/>
      <c r="H4536" s="131"/>
      <c r="I4536" s="131"/>
      <c r="J4536" s="132"/>
      <c r="K4536" s="131"/>
    </row>
    <row r="4537" spans="7:11" x14ac:dyDescent="0.2">
      <c r="G4537" s="131"/>
      <c r="H4537" s="131"/>
      <c r="I4537" s="131"/>
      <c r="J4537" s="132"/>
      <c r="K4537" s="131"/>
    </row>
    <row r="4538" spans="7:11" x14ac:dyDescent="0.2">
      <c r="G4538" s="131"/>
      <c r="H4538" s="131"/>
      <c r="I4538" s="131"/>
      <c r="J4538" s="132"/>
      <c r="K4538" s="131"/>
    </row>
    <row r="4539" spans="7:11" x14ac:dyDescent="0.2">
      <c r="G4539" s="131"/>
      <c r="H4539" s="131"/>
      <c r="I4539" s="131"/>
      <c r="J4539" s="132"/>
      <c r="K4539" s="131"/>
    </row>
    <row r="4540" spans="7:11" x14ac:dyDescent="0.2">
      <c r="G4540" s="131"/>
      <c r="H4540" s="131"/>
      <c r="I4540" s="131"/>
      <c r="J4540" s="132"/>
      <c r="K4540" s="131"/>
    </row>
    <row r="4541" spans="7:11" x14ac:dyDescent="0.2">
      <c r="G4541" s="131"/>
      <c r="H4541" s="131"/>
      <c r="I4541" s="131"/>
      <c r="J4541" s="132"/>
      <c r="K4541" s="131"/>
    </row>
    <row r="4542" spans="7:11" x14ac:dyDescent="0.2">
      <c r="G4542" s="131"/>
      <c r="H4542" s="131"/>
      <c r="I4542" s="131"/>
      <c r="J4542" s="132"/>
      <c r="K4542" s="131"/>
    </row>
    <row r="4543" spans="7:11" x14ac:dyDescent="0.2">
      <c r="G4543" s="131"/>
      <c r="H4543" s="131"/>
      <c r="I4543" s="131"/>
      <c r="J4543" s="132"/>
      <c r="K4543" s="131"/>
    </row>
    <row r="4544" spans="7:11" x14ac:dyDescent="0.2">
      <c r="G4544" s="131"/>
      <c r="H4544" s="131"/>
      <c r="I4544" s="131"/>
      <c r="J4544" s="132"/>
      <c r="K4544" s="131"/>
    </row>
    <row r="4545" spans="7:11" x14ac:dyDescent="0.2">
      <c r="G4545" s="131"/>
      <c r="H4545" s="131"/>
      <c r="I4545" s="131"/>
      <c r="J4545" s="132"/>
      <c r="K4545" s="131"/>
    </row>
    <row r="4546" spans="7:11" x14ac:dyDescent="0.2">
      <c r="G4546" s="131"/>
      <c r="H4546" s="131"/>
      <c r="I4546" s="131"/>
      <c r="J4546" s="132"/>
      <c r="K4546" s="131"/>
    </row>
    <row r="4547" spans="7:11" x14ac:dyDescent="0.2">
      <c r="G4547" s="131"/>
      <c r="H4547" s="131"/>
      <c r="I4547" s="131"/>
      <c r="J4547" s="132"/>
      <c r="K4547" s="131"/>
    </row>
    <row r="4548" spans="7:11" x14ac:dyDescent="0.2">
      <c r="G4548" s="131"/>
      <c r="H4548" s="131"/>
      <c r="I4548" s="131"/>
      <c r="J4548" s="132"/>
      <c r="K4548" s="131"/>
    </row>
    <row r="4549" spans="7:11" x14ac:dyDescent="0.2">
      <c r="G4549" s="131"/>
      <c r="H4549" s="131"/>
      <c r="I4549" s="131"/>
      <c r="J4549" s="132"/>
      <c r="K4549" s="131"/>
    </row>
    <row r="4550" spans="7:11" x14ac:dyDescent="0.2">
      <c r="G4550" s="131"/>
      <c r="H4550" s="131"/>
      <c r="I4550" s="131"/>
      <c r="J4550" s="132"/>
      <c r="K4550" s="131"/>
    </row>
    <row r="4551" spans="7:11" x14ac:dyDescent="0.2">
      <c r="G4551" s="131"/>
      <c r="H4551" s="131"/>
      <c r="I4551" s="131"/>
      <c r="J4551" s="132"/>
      <c r="K4551" s="131"/>
    </row>
    <row r="4552" spans="7:11" x14ac:dyDescent="0.2">
      <c r="G4552" s="131"/>
      <c r="H4552" s="131"/>
      <c r="I4552" s="131"/>
      <c r="J4552" s="132"/>
      <c r="K4552" s="131"/>
    </row>
    <row r="4553" spans="7:11" x14ac:dyDescent="0.2">
      <c r="G4553" s="131"/>
      <c r="H4553" s="131"/>
      <c r="I4553" s="131"/>
      <c r="J4553" s="132"/>
      <c r="K4553" s="131"/>
    </row>
    <row r="4554" spans="7:11" x14ac:dyDescent="0.2">
      <c r="G4554" s="131"/>
      <c r="H4554" s="131"/>
      <c r="I4554" s="131"/>
      <c r="J4554" s="132"/>
      <c r="K4554" s="131"/>
    </row>
    <row r="4555" spans="7:11" x14ac:dyDescent="0.2">
      <c r="G4555" s="131"/>
      <c r="H4555" s="131"/>
      <c r="I4555" s="131"/>
      <c r="J4555" s="132"/>
      <c r="K4555" s="131"/>
    </row>
    <row r="4556" spans="7:11" x14ac:dyDescent="0.2">
      <c r="G4556" s="131"/>
      <c r="H4556" s="131"/>
      <c r="I4556" s="131"/>
      <c r="J4556" s="132"/>
      <c r="K4556" s="131"/>
    </row>
    <row r="4557" spans="7:11" x14ac:dyDescent="0.2">
      <c r="G4557" s="131"/>
      <c r="H4557" s="131"/>
      <c r="I4557" s="131"/>
      <c r="J4557" s="132"/>
      <c r="K4557" s="131"/>
    </row>
    <row r="4558" spans="7:11" x14ac:dyDescent="0.2">
      <c r="G4558" s="131"/>
      <c r="H4558" s="131"/>
      <c r="I4558" s="131"/>
      <c r="J4558" s="132"/>
      <c r="K4558" s="131"/>
    </row>
    <row r="4559" spans="7:11" x14ac:dyDescent="0.2">
      <c r="G4559" s="131"/>
      <c r="H4559" s="131"/>
      <c r="I4559" s="131"/>
      <c r="J4559" s="132"/>
      <c r="K4559" s="131"/>
    </row>
    <row r="4560" spans="7:11" x14ac:dyDescent="0.2">
      <c r="G4560" s="131"/>
      <c r="H4560" s="131"/>
      <c r="I4560" s="131"/>
      <c r="J4560" s="132"/>
      <c r="K4560" s="131"/>
    </row>
    <row r="4561" spans="7:11" x14ac:dyDescent="0.2">
      <c r="G4561" s="131"/>
      <c r="H4561" s="131"/>
      <c r="I4561" s="131"/>
      <c r="J4561" s="132"/>
      <c r="K4561" s="131"/>
    </row>
    <row r="4562" spans="7:11" x14ac:dyDescent="0.2">
      <c r="G4562" s="131"/>
      <c r="H4562" s="131"/>
      <c r="I4562" s="131"/>
      <c r="J4562" s="132"/>
      <c r="K4562" s="131"/>
    </row>
    <row r="4563" spans="7:11" x14ac:dyDescent="0.2">
      <c r="G4563" s="131"/>
      <c r="H4563" s="131"/>
      <c r="I4563" s="131"/>
      <c r="J4563" s="132"/>
      <c r="K4563" s="131"/>
    </row>
    <row r="4564" spans="7:11" x14ac:dyDescent="0.2">
      <c r="G4564" s="131"/>
      <c r="H4564" s="131"/>
      <c r="I4564" s="131"/>
      <c r="J4564" s="132"/>
      <c r="K4564" s="131"/>
    </row>
    <row r="4565" spans="7:11" x14ac:dyDescent="0.2">
      <c r="G4565" s="131"/>
      <c r="H4565" s="131"/>
      <c r="I4565" s="131"/>
      <c r="J4565" s="132"/>
      <c r="K4565" s="131"/>
    </row>
    <row r="4566" spans="7:11" x14ac:dyDescent="0.2">
      <c r="G4566" s="131"/>
      <c r="H4566" s="131"/>
      <c r="I4566" s="131"/>
      <c r="J4566" s="132"/>
      <c r="K4566" s="131"/>
    </row>
    <row r="4567" spans="7:11" x14ac:dyDescent="0.2">
      <c r="G4567" s="131"/>
      <c r="H4567" s="131"/>
      <c r="I4567" s="131"/>
      <c r="J4567" s="132"/>
      <c r="K4567" s="131"/>
    </row>
    <row r="4568" spans="7:11" x14ac:dyDescent="0.2">
      <c r="G4568" s="131"/>
      <c r="H4568" s="131"/>
      <c r="I4568" s="131"/>
      <c r="J4568" s="132"/>
      <c r="K4568" s="131"/>
    </row>
    <row r="4569" spans="7:11" x14ac:dyDescent="0.2">
      <c r="G4569" s="131"/>
      <c r="H4569" s="131"/>
      <c r="I4569" s="131"/>
      <c r="J4569" s="132"/>
      <c r="K4569" s="131"/>
    </row>
    <row r="4570" spans="7:11" x14ac:dyDescent="0.2">
      <c r="G4570" s="131"/>
      <c r="H4570" s="131"/>
      <c r="I4570" s="131"/>
      <c r="J4570" s="132"/>
      <c r="K4570" s="131"/>
    </row>
    <row r="4571" spans="7:11" x14ac:dyDescent="0.2">
      <c r="G4571" s="131"/>
      <c r="H4571" s="131"/>
      <c r="I4571" s="131"/>
      <c r="J4571" s="132"/>
      <c r="K4571" s="131"/>
    </row>
    <row r="4572" spans="7:11" x14ac:dyDescent="0.2">
      <c r="G4572" s="131"/>
      <c r="H4572" s="131"/>
      <c r="I4572" s="131"/>
      <c r="J4572" s="132"/>
      <c r="K4572" s="131"/>
    </row>
    <row r="4573" spans="7:11" x14ac:dyDescent="0.2">
      <c r="G4573" s="131"/>
      <c r="H4573" s="131"/>
      <c r="I4573" s="131"/>
      <c r="J4573" s="132"/>
      <c r="K4573" s="131"/>
    </row>
    <row r="4574" spans="7:11" x14ac:dyDescent="0.2">
      <c r="G4574" s="131"/>
      <c r="H4574" s="131"/>
      <c r="I4574" s="131"/>
      <c r="J4574" s="132"/>
      <c r="K4574" s="131"/>
    </row>
    <row r="4575" spans="7:11" x14ac:dyDescent="0.2">
      <c r="G4575" s="131"/>
      <c r="H4575" s="131"/>
      <c r="I4575" s="131"/>
      <c r="J4575" s="132"/>
      <c r="K4575" s="131"/>
    </row>
    <row r="4576" spans="7:11" x14ac:dyDescent="0.2">
      <c r="G4576" s="131"/>
      <c r="H4576" s="131"/>
      <c r="I4576" s="131"/>
      <c r="J4576" s="132"/>
      <c r="K4576" s="131"/>
    </row>
    <row r="4577" spans="7:11" x14ac:dyDescent="0.2">
      <c r="G4577" s="131"/>
      <c r="H4577" s="131"/>
      <c r="I4577" s="131"/>
      <c r="J4577" s="132"/>
      <c r="K4577" s="131"/>
    </row>
    <row r="4578" spans="7:11" x14ac:dyDescent="0.2">
      <c r="G4578" s="131"/>
      <c r="H4578" s="131"/>
      <c r="I4578" s="131"/>
      <c r="J4578" s="132"/>
      <c r="K4578" s="131"/>
    </row>
    <row r="4579" spans="7:11" x14ac:dyDescent="0.2">
      <c r="G4579" s="131"/>
      <c r="H4579" s="131"/>
      <c r="I4579" s="131"/>
      <c r="J4579" s="132"/>
      <c r="K4579" s="131"/>
    </row>
    <row r="4580" spans="7:11" x14ac:dyDescent="0.2">
      <c r="G4580" s="131"/>
      <c r="H4580" s="131"/>
      <c r="I4580" s="131"/>
      <c r="J4580" s="132"/>
      <c r="K4580" s="131"/>
    </row>
    <row r="4581" spans="7:11" x14ac:dyDescent="0.2">
      <c r="G4581" s="131"/>
      <c r="H4581" s="131"/>
      <c r="I4581" s="131"/>
      <c r="J4581" s="132"/>
      <c r="K4581" s="131"/>
    </row>
    <row r="4582" spans="7:11" x14ac:dyDescent="0.2">
      <c r="G4582" s="131"/>
      <c r="H4582" s="131"/>
      <c r="I4582" s="131"/>
      <c r="J4582" s="132"/>
      <c r="K4582" s="131"/>
    </row>
    <row r="4583" spans="7:11" x14ac:dyDescent="0.2">
      <c r="G4583" s="131"/>
      <c r="H4583" s="131"/>
      <c r="I4583" s="131"/>
      <c r="J4583" s="132"/>
      <c r="K4583" s="131"/>
    </row>
    <row r="4584" spans="7:11" x14ac:dyDescent="0.2">
      <c r="G4584" s="131"/>
      <c r="H4584" s="131"/>
      <c r="I4584" s="131"/>
      <c r="J4584" s="132"/>
      <c r="K4584" s="131"/>
    </row>
    <row r="4585" spans="7:11" x14ac:dyDescent="0.2">
      <c r="G4585" s="131"/>
      <c r="H4585" s="131"/>
      <c r="I4585" s="131"/>
      <c r="J4585" s="132"/>
      <c r="K4585" s="131"/>
    </row>
    <row r="4586" spans="7:11" x14ac:dyDescent="0.2">
      <c r="G4586" s="131"/>
      <c r="H4586" s="131"/>
      <c r="I4586" s="131"/>
      <c r="J4586" s="132"/>
      <c r="K4586" s="131"/>
    </row>
    <row r="4587" spans="7:11" x14ac:dyDescent="0.2">
      <c r="G4587" s="131"/>
      <c r="H4587" s="131"/>
      <c r="I4587" s="131"/>
      <c r="J4587" s="132"/>
      <c r="K4587" s="131"/>
    </row>
    <row r="4588" spans="7:11" x14ac:dyDescent="0.2">
      <c r="G4588" s="131"/>
      <c r="H4588" s="131"/>
      <c r="I4588" s="131"/>
      <c r="J4588" s="132"/>
      <c r="K4588" s="131"/>
    </row>
    <row r="4589" spans="7:11" x14ac:dyDescent="0.2">
      <c r="G4589" s="131"/>
      <c r="H4589" s="131"/>
      <c r="I4589" s="131"/>
      <c r="J4589" s="132"/>
      <c r="K4589" s="131"/>
    </row>
    <row r="4590" spans="7:11" x14ac:dyDescent="0.2">
      <c r="G4590" s="131"/>
      <c r="H4590" s="131"/>
      <c r="I4590" s="131"/>
      <c r="J4590" s="132"/>
      <c r="K4590" s="131"/>
    </row>
    <row r="4591" spans="7:11" x14ac:dyDescent="0.2">
      <c r="G4591" s="131"/>
      <c r="H4591" s="131"/>
      <c r="I4591" s="131"/>
      <c r="J4591" s="132"/>
      <c r="K4591" s="131"/>
    </row>
    <row r="4592" spans="7:11" x14ac:dyDescent="0.2">
      <c r="G4592" s="131"/>
      <c r="H4592" s="131"/>
      <c r="I4592" s="131"/>
      <c r="J4592" s="132"/>
      <c r="K4592" s="131"/>
    </row>
    <row r="4593" spans="7:11" x14ac:dyDescent="0.2">
      <c r="G4593" s="131"/>
      <c r="H4593" s="131"/>
      <c r="I4593" s="131"/>
      <c r="J4593" s="132"/>
      <c r="K4593" s="131"/>
    </row>
    <row r="4594" spans="7:11" x14ac:dyDescent="0.2">
      <c r="G4594" s="131"/>
      <c r="H4594" s="131"/>
      <c r="I4594" s="131"/>
      <c r="J4594" s="132"/>
      <c r="K4594" s="131"/>
    </row>
    <row r="4595" spans="7:11" x14ac:dyDescent="0.2">
      <c r="G4595" s="131"/>
      <c r="H4595" s="131"/>
      <c r="I4595" s="131"/>
      <c r="J4595" s="132"/>
      <c r="K4595" s="131"/>
    </row>
    <row r="4596" spans="7:11" x14ac:dyDescent="0.2">
      <c r="G4596" s="131"/>
      <c r="H4596" s="131"/>
      <c r="I4596" s="131"/>
      <c r="J4596" s="132"/>
      <c r="K4596" s="131"/>
    </row>
    <row r="4597" spans="7:11" x14ac:dyDescent="0.2">
      <c r="G4597" s="131"/>
      <c r="H4597" s="131"/>
      <c r="I4597" s="131"/>
      <c r="J4597" s="132"/>
      <c r="K4597" s="131"/>
    </row>
    <row r="4598" spans="7:11" x14ac:dyDescent="0.2">
      <c r="G4598" s="131"/>
      <c r="H4598" s="131"/>
      <c r="I4598" s="131"/>
      <c r="J4598" s="132"/>
      <c r="K4598" s="131"/>
    </row>
    <row r="4599" spans="7:11" x14ac:dyDescent="0.2">
      <c r="G4599" s="131"/>
      <c r="H4599" s="131"/>
      <c r="I4599" s="131"/>
      <c r="J4599" s="132"/>
      <c r="K4599" s="131"/>
    </row>
    <row r="4600" spans="7:11" x14ac:dyDescent="0.2">
      <c r="G4600" s="131"/>
      <c r="H4600" s="131"/>
      <c r="I4600" s="131"/>
      <c r="J4600" s="132"/>
      <c r="K4600" s="131"/>
    </row>
    <row r="4601" spans="7:11" x14ac:dyDescent="0.2">
      <c r="G4601" s="131"/>
      <c r="H4601" s="131"/>
      <c r="I4601" s="131"/>
      <c r="J4601" s="132"/>
      <c r="K4601" s="131"/>
    </row>
    <row r="4602" spans="7:11" x14ac:dyDescent="0.2">
      <c r="G4602" s="131"/>
      <c r="H4602" s="131"/>
      <c r="I4602" s="131"/>
      <c r="J4602" s="132"/>
      <c r="K4602" s="131"/>
    </row>
    <row r="4603" spans="7:11" x14ac:dyDescent="0.2">
      <c r="G4603" s="131"/>
      <c r="H4603" s="131"/>
      <c r="I4603" s="131"/>
      <c r="J4603" s="132"/>
      <c r="K4603" s="131"/>
    </row>
    <row r="4604" spans="7:11" x14ac:dyDescent="0.2">
      <c r="G4604" s="131"/>
      <c r="H4604" s="131"/>
      <c r="I4604" s="131"/>
      <c r="J4604" s="132"/>
      <c r="K4604" s="131"/>
    </row>
    <row r="4605" spans="7:11" x14ac:dyDescent="0.2">
      <c r="G4605" s="131"/>
      <c r="H4605" s="131"/>
      <c r="I4605" s="131"/>
      <c r="J4605" s="132"/>
      <c r="K4605" s="131"/>
    </row>
    <row r="4606" spans="7:11" x14ac:dyDescent="0.2">
      <c r="G4606" s="131"/>
      <c r="H4606" s="131"/>
      <c r="I4606" s="131"/>
      <c r="J4606" s="132"/>
      <c r="K4606" s="131"/>
    </row>
    <row r="4607" spans="7:11" x14ac:dyDescent="0.2">
      <c r="G4607" s="131"/>
      <c r="H4607" s="131"/>
      <c r="I4607" s="131"/>
      <c r="J4607" s="132"/>
      <c r="K4607" s="131"/>
    </row>
    <row r="4608" spans="7:11" x14ac:dyDescent="0.2">
      <c r="G4608" s="131"/>
      <c r="H4608" s="131"/>
      <c r="I4608" s="131"/>
      <c r="J4608" s="132"/>
      <c r="K4608" s="131"/>
    </row>
    <row r="4609" spans="7:11" x14ac:dyDescent="0.2">
      <c r="G4609" s="131"/>
      <c r="H4609" s="131"/>
      <c r="I4609" s="131"/>
      <c r="J4609" s="132"/>
      <c r="K4609" s="131"/>
    </row>
    <row r="4610" spans="7:11" x14ac:dyDescent="0.2">
      <c r="G4610" s="131"/>
      <c r="H4610" s="131"/>
      <c r="I4610" s="131"/>
      <c r="J4610" s="132"/>
      <c r="K4610" s="131"/>
    </row>
    <row r="4611" spans="7:11" x14ac:dyDescent="0.2">
      <c r="G4611" s="131"/>
      <c r="H4611" s="131"/>
      <c r="I4611" s="131"/>
      <c r="J4611" s="132"/>
      <c r="K4611" s="131"/>
    </row>
    <row r="4612" spans="7:11" x14ac:dyDescent="0.2">
      <c r="G4612" s="131"/>
      <c r="H4612" s="131"/>
      <c r="I4612" s="131"/>
      <c r="J4612" s="132"/>
      <c r="K4612" s="131"/>
    </row>
    <row r="4613" spans="7:11" x14ac:dyDescent="0.2">
      <c r="G4613" s="131"/>
      <c r="H4613" s="131"/>
      <c r="I4613" s="131"/>
      <c r="J4613" s="132"/>
      <c r="K4613" s="131"/>
    </row>
    <row r="4614" spans="7:11" x14ac:dyDescent="0.2">
      <c r="G4614" s="131"/>
      <c r="H4614" s="131"/>
      <c r="I4614" s="131"/>
      <c r="J4614" s="132"/>
      <c r="K4614" s="131"/>
    </row>
    <row r="4615" spans="7:11" x14ac:dyDescent="0.2">
      <c r="G4615" s="131"/>
      <c r="H4615" s="131"/>
      <c r="I4615" s="131"/>
      <c r="J4615" s="132"/>
      <c r="K4615" s="131"/>
    </row>
    <row r="4616" spans="7:11" x14ac:dyDescent="0.2">
      <c r="G4616" s="131"/>
      <c r="H4616" s="131"/>
      <c r="I4616" s="131"/>
      <c r="J4616" s="132"/>
      <c r="K4616" s="131"/>
    </row>
    <row r="4617" spans="7:11" x14ac:dyDescent="0.2">
      <c r="G4617" s="131"/>
      <c r="H4617" s="131"/>
      <c r="I4617" s="131"/>
      <c r="J4617" s="132"/>
      <c r="K4617" s="131"/>
    </row>
    <row r="4618" spans="7:11" x14ac:dyDescent="0.2">
      <c r="G4618" s="131"/>
      <c r="H4618" s="131"/>
      <c r="I4618" s="131"/>
      <c r="J4618" s="132"/>
      <c r="K4618" s="131"/>
    </row>
    <row r="4619" spans="7:11" x14ac:dyDescent="0.2">
      <c r="G4619" s="131"/>
      <c r="H4619" s="131"/>
      <c r="I4619" s="131"/>
      <c r="J4619" s="132"/>
      <c r="K4619" s="131"/>
    </row>
    <row r="4620" spans="7:11" x14ac:dyDescent="0.2">
      <c r="G4620" s="131"/>
      <c r="H4620" s="131"/>
      <c r="I4620" s="131"/>
      <c r="J4620" s="132"/>
      <c r="K4620" s="131"/>
    </row>
    <row r="4621" spans="7:11" x14ac:dyDescent="0.2">
      <c r="G4621" s="131"/>
      <c r="H4621" s="131"/>
      <c r="I4621" s="131"/>
      <c r="J4621" s="132"/>
      <c r="K4621" s="131"/>
    </row>
    <row r="4622" spans="7:11" x14ac:dyDescent="0.2">
      <c r="G4622" s="131"/>
      <c r="H4622" s="131"/>
      <c r="I4622" s="131"/>
      <c r="J4622" s="132"/>
      <c r="K4622" s="131"/>
    </row>
    <row r="4623" spans="7:11" x14ac:dyDescent="0.2">
      <c r="G4623" s="131"/>
      <c r="H4623" s="131"/>
      <c r="I4623" s="131"/>
      <c r="J4623" s="132"/>
      <c r="K4623" s="131"/>
    </row>
    <row r="4624" spans="7:11" x14ac:dyDescent="0.2">
      <c r="G4624" s="131"/>
      <c r="H4624" s="131"/>
      <c r="I4624" s="131"/>
      <c r="J4624" s="132"/>
      <c r="K4624" s="131"/>
    </row>
    <row r="4625" spans="7:11" x14ac:dyDescent="0.2">
      <c r="G4625" s="131"/>
      <c r="H4625" s="131"/>
      <c r="I4625" s="131"/>
      <c r="J4625" s="132"/>
      <c r="K4625" s="131"/>
    </row>
    <row r="4626" spans="7:11" x14ac:dyDescent="0.2">
      <c r="G4626" s="131"/>
      <c r="H4626" s="131"/>
      <c r="I4626" s="131"/>
      <c r="J4626" s="132"/>
      <c r="K4626" s="131"/>
    </row>
    <row r="4627" spans="7:11" x14ac:dyDescent="0.2">
      <c r="G4627" s="131"/>
      <c r="H4627" s="131"/>
      <c r="I4627" s="131"/>
      <c r="J4627" s="132"/>
      <c r="K4627" s="131"/>
    </row>
    <row r="4628" spans="7:11" x14ac:dyDescent="0.2">
      <c r="G4628" s="131"/>
      <c r="H4628" s="131"/>
      <c r="I4628" s="131"/>
      <c r="J4628" s="132"/>
      <c r="K4628" s="131"/>
    </row>
    <row r="4629" spans="7:11" x14ac:dyDescent="0.2">
      <c r="G4629" s="131"/>
      <c r="H4629" s="131"/>
      <c r="I4629" s="131"/>
      <c r="J4629" s="132"/>
      <c r="K4629" s="131"/>
    </row>
    <row r="4630" spans="7:11" x14ac:dyDescent="0.2">
      <c r="G4630" s="131"/>
      <c r="H4630" s="131"/>
      <c r="I4630" s="131"/>
      <c r="J4630" s="132"/>
      <c r="K4630" s="131"/>
    </row>
    <row r="4631" spans="7:11" x14ac:dyDescent="0.2">
      <c r="G4631" s="131"/>
      <c r="H4631" s="131"/>
      <c r="I4631" s="131"/>
      <c r="J4631" s="132"/>
      <c r="K4631" s="131"/>
    </row>
    <row r="4632" spans="7:11" x14ac:dyDescent="0.2">
      <c r="G4632" s="131"/>
      <c r="H4632" s="131"/>
      <c r="I4632" s="131"/>
      <c r="J4632" s="132"/>
      <c r="K4632" s="131"/>
    </row>
    <row r="4633" spans="7:11" x14ac:dyDescent="0.2">
      <c r="G4633" s="131"/>
      <c r="H4633" s="131"/>
      <c r="I4633" s="131"/>
      <c r="J4633" s="132"/>
      <c r="K4633" s="131"/>
    </row>
    <row r="4634" spans="7:11" x14ac:dyDescent="0.2">
      <c r="G4634" s="131"/>
      <c r="H4634" s="131"/>
      <c r="I4634" s="131"/>
      <c r="J4634" s="132"/>
      <c r="K4634" s="131"/>
    </row>
    <row r="4635" spans="7:11" x14ac:dyDescent="0.2">
      <c r="G4635" s="131"/>
      <c r="H4635" s="131"/>
      <c r="I4635" s="131"/>
      <c r="J4635" s="132"/>
      <c r="K4635" s="131"/>
    </row>
    <row r="4636" spans="7:11" x14ac:dyDescent="0.2">
      <c r="G4636" s="131"/>
      <c r="H4636" s="131"/>
      <c r="I4636" s="131"/>
      <c r="J4636" s="132"/>
      <c r="K4636" s="131"/>
    </row>
    <row r="4637" spans="7:11" x14ac:dyDescent="0.2">
      <c r="G4637" s="131"/>
      <c r="H4637" s="131"/>
      <c r="I4637" s="131"/>
      <c r="J4637" s="132"/>
      <c r="K4637" s="131"/>
    </row>
    <row r="4638" spans="7:11" x14ac:dyDescent="0.2">
      <c r="G4638" s="131"/>
      <c r="H4638" s="131"/>
      <c r="I4638" s="131"/>
      <c r="J4638" s="132"/>
      <c r="K4638" s="131"/>
    </row>
    <row r="4639" spans="7:11" x14ac:dyDescent="0.2">
      <c r="G4639" s="131"/>
      <c r="H4639" s="131"/>
      <c r="I4639" s="131"/>
      <c r="J4639" s="132"/>
      <c r="K4639" s="131"/>
    </row>
    <row r="4640" spans="7:11" x14ac:dyDescent="0.2">
      <c r="G4640" s="131"/>
      <c r="H4640" s="131"/>
      <c r="I4640" s="131"/>
      <c r="J4640" s="132"/>
      <c r="K4640" s="131"/>
    </row>
    <row r="4641" spans="7:11" x14ac:dyDescent="0.2">
      <c r="G4641" s="131"/>
      <c r="H4641" s="131"/>
      <c r="I4641" s="131"/>
      <c r="J4641" s="132"/>
      <c r="K4641" s="131"/>
    </row>
    <row r="4642" spans="7:11" x14ac:dyDescent="0.2">
      <c r="G4642" s="131"/>
      <c r="H4642" s="131"/>
      <c r="I4642" s="131"/>
      <c r="J4642" s="132"/>
      <c r="K4642" s="131"/>
    </row>
    <row r="4643" spans="7:11" x14ac:dyDescent="0.2">
      <c r="G4643" s="131"/>
      <c r="H4643" s="131"/>
      <c r="I4643" s="131"/>
      <c r="J4643" s="132"/>
      <c r="K4643" s="131"/>
    </row>
    <row r="4644" spans="7:11" x14ac:dyDescent="0.2">
      <c r="G4644" s="131"/>
      <c r="H4644" s="131"/>
      <c r="I4644" s="131"/>
      <c r="J4644" s="132"/>
      <c r="K4644" s="131"/>
    </row>
    <row r="4645" spans="7:11" x14ac:dyDescent="0.2">
      <c r="G4645" s="131"/>
      <c r="H4645" s="131"/>
      <c r="I4645" s="131"/>
      <c r="J4645" s="132"/>
      <c r="K4645" s="131"/>
    </row>
    <row r="4646" spans="7:11" x14ac:dyDescent="0.2">
      <c r="G4646" s="131"/>
      <c r="H4646" s="131"/>
      <c r="I4646" s="131"/>
      <c r="J4646" s="132"/>
      <c r="K4646" s="131"/>
    </row>
    <row r="4647" spans="7:11" x14ac:dyDescent="0.2">
      <c r="G4647" s="131"/>
      <c r="H4647" s="131"/>
      <c r="I4647" s="131"/>
      <c r="J4647" s="132"/>
      <c r="K4647" s="131"/>
    </row>
    <row r="4648" spans="7:11" x14ac:dyDescent="0.2">
      <c r="G4648" s="131"/>
      <c r="H4648" s="131"/>
      <c r="I4648" s="131"/>
      <c r="J4648" s="132"/>
      <c r="K4648" s="131"/>
    </row>
    <row r="4649" spans="7:11" x14ac:dyDescent="0.2">
      <c r="G4649" s="131"/>
      <c r="H4649" s="131"/>
      <c r="I4649" s="131"/>
      <c r="J4649" s="132"/>
      <c r="K4649" s="131"/>
    </row>
    <row r="4650" spans="7:11" x14ac:dyDescent="0.2">
      <c r="G4650" s="131"/>
      <c r="H4650" s="131"/>
      <c r="I4650" s="131"/>
      <c r="J4650" s="132"/>
      <c r="K4650" s="131"/>
    </row>
    <row r="4651" spans="7:11" x14ac:dyDescent="0.2">
      <c r="G4651" s="131"/>
      <c r="H4651" s="131"/>
      <c r="I4651" s="131"/>
      <c r="J4651" s="132"/>
      <c r="K4651" s="131"/>
    </row>
    <row r="4652" spans="7:11" x14ac:dyDescent="0.2">
      <c r="G4652" s="131"/>
      <c r="H4652" s="131"/>
      <c r="I4652" s="131"/>
      <c r="J4652" s="132"/>
      <c r="K4652" s="131"/>
    </row>
    <row r="4653" spans="7:11" x14ac:dyDescent="0.2">
      <c r="G4653" s="131"/>
      <c r="H4653" s="131"/>
      <c r="I4653" s="131"/>
      <c r="J4653" s="132"/>
      <c r="K4653" s="131"/>
    </row>
    <row r="4654" spans="7:11" x14ac:dyDescent="0.2">
      <c r="G4654" s="131"/>
      <c r="H4654" s="131"/>
      <c r="I4654" s="131"/>
      <c r="J4654" s="132"/>
      <c r="K4654" s="131"/>
    </row>
    <row r="4655" spans="7:11" x14ac:dyDescent="0.2">
      <c r="G4655" s="131"/>
      <c r="H4655" s="131"/>
      <c r="I4655" s="131"/>
      <c r="J4655" s="132"/>
      <c r="K4655" s="131"/>
    </row>
    <row r="4656" spans="7:11" x14ac:dyDescent="0.2">
      <c r="G4656" s="131"/>
      <c r="H4656" s="131"/>
      <c r="I4656" s="131"/>
      <c r="J4656" s="132"/>
      <c r="K4656" s="131"/>
    </row>
    <row r="4657" spans="7:11" x14ac:dyDescent="0.2">
      <c r="G4657" s="131"/>
      <c r="H4657" s="131"/>
      <c r="I4657" s="131"/>
      <c r="J4657" s="132"/>
      <c r="K4657" s="131"/>
    </row>
    <row r="4658" spans="7:11" x14ac:dyDescent="0.2">
      <c r="G4658" s="131"/>
      <c r="H4658" s="131"/>
      <c r="I4658" s="131"/>
      <c r="J4658" s="132"/>
      <c r="K4658" s="131"/>
    </row>
    <row r="4659" spans="7:11" x14ac:dyDescent="0.2">
      <c r="G4659" s="131"/>
      <c r="H4659" s="131"/>
      <c r="I4659" s="131"/>
      <c r="J4659" s="132"/>
      <c r="K4659" s="131"/>
    </row>
    <row r="4660" spans="7:11" x14ac:dyDescent="0.2">
      <c r="G4660" s="131"/>
      <c r="H4660" s="131"/>
      <c r="I4660" s="131"/>
      <c r="J4660" s="132"/>
      <c r="K4660" s="131"/>
    </row>
    <row r="4661" spans="7:11" x14ac:dyDescent="0.2">
      <c r="G4661" s="131"/>
      <c r="H4661" s="131"/>
      <c r="I4661" s="131"/>
      <c r="J4661" s="132"/>
      <c r="K4661" s="131"/>
    </row>
    <row r="4662" spans="7:11" x14ac:dyDescent="0.2">
      <c r="G4662" s="131"/>
      <c r="H4662" s="131"/>
      <c r="I4662" s="131"/>
      <c r="J4662" s="132"/>
      <c r="K4662" s="131"/>
    </row>
    <row r="4663" spans="7:11" x14ac:dyDescent="0.2">
      <c r="G4663" s="131"/>
      <c r="H4663" s="131"/>
      <c r="I4663" s="131"/>
      <c r="J4663" s="132"/>
      <c r="K4663" s="131"/>
    </row>
    <row r="4664" spans="7:11" x14ac:dyDescent="0.2">
      <c r="G4664" s="131"/>
      <c r="H4664" s="131"/>
      <c r="I4664" s="131"/>
      <c r="J4664" s="132"/>
      <c r="K4664" s="131"/>
    </row>
    <row r="4665" spans="7:11" x14ac:dyDescent="0.2">
      <c r="G4665" s="131"/>
      <c r="H4665" s="131"/>
      <c r="I4665" s="131"/>
      <c r="J4665" s="132"/>
      <c r="K4665" s="131"/>
    </row>
    <row r="4666" spans="7:11" x14ac:dyDescent="0.2">
      <c r="G4666" s="131"/>
      <c r="H4666" s="131"/>
      <c r="I4666" s="131"/>
      <c r="J4666" s="132"/>
      <c r="K4666" s="131"/>
    </row>
    <row r="4667" spans="7:11" x14ac:dyDescent="0.2">
      <c r="G4667" s="131"/>
      <c r="H4667" s="131"/>
      <c r="I4667" s="131"/>
      <c r="J4667" s="132"/>
      <c r="K4667" s="131"/>
    </row>
    <row r="4668" spans="7:11" x14ac:dyDescent="0.2">
      <c r="G4668" s="131"/>
      <c r="H4668" s="131"/>
      <c r="I4668" s="131"/>
      <c r="J4668" s="132"/>
      <c r="K4668" s="131"/>
    </row>
    <row r="4669" spans="7:11" x14ac:dyDescent="0.2">
      <c r="G4669" s="131"/>
      <c r="H4669" s="131"/>
      <c r="I4669" s="131"/>
      <c r="J4669" s="132"/>
      <c r="K4669" s="131"/>
    </row>
    <row r="4670" spans="7:11" x14ac:dyDescent="0.2">
      <c r="G4670" s="131"/>
      <c r="H4670" s="131"/>
      <c r="I4670" s="131"/>
      <c r="J4670" s="132"/>
      <c r="K4670" s="131"/>
    </row>
    <row r="4671" spans="7:11" x14ac:dyDescent="0.2">
      <c r="G4671" s="131"/>
      <c r="H4671" s="131"/>
      <c r="I4671" s="131"/>
      <c r="J4671" s="132"/>
      <c r="K4671" s="131"/>
    </row>
    <row r="4672" spans="7:11" x14ac:dyDescent="0.2">
      <c r="G4672" s="131"/>
      <c r="H4672" s="131"/>
      <c r="I4672" s="131"/>
      <c r="J4672" s="132"/>
      <c r="K4672" s="131"/>
    </row>
    <row r="4673" spans="7:11" x14ac:dyDescent="0.2">
      <c r="G4673" s="131"/>
      <c r="H4673" s="131"/>
      <c r="I4673" s="131"/>
      <c r="J4673" s="132"/>
      <c r="K4673" s="131"/>
    </row>
    <row r="4674" spans="7:11" x14ac:dyDescent="0.2">
      <c r="G4674" s="131"/>
      <c r="H4674" s="131"/>
      <c r="I4674" s="131"/>
      <c r="J4674" s="132"/>
      <c r="K4674" s="131"/>
    </row>
    <row r="4675" spans="7:11" x14ac:dyDescent="0.2">
      <c r="G4675" s="131"/>
      <c r="H4675" s="131"/>
      <c r="I4675" s="131"/>
      <c r="J4675" s="132"/>
      <c r="K4675" s="131"/>
    </row>
    <row r="4676" spans="7:11" x14ac:dyDescent="0.2">
      <c r="G4676" s="131"/>
      <c r="H4676" s="131"/>
      <c r="I4676" s="131"/>
      <c r="J4676" s="132"/>
      <c r="K4676" s="131"/>
    </row>
    <row r="4677" spans="7:11" x14ac:dyDescent="0.2">
      <c r="G4677" s="131"/>
      <c r="H4677" s="131"/>
      <c r="I4677" s="131"/>
      <c r="J4677" s="132"/>
      <c r="K4677" s="131"/>
    </row>
    <row r="4678" spans="7:11" x14ac:dyDescent="0.2">
      <c r="G4678" s="131"/>
      <c r="H4678" s="131"/>
      <c r="I4678" s="131"/>
      <c r="J4678" s="132"/>
      <c r="K4678" s="131"/>
    </row>
    <row r="4679" spans="7:11" x14ac:dyDescent="0.2">
      <c r="G4679" s="131"/>
      <c r="H4679" s="131"/>
      <c r="I4679" s="131"/>
      <c r="J4679" s="132"/>
      <c r="K4679" s="131"/>
    </row>
    <row r="4680" spans="7:11" x14ac:dyDescent="0.2">
      <c r="G4680" s="131"/>
      <c r="H4680" s="131"/>
      <c r="I4680" s="131"/>
      <c r="J4680" s="132"/>
      <c r="K4680" s="131"/>
    </row>
    <row r="4681" spans="7:11" x14ac:dyDescent="0.2">
      <c r="G4681" s="131"/>
      <c r="H4681" s="131"/>
      <c r="I4681" s="131"/>
      <c r="J4681" s="132"/>
      <c r="K4681" s="131"/>
    </row>
    <row r="4682" spans="7:11" x14ac:dyDescent="0.2">
      <c r="G4682" s="131"/>
      <c r="H4682" s="131"/>
      <c r="I4682" s="131"/>
      <c r="J4682" s="132"/>
      <c r="K4682" s="131"/>
    </row>
    <row r="4683" spans="7:11" x14ac:dyDescent="0.2">
      <c r="G4683" s="131"/>
      <c r="H4683" s="131"/>
      <c r="I4683" s="131"/>
      <c r="J4683" s="132"/>
      <c r="K4683" s="131"/>
    </row>
    <row r="4684" spans="7:11" x14ac:dyDescent="0.2">
      <c r="G4684" s="131"/>
      <c r="H4684" s="131"/>
      <c r="I4684" s="131"/>
      <c r="J4684" s="132"/>
      <c r="K4684" s="131"/>
    </row>
    <row r="4685" spans="7:11" x14ac:dyDescent="0.2">
      <c r="G4685" s="131"/>
      <c r="H4685" s="131"/>
      <c r="I4685" s="131"/>
      <c r="J4685" s="132"/>
      <c r="K4685" s="131"/>
    </row>
    <row r="4686" spans="7:11" x14ac:dyDescent="0.2">
      <c r="G4686" s="131"/>
      <c r="H4686" s="131"/>
      <c r="I4686" s="131"/>
      <c r="J4686" s="132"/>
      <c r="K4686" s="131"/>
    </row>
    <row r="4687" spans="7:11" x14ac:dyDescent="0.2">
      <c r="G4687" s="131"/>
      <c r="H4687" s="131"/>
      <c r="I4687" s="131"/>
      <c r="J4687" s="132"/>
      <c r="K4687" s="131"/>
    </row>
    <row r="4688" spans="7:11" x14ac:dyDescent="0.2">
      <c r="G4688" s="131"/>
      <c r="H4688" s="131"/>
      <c r="I4688" s="131"/>
      <c r="J4688" s="132"/>
      <c r="K4688" s="131"/>
    </row>
    <row r="4689" spans="7:11" x14ac:dyDescent="0.2">
      <c r="G4689" s="131"/>
      <c r="H4689" s="131"/>
      <c r="I4689" s="131"/>
      <c r="J4689" s="132"/>
      <c r="K4689" s="131"/>
    </row>
    <row r="4690" spans="7:11" x14ac:dyDescent="0.2">
      <c r="G4690" s="131"/>
      <c r="H4690" s="131"/>
      <c r="I4690" s="131"/>
      <c r="J4690" s="132"/>
      <c r="K4690" s="131"/>
    </row>
    <row r="4691" spans="7:11" x14ac:dyDescent="0.2">
      <c r="G4691" s="131"/>
      <c r="H4691" s="131"/>
      <c r="I4691" s="131"/>
      <c r="J4691" s="132"/>
      <c r="K4691" s="131"/>
    </row>
    <row r="4692" spans="7:11" x14ac:dyDescent="0.2">
      <c r="G4692" s="131"/>
      <c r="H4692" s="131"/>
      <c r="I4692" s="131"/>
      <c r="J4692" s="132"/>
      <c r="K4692" s="131"/>
    </row>
    <row r="4693" spans="7:11" x14ac:dyDescent="0.2">
      <c r="G4693" s="131"/>
      <c r="H4693" s="131"/>
      <c r="I4693" s="131"/>
      <c r="J4693" s="132"/>
      <c r="K4693" s="131"/>
    </row>
    <row r="4694" spans="7:11" x14ac:dyDescent="0.2">
      <c r="G4694" s="131"/>
      <c r="H4694" s="131"/>
      <c r="I4694" s="131"/>
      <c r="J4694" s="132"/>
      <c r="K4694" s="131"/>
    </row>
    <row r="4695" spans="7:11" x14ac:dyDescent="0.2">
      <c r="G4695" s="131"/>
      <c r="H4695" s="131"/>
      <c r="I4695" s="131"/>
      <c r="J4695" s="132"/>
      <c r="K4695" s="131"/>
    </row>
    <row r="4696" spans="7:11" x14ac:dyDescent="0.2">
      <c r="G4696" s="131"/>
      <c r="H4696" s="131"/>
      <c r="I4696" s="131"/>
      <c r="J4696" s="132"/>
      <c r="K4696" s="131"/>
    </row>
    <row r="4697" spans="7:11" x14ac:dyDescent="0.2">
      <c r="G4697" s="131"/>
      <c r="H4697" s="131"/>
      <c r="I4697" s="131"/>
      <c r="J4697" s="132"/>
      <c r="K4697" s="131"/>
    </row>
    <row r="4698" spans="7:11" x14ac:dyDescent="0.2">
      <c r="G4698" s="131"/>
      <c r="H4698" s="131"/>
      <c r="I4698" s="131"/>
      <c r="J4698" s="132"/>
      <c r="K4698" s="131"/>
    </row>
    <row r="4699" spans="7:11" x14ac:dyDescent="0.2">
      <c r="G4699" s="131"/>
      <c r="H4699" s="131"/>
      <c r="I4699" s="131"/>
      <c r="J4699" s="132"/>
      <c r="K4699" s="131"/>
    </row>
    <row r="4700" spans="7:11" x14ac:dyDescent="0.2">
      <c r="G4700" s="131"/>
      <c r="H4700" s="131"/>
      <c r="I4700" s="131"/>
      <c r="J4700" s="132"/>
      <c r="K4700" s="131"/>
    </row>
    <row r="4701" spans="7:11" x14ac:dyDescent="0.2">
      <c r="G4701" s="131"/>
      <c r="H4701" s="131"/>
      <c r="I4701" s="131"/>
      <c r="J4701" s="132"/>
      <c r="K4701" s="131"/>
    </row>
    <row r="4702" spans="7:11" x14ac:dyDescent="0.2">
      <c r="G4702" s="131"/>
      <c r="H4702" s="131"/>
      <c r="I4702" s="131"/>
      <c r="J4702" s="132"/>
      <c r="K4702" s="131"/>
    </row>
    <row r="4703" spans="7:11" x14ac:dyDescent="0.2">
      <c r="G4703" s="131"/>
      <c r="H4703" s="131"/>
      <c r="I4703" s="131"/>
      <c r="J4703" s="132"/>
      <c r="K4703" s="131"/>
    </row>
    <row r="4704" spans="7:11" x14ac:dyDescent="0.2">
      <c r="G4704" s="131"/>
      <c r="H4704" s="131"/>
      <c r="I4704" s="131"/>
      <c r="J4704" s="132"/>
      <c r="K4704" s="131"/>
    </row>
    <row r="4705" spans="7:11" x14ac:dyDescent="0.2">
      <c r="G4705" s="131"/>
      <c r="H4705" s="131"/>
      <c r="I4705" s="131"/>
      <c r="J4705" s="132"/>
      <c r="K4705" s="131"/>
    </row>
    <row r="4706" spans="7:11" x14ac:dyDescent="0.2">
      <c r="G4706" s="131"/>
      <c r="H4706" s="131"/>
      <c r="I4706" s="131"/>
      <c r="J4706" s="132"/>
      <c r="K4706" s="131"/>
    </row>
    <row r="4707" spans="7:11" x14ac:dyDescent="0.2">
      <c r="G4707" s="131"/>
      <c r="H4707" s="131"/>
      <c r="I4707" s="131"/>
      <c r="J4707" s="132"/>
      <c r="K4707" s="131"/>
    </row>
    <row r="4708" spans="7:11" x14ac:dyDescent="0.2">
      <c r="G4708" s="131"/>
      <c r="H4708" s="131"/>
      <c r="I4708" s="131"/>
      <c r="J4708" s="132"/>
      <c r="K4708" s="131"/>
    </row>
    <row r="4709" spans="7:11" x14ac:dyDescent="0.2">
      <c r="G4709" s="131"/>
      <c r="H4709" s="131"/>
      <c r="I4709" s="131"/>
      <c r="J4709" s="132"/>
      <c r="K4709" s="131"/>
    </row>
    <row r="4710" spans="7:11" x14ac:dyDescent="0.2">
      <c r="G4710" s="131"/>
      <c r="H4710" s="131"/>
      <c r="I4710" s="131"/>
      <c r="J4710" s="132"/>
      <c r="K4710" s="131"/>
    </row>
    <row r="4711" spans="7:11" x14ac:dyDescent="0.2">
      <c r="G4711" s="131"/>
      <c r="H4711" s="131"/>
      <c r="I4711" s="131"/>
      <c r="J4711" s="132"/>
      <c r="K4711" s="131"/>
    </row>
    <row r="4712" spans="7:11" x14ac:dyDescent="0.2">
      <c r="G4712" s="131"/>
      <c r="H4712" s="131"/>
      <c r="I4712" s="131"/>
      <c r="J4712" s="132"/>
      <c r="K4712" s="131"/>
    </row>
    <row r="4713" spans="7:11" x14ac:dyDescent="0.2">
      <c r="G4713" s="131"/>
      <c r="H4713" s="131"/>
      <c r="I4713" s="131"/>
      <c r="J4713" s="132"/>
      <c r="K4713" s="131"/>
    </row>
    <row r="4714" spans="7:11" x14ac:dyDescent="0.2">
      <c r="G4714" s="131"/>
      <c r="H4714" s="131"/>
      <c r="I4714" s="131"/>
      <c r="J4714" s="132"/>
      <c r="K4714" s="131"/>
    </row>
    <row r="4715" spans="7:11" x14ac:dyDescent="0.2">
      <c r="G4715" s="131"/>
      <c r="H4715" s="131"/>
      <c r="I4715" s="131"/>
      <c r="J4715" s="132"/>
      <c r="K4715" s="131"/>
    </row>
    <row r="4716" spans="7:11" x14ac:dyDescent="0.2">
      <c r="G4716" s="131"/>
      <c r="H4716" s="131"/>
      <c r="I4716" s="131"/>
      <c r="J4716" s="132"/>
      <c r="K4716" s="131"/>
    </row>
    <row r="4717" spans="7:11" x14ac:dyDescent="0.2">
      <c r="G4717" s="131"/>
      <c r="H4717" s="131"/>
      <c r="I4717" s="131"/>
      <c r="J4717" s="132"/>
      <c r="K4717" s="131"/>
    </row>
    <row r="4718" spans="7:11" x14ac:dyDescent="0.2">
      <c r="G4718" s="131"/>
      <c r="H4718" s="131"/>
      <c r="I4718" s="131"/>
      <c r="J4718" s="132"/>
      <c r="K4718" s="131"/>
    </row>
    <row r="4719" spans="7:11" x14ac:dyDescent="0.2">
      <c r="G4719" s="131"/>
      <c r="H4719" s="131"/>
      <c r="I4719" s="131"/>
      <c r="J4719" s="132"/>
      <c r="K4719" s="131"/>
    </row>
    <row r="4720" spans="7:11" x14ac:dyDescent="0.2">
      <c r="G4720" s="131"/>
      <c r="H4720" s="131"/>
      <c r="I4720" s="131"/>
      <c r="J4720" s="132"/>
      <c r="K4720" s="131"/>
    </row>
    <row r="4721" spans="7:11" x14ac:dyDescent="0.2">
      <c r="G4721" s="131"/>
      <c r="H4721" s="131"/>
      <c r="I4721" s="131"/>
      <c r="J4721" s="132"/>
      <c r="K4721" s="131"/>
    </row>
    <row r="4722" spans="7:11" x14ac:dyDescent="0.2">
      <c r="G4722" s="131"/>
      <c r="H4722" s="131"/>
      <c r="I4722" s="131"/>
      <c r="J4722" s="132"/>
      <c r="K4722" s="131"/>
    </row>
    <row r="4723" spans="7:11" x14ac:dyDescent="0.2">
      <c r="G4723" s="131"/>
      <c r="H4723" s="131"/>
      <c r="I4723" s="131"/>
      <c r="J4723" s="132"/>
      <c r="K4723" s="131"/>
    </row>
    <row r="4724" spans="7:11" x14ac:dyDescent="0.2">
      <c r="G4724" s="131"/>
      <c r="H4724" s="131"/>
      <c r="I4724" s="131"/>
      <c r="J4724" s="132"/>
      <c r="K4724" s="131"/>
    </row>
    <row r="4725" spans="7:11" x14ac:dyDescent="0.2">
      <c r="G4725" s="131"/>
      <c r="H4725" s="131"/>
      <c r="I4725" s="131"/>
      <c r="J4725" s="132"/>
      <c r="K4725" s="131"/>
    </row>
    <row r="4726" spans="7:11" x14ac:dyDescent="0.2">
      <c r="G4726" s="131"/>
      <c r="H4726" s="131"/>
      <c r="I4726" s="131"/>
      <c r="J4726" s="132"/>
      <c r="K4726" s="131"/>
    </row>
    <row r="4727" spans="7:11" x14ac:dyDescent="0.2">
      <c r="G4727" s="131"/>
      <c r="H4727" s="131"/>
      <c r="I4727" s="131"/>
      <c r="J4727" s="132"/>
      <c r="K4727" s="131"/>
    </row>
    <row r="4728" spans="7:11" x14ac:dyDescent="0.2">
      <c r="G4728" s="131"/>
      <c r="H4728" s="131"/>
      <c r="I4728" s="131"/>
      <c r="J4728" s="132"/>
      <c r="K4728" s="131"/>
    </row>
    <row r="4729" spans="7:11" x14ac:dyDescent="0.2">
      <c r="G4729" s="131"/>
      <c r="H4729" s="131"/>
      <c r="I4729" s="131"/>
      <c r="J4729" s="132"/>
      <c r="K4729" s="131"/>
    </row>
    <row r="4730" spans="7:11" x14ac:dyDescent="0.2">
      <c r="G4730" s="131"/>
      <c r="H4730" s="131"/>
      <c r="I4730" s="131"/>
      <c r="J4730" s="132"/>
      <c r="K4730" s="131"/>
    </row>
    <row r="4731" spans="7:11" x14ac:dyDescent="0.2">
      <c r="G4731" s="131"/>
      <c r="H4731" s="131"/>
      <c r="I4731" s="131"/>
      <c r="J4731" s="132"/>
      <c r="K4731" s="131"/>
    </row>
    <row r="4732" spans="7:11" x14ac:dyDescent="0.2">
      <c r="G4732" s="131"/>
      <c r="H4732" s="131"/>
      <c r="I4732" s="131"/>
      <c r="J4732" s="132"/>
      <c r="K4732" s="131"/>
    </row>
    <row r="4733" spans="7:11" x14ac:dyDescent="0.2">
      <c r="G4733" s="131"/>
      <c r="H4733" s="131"/>
      <c r="I4733" s="131"/>
      <c r="J4733" s="132"/>
      <c r="K4733" s="131"/>
    </row>
    <row r="4734" spans="7:11" x14ac:dyDescent="0.2">
      <c r="G4734" s="131"/>
      <c r="H4734" s="131"/>
      <c r="I4734" s="131"/>
      <c r="J4734" s="132"/>
      <c r="K4734" s="131"/>
    </row>
    <row r="4735" spans="7:11" x14ac:dyDescent="0.2">
      <c r="G4735" s="131"/>
      <c r="H4735" s="131"/>
      <c r="I4735" s="131"/>
      <c r="J4735" s="132"/>
      <c r="K4735" s="131"/>
    </row>
    <row r="4736" spans="7:11" x14ac:dyDescent="0.2">
      <c r="G4736" s="131"/>
      <c r="H4736" s="131"/>
      <c r="I4736" s="131"/>
      <c r="J4736" s="132"/>
      <c r="K4736" s="131"/>
    </row>
    <row r="4737" spans="7:11" x14ac:dyDescent="0.2">
      <c r="G4737" s="131"/>
      <c r="H4737" s="131"/>
      <c r="I4737" s="131"/>
      <c r="J4737" s="132"/>
      <c r="K4737" s="131"/>
    </row>
    <row r="4738" spans="7:11" x14ac:dyDescent="0.2">
      <c r="G4738" s="131"/>
      <c r="H4738" s="131"/>
      <c r="I4738" s="131"/>
      <c r="J4738" s="132"/>
      <c r="K4738" s="131"/>
    </row>
    <row r="4739" spans="7:11" x14ac:dyDescent="0.2">
      <c r="G4739" s="131"/>
      <c r="H4739" s="131"/>
      <c r="I4739" s="131"/>
      <c r="J4739" s="132"/>
      <c r="K4739" s="131"/>
    </row>
    <row r="4740" spans="7:11" x14ac:dyDescent="0.2">
      <c r="G4740" s="131"/>
      <c r="H4740" s="131"/>
      <c r="I4740" s="131"/>
      <c r="J4740" s="132"/>
      <c r="K4740" s="131"/>
    </row>
    <row r="4741" spans="7:11" x14ac:dyDescent="0.2">
      <c r="G4741" s="131"/>
      <c r="H4741" s="131"/>
      <c r="I4741" s="131"/>
      <c r="J4741" s="132"/>
      <c r="K4741" s="131"/>
    </row>
    <row r="4742" spans="7:11" x14ac:dyDescent="0.2">
      <c r="G4742" s="131"/>
      <c r="H4742" s="131"/>
      <c r="I4742" s="131"/>
      <c r="J4742" s="132"/>
      <c r="K4742" s="131"/>
    </row>
    <row r="4743" spans="7:11" x14ac:dyDescent="0.2">
      <c r="G4743" s="131"/>
      <c r="H4743" s="131"/>
      <c r="I4743" s="131"/>
      <c r="J4743" s="132"/>
      <c r="K4743" s="131"/>
    </row>
    <row r="4744" spans="7:11" x14ac:dyDescent="0.2">
      <c r="G4744" s="131"/>
      <c r="H4744" s="131"/>
      <c r="I4744" s="131"/>
      <c r="J4744" s="132"/>
      <c r="K4744" s="131"/>
    </row>
    <row r="4745" spans="7:11" x14ac:dyDescent="0.2">
      <c r="G4745" s="131"/>
      <c r="H4745" s="131"/>
      <c r="I4745" s="131"/>
      <c r="J4745" s="132"/>
      <c r="K4745" s="131"/>
    </row>
    <row r="4746" spans="7:11" x14ac:dyDescent="0.2">
      <c r="G4746" s="131"/>
      <c r="H4746" s="131"/>
      <c r="I4746" s="131"/>
      <c r="J4746" s="132"/>
      <c r="K4746" s="131"/>
    </row>
    <row r="4747" spans="7:11" x14ac:dyDescent="0.2">
      <c r="G4747" s="131"/>
      <c r="H4747" s="131"/>
      <c r="I4747" s="131"/>
      <c r="J4747" s="132"/>
      <c r="K4747" s="131"/>
    </row>
    <row r="4748" spans="7:11" x14ac:dyDescent="0.2">
      <c r="G4748" s="131"/>
      <c r="H4748" s="131"/>
      <c r="I4748" s="131"/>
      <c r="J4748" s="132"/>
      <c r="K4748" s="131"/>
    </row>
    <row r="4749" spans="7:11" x14ac:dyDescent="0.2">
      <c r="G4749" s="131"/>
      <c r="H4749" s="131"/>
      <c r="I4749" s="131"/>
      <c r="J4749" s="132"/>
      <c r="K4749" s="131"/>
    </row>
    <row r="4750" spans="7:11" x14ac:dyDescent="0.2">
      <c r="G4750" s="131"/>
      <c r="H4750" s="131"/>
      <c r="I4750" s="131"/>
      <c r="J4750" s="132"/>
      <c r="K4750" s="131"/>
    </row>
    <row r="4751" spans="7:11" x14ac:dyDescent="0.2">
      <c r="G4751" s="131"/>
      <c r="H4751" s="131"/>
      <c r="I4751" s="131"/>
      <c r="J4751" s="132"/>
      <c r="K4751" s="131"/>
    </row>
    <row r="4752" spans="7:11" x14ac:dyDescent="0.2">
      <c r="G4752" s="131"/>
      <c r="H4752" s="131"/>
      <c r="I4752" s="131"/>
      <c r="J4752" s="132"/>
      <c r="K4752" s="131"/>
    </row>
    <row r="4753" spans="7:11" x14ac:dyDescent="0.2">
      <c r="G4753" s="131"/>
      <c r="H4753" s="131"/>
      <c r="I4753" s="131"/>
      <c r="J4753" s="132"/>
      <c r="K4753" s="131"/>
    </row>
    <row r="4754" spans="7:11" x14ac:dyDescent="0.2">
      <c r="G4754" s="131"/>
      <c r="H4754" s="131"/>
      <c r="I4754" s="131"/>
      <c r="J4754" s="132"/>
      <c r="K4754" s="131"/>
    </row>
    <row r="4755" spans="7:11" x14ac:dyDescent="0.2">
      <c r="G4755" s="131"/>
      <c r="H4755" s="131"/>
      <c r="I4755" s="131"/>
      <c r="J4755" s="132"/>
      <c r="K4755" s="131"/>
    </row>
    <row r="4756" spans="7:11" x14ac:dyDescent="0.2">
      <c r="G4756" s="131"/>
      <c r="H4756" s="131"/>
      <c r="I4756" s="131"/>
      <c r="J4756" s="132"/>
      <c r="K4756" s="131"/>
    </row>
    <row r="4757" spans="7:11" x14ac:dyDescent="0.2">
      <c r="G4757" s="131"/>
      <c r="H4757" s="131"/>
      <c r="I4757" s="131"/>
      <c r="J4757" s="132"/>
      <c r="K4757" s="131"/>
    </row>
    <row r="4758" spans="7:11" x14ac:dyDescent="0.2">
      <c r="G4758" s="131"/>
      <c r="H4758" s="131"/>
      <c r="I4758" s="131"/>
      <c r="J4758" s="132"/>
      <c r="K4758" s="131"/>
    </row>
    <row r="4759" spans="7:11" x14ac:dyDescent="0.2">
      <c r="G4759" s="131"/>
      <c r="H4759" s="131"/>
      <c r="I4759" s="131"/>
      <c r="J4759" s="132"/>
      <c r="K4759" s="131"/>
    </row>
    <row r="4760" spans="7:11" x14ac:dyDescent="0.2">
      <c r="G4760" s="131"/>
      <c r="H4760" s="131"/>
      <c r="I4760" s="131"/>
      <c r="J4760" s="132"/>
      <c r="K4760" s="131"/>
    </row>
    <row r="4761" spans="7:11" x14ac:dyDescent="0.2">
      <c r="G4761" s="131"/>
      <c r="H4761" s="131"/>
      <c r="I4761" s="131"/>
      <c r="J4761" s="132"/>
      <c r="K4761" s="131"/>
    </row>
    <row r="4762" spans="7:11" x14ac:dyDescent="0.2">
      <c r="G4762" s="131"/>
      <c r="H4762" s="131"/>
      <c r="I4762" s="131"/>
      <c r="J4762" s="132"/>
      <c r="K4762" s="131"/>
    </row>
    <row r="4763" spans="7:11" x14ac:dyDescent="0.2">
      <c r="G4763" s="131"/>
      <c r="H4763" s="131"/>
      <c r="I4763" s="131"/>
      <c r="J4763" s="132"/>
      <c r="K4763" s="131"/>
    </row>
    <row r="4764" spans="7:11" x14ac:dyDescent="0.2">
      <c r="G4764" s="131"/>
      <c r="H4764" s="131"/>
      <c r="I4764" s="131"/>
      <c r="J4764" s="132"/>
      <c r="K4764" s="131"/>
    </row>
    <row r="4765" spans="7:11" x14ac:dyDescent="0.2">
      <c r="G4765" s="131"/>
      <c r="H4765" s="131"/>
      <c r="I4765" s="131"/>
      <c r="J4765" s="132"/>
      <c r="K4765" s="131"/>
    </row>
    <row r="4766" spans="7:11" x14ac:dyDescent="0.2">
      <c r="G4766" s="131"/>
      <c r="H4766" s="131"/>
      <c r="I4766" s="131"/>
      <c r="J4766" s="132"/>
      <c r="K4766" s="131"/>
    </row>
    <row r="4767" spans="7:11" x14ac:dyDescent="0.2">
      <c r="G4767" s="131"/>
      <c r="H4767" s="131"/>
      <c r="I4767" s="131"/>
      <c r="J4767" s="132"/>
      <c r="K4767" s="131"/>
    </row>
    <row r="4768" spans="7:11" x14ac:dyDescent="0.2">
      <c r="G4768" s="131"/>
      <c r="H4768" s="131"/>
      <c r="I4768" s="131"/>
      <c r="J4768" s="132"/>
      <c r="K4768" s="131"/>
    </row>
    <row r="4769" spans="7:11" x14ac:dyDescent="0.2">
      <c r="G4769" s="131"/>
      <c r="H4769" s="131"/>
      <c r="I4769" s="131"/>
      <c r="J4769" s="132"/>
      <c r="K4769" s="131"/>
    </row>
    <row r="4770" spans="7:11" x14ac:dyDescent="0.2">
      <c r="G4770" s="131"/>
      <c r="H4770" s="131"/>
      <c r="I4770" s="131"/>
      <c r="J4770" s="132"/>
      <c r="K4770" s="131"/>
    </row>
    <row r="4771" spans="7:11" x14ac:dyDescent="0.2">
      <c r="G4771" s="131"/>
      <c r="H4771" s="131"/>
      <c r="I4771" s="131"/>
      <c r="J4771" s="132"/>
      <c r="K4771" s="131"/>
    </row>
    <row r="4772" spans="7:11" x14ac:dyDescent="0.2">
      <c r="G4772" s="131"/>
      <c r="H4772" s="131"/>
      <c r="I4772" s="131"/>
      <c r="J4772" s="132"/>
      <c r="K4772" s="131"/>
    </row>
    <row r="4773" spans="7:11" x14ac:dyDescent="0.2">
      <c r="G4773" s="131"/>
      <c r="H4773" s="131"/>
      <c r="I4773" s="131"/>
      <c r="J4773" s="132"/>
      <c r="K4773" s="131"/>
    </row>
    <row r="4774" spans="7:11" x14ac:dyDescent="0.2">
      <c r="G4774" s="131"/>
      <c r="H4774" s="131"/>
      <c r="I4774" s="131"/>
      <c r="J4774" s="132"/>
      <c r="K4774" s="131"/>
    </row>
    <row r="4775" spans="7:11" x14ac:dyDescent="0.2">
      <c r="G4775" s="131"/>
      <c r="H4775" s="131"/>
      <c r="I4775" s="131"/>
      <c r="J4775" s="132"/>
      <c r="K4775" s="131"/>
    </row>
    <row r="4776" spans="7:11" x14ac:dyDescent="0.2">
      <c r="G4776" s="131"/>
      <c r="H4776" s="131"/>
      <c r="I4776" s="131"/>
      <c r="J4776" s="132"/>
      <c r="K4776" s="131"/>
    </row>
    <row r="4777" spans="7:11" x14ac:dyDescent="0.2">
      <c r="G4777" s="131"/>
      <c r="H4777" s="131"/>
      <c r="I4777" s="131"/>
      <c r="J4777" s="132"/>
      <c r="K4777" s="131"/>
    </row>
    <row r="4778" spans="7:11" x14ac:dyDescent="0.2">
      <c r="G4778" s="131"/>
      <c r="H4778" s="131"/>
      <c r="I4778" s="131"/>
      <c r="J4778" s="132"/>
      <c r="K4778" s="131"/>
    </row>
    <row r="4779" spans="7:11" x14ac:dyDescent="0.2">
      <c r="G4779" s="131"/>
      <c r="H4779" s="131"/>
      <c r="I4779" s="131"/>
      <c r="J4779" s="132"/>
      <c r="K4779" s="131"/>
    </row>
    <row r="4780" spans="7:11" x14ac:dyDescent="0.2">
      <c r="G4780" s="131"/>
      <c r="H4780" s="131"/>
      <c r="I4780" s="131"/>
      <c r="J4780" s="132"/>
      <c r="K4780" s="131"/>
    </row>
    <row r="4781" spans="7:11" x14ac:dyDescent="0.2">
      <c r="G4781" s="131"/>
      <c r="H4781" s="131"/>
      <c r="I4781" s="131"/>
      <c r="J4781" s="132"/>
      <c r="K4781" s="131"/>
    </row>
    <row r="4782" spans="7:11" x14ac:dyDescent="0.2">
      <c r="G4782" s="131"/>
      <c r="H4782" s="131"/>
      <c r="I4782" s="131"/>
      <c r="J4782" s="132"/>
      <c r="K4782" s="131"/>
    </row>
    <row r="4783" spans="7:11" x14ac:dyDescent="0.2">
      <c r="G4783" s="131"/>
      <c r="H4783" s="131"/>
      <c r="I4783" s="131"/>
      <c r="J4783" s="132"/>
      <c r="K4783" s="131"/>
    </row>
    <row r="4784" spans="7:11" x14ac:dyDescent="0.2">
      <c r="G4784" s="131"/>
      <c r="H4784" s="131"/>
      <c r="I4784" s="131"/>
      <c r="J4784" s="132"/>
      <c r="K4784" s="131"/>
    </row>
    <row r="4785" spans="7:11" x14ac:dyDescent="0.2">
      <c r="G4785" s="131"/>
      <c r="H4785" s="131"/>
      <c r="I4785" s="131"/>
      <c r="J4785" s="132"/>
      <c r="K4785" s="131"/>
    </row>
    <row r="4786" spans="7:11" x14ac:dyDescent="0.2">
      <c r="G4786" s="131"/>
      <c r="H4786" s="131"/>
      <c r="I4786" s="131"/>
      <c r="J4786" s="132"/>
      <c r="K4786" s="131"/>
    </row>
    <row r="4787" spans="7:11" x14ac:dyDescent="0.2">
      <c r="G4787" s="131"/>
      <c r="H4787" s="131"/>
      <c r="I4787" s="131"/>
      <c r="J4787" s="132"/>
      <c r="K4787" s="131"/>
    </row>
    <row r="4788" spans="7:11" x14ac:dyDescent="0.2">
      <c r="G4788" s="131"/>
      <c r="H4788" s="131"/>
      <c r="I4788" s="131"/>
      <c r="J4788" s="132"/>
      <c r="K4788" s="131"/>
    </row>
    <row r="4789" spans="7:11" x14ac:dyDescent="0.2">
      <c r="G4789" s="131"/>
      <c r="H4789" s="131"/>
      <c r="I4789" s="131"/>
      <c r="J4789" s="132"/>
      <c r="K4789" s="131"/>
    </row>
    <row r="4790" spans="7:11" x14ac:dyDescent="0.2">
      <c r="G4790" s="131"/>
      <c r="H4790" s="131"/>
      <c r="I4790" s="131"/>
      <c r="J4790" s="132"/>
      <c r="K4790" s="131"/>
    </row>
    <row r="4791" spans="7:11" x14ac:dyDescent="0.2">
      <c r="G4791" s="131"/>
      <c r="H4791" s="131"/>
      <c r="I4791" s="131"/>
      <c r="J4791" s="132"/>
      <c r="K4791" s="131"/>
    </row>
    <row r="4792" spans="7:11" x14ac:dyDescent="0.2">
      <c r="G4792" s="131"/>
      <c r="H4792" s="131"/>
      <c r="I4792" s="131"/>
      <c r="J4792" s="132"/>
      <c r="K4792" s="131"/>
    </row>
    <row r="4793" spans="7:11" x14ac:dyDescent="0.2">
      <c r="G4793" s="131"/>
      <c r="H4793" s="131"/>
      <c r="I4793" s="131"/>
      <c r="J4793" s="132"/>
      <c r="K4793" s="131"/>
    </row>
    <row r="4794" spans="7:11" x14ac:dyDescent="0.2">
      <c r="G4794" s="131"/>
      <c r="H4794" s="131"/>
      <c r="I4794" s="131"/>
      <c r="J4794" s="132"/>
      <c r="K4794" s="131"/>
    </row>
    <row r="4795" spans="7:11" x14ac:dyDescent="0.2">
      <c r="G4795" s="131"/>
      <c r="H4795" s="131"/>
      <c r="I4795" s="131"/>
      <c r="J4795" s="132"/>
      <c r="K4795" s="131"/>
    </row>
    <row r="4796" spans="7:11" x14ac:dyDescent="0.2">
      <c r="G4796" s="131"/>
      <c r="H4796" s="131"/>
      <c r="I4796" s="131"/>
      <c r="J4796" s="132"/>
      <c r="K4796" s="131"/>
    </row>
    <row r="4797" spans="7:11" x14ac:dyDescent="0.2">
      <c r="G4797" s="131"/>
      <c r="H4797" s="131"/>
      <c r="I4797" s="131"/>
      <c r="J4797" s="132"/>
      <c r="K4797" s="131"/>
    </row>
    <row r="4798" spans="7:11" x14ac:dyDescent="0.2">
      <c r="G4798" s="131"/>
      <c r="H4798" s="131"/>
      <c r="I4798" s="131"/>
      <c r="J4798" s="132"/>
      <c r="K4798" s="131"/>
    </row>
    <row r="4799" spans="7:11" x14ac:dyDescent="0.2">
      <c r="G4799" s="131"/>
      <c r="H4799" s="131"/>
      <c r="I4799" s="131"/>
      <c r="J4799" s="132"/>
      <c r="K4799" s="131"/>
    </row>
    <row r="4800" spans="7:11" x14ac:dyDescent="0.2">
      <c r="G4800" s="131"/>
      <c r="H4800" s="131"/>
      <c r="I4800" s="131"/>
      <c r="J4800" s="132"/>
      <c r="K4800" s="131"/>
    </row>
    <row r="4801" spans="7:11" x14ac:dyDescent="0.2">
      <c r="G4801" s="131"/>
      <c r="H4801" s="131"/>
      <c r="I4801" s="131"/>
      <c r="J4801" s="132"/>
      <c r="K4801" s="131"/>
    </row>
    <row r="4802" spans="7:11" x14ac:dyDescent="0.2">
      <c r="G4802" s="131"/>
      <c r="H4802" s="131"/>
      <c r="I4802" s="131"/>
      <c r="J4802" s="132"/>
      <c r="K4802" s="131"/>
    </row>
    <row r="4803" spans="7:11" x14ac:dyDescent="0.2">
      <c r="G4803" s="131"/>
      <c r="H4803" s="131"/>
      <c r="I4803" s="131"/>
      <c r="J4803" s="132"/>
      <c r="K4803" s="131"/>
    </row>
    <row r="4804" spans="7:11" x14ac:dyDescent="0.2">
      <c r="G4804" s="131"/>
      <c r="H4804" s="131"/>
      <c r="I4804" s="131"/>
      <c r="J4804" s="132"/>
      <c r="K4804" s="131"/>
    </row>
    <row r="4805" spans="7:11" x14ac:dyDescent="0.2">
      <c r="G4805" s="131"/>
      <c r="H4805" s="131"/>
      <c r="I4805" s="131"/>
      <c r="J4805" s="132"/>
      <c r="K4805" s="131"/>
    </row>
    <row r="4806" spans="7:11" x14ac:dyDescent="0.2">
      <c r="G4806" s="131"/>
      <c r="H4806" s="131"/>
      <c r="I4806" s="131"/>
      <c r="J4806" s="132"/>
      <c r="K4806" s="131"/>
    </row>
    <row r="4807" spans="7:11" x14ac:dyDescent="0.2">
      <c r="G4807" s="131"/>
      <c r="H4807" s="131"/>
      <c r="I4807" s="131"/>
      <c r="J4807" s="132"/>
      <c r="K4807" s="131"/>
    </row>
    <row r="4808" spans="7:11" x14ac:dyDescent="0.2">
      <c r="G4808" s="131"/>
      <c r="H4808" s="131"/>
      <c r="I4808" s="131"/>
      <c r="J4808" s="132"/>
      <c r="K4808" s="131"/>
    </row>
    <row r="4809" spans="7:11" x14ac:dyDescent="0.2">
      <c r="G4809" s="131"/>
      <c r="H4809" s="131"/>
      <c r="I4809" s="131"/>
      <c r="J4809" s="132"/>
      <c r="K4809" s="131"/>
    </row>
    <row r="4810" spans="7:11" x14ac:dyDescent="0.2">
      <c r="G4810" s="131"/>
      <c r="H4810" s="131"/>
      <c r="I4810" s="131"/>
      <c r="J4810" s="132"/>
      <c r="K4810" s="131"/>
    </row>
    <row r="4811" spans="7:11" x14ac:dyDescent="0.2">
      <c r="G4811" s="131"/>
      <c r="H4811" s="131"/>
      <c r="I4811" s="131"/>
      <c r="J4811" s="132"/>
      <c r="K4811" s="131"/>
    </row>
    <row r="4812" spans="7:11" x14ac:dyDescent="0.2">
      <c r="G4812" s="131"/>
      <c r="H4812" s="131"/>
      <c r="I4812" s="131"/>
      <c r="J4812" s="132"/>
      <c r="K4812" s="131"/>
    </row>
    <row r="4813" spans="7:11" x14ac:dyDescent="0.2">
      <c r="G4813" s="131"/>
      <c r="H4813" s="131"/>
      <c r="I4813" s="131"/>
      <c r="J4813" s="132"/>
      <c r="K4813" s="131"/>
    </row>
    <row r="4814" spans="7:11" x14ac:dyDescent="0.2">
      <c r="G4814" s="131"/>
      <c r="H4814" s="131"/>
      <c r="I4814" s="131"/>
      <c r="J4814" s="132"/>
      <c r="K4814" s="131"/>
    </row>
    <row r="4815" spans="7:11" x14ac:dyDescent="0.2">
      <c r="G4815" s="131"/>
      <c r="H4815" s="131"/>
      <c r="I4815" s="131"/>
      <c r="J4815" s="132"/>
      <c r="K4815" s="131"/>
    </row>
    <row r="4816" spans="7:11" x14ac:dyDescent="0.2">
      <c r="G4816" s="131"/>
      <c r="H4816" s="131"/>
      <c r="I4816" s="131"/>
      <c r="J4816" s="132"/>
      <c r="K4816" s="131"/>
    </row>
    <row r="4817" spans="7:11" x14ac:dyDescent="0.2">
      <c r="G4817" s="131"/>
      <c r="H4817" s="131"/>
      <c r="I4817" s="131"/>
      <c r="J4817" s="132"/>
      <c r="K4817" s="131"/>
    </row>
    <row r="4818" spans="7:11" x14ac:dyDescent="0.2">
      <c r="G4818" s="131"/>
      <c r="H4818" s="131"/>
      <c r="I4818" s="131"/>
      <c r="J4818" s="132"/>
      <c r="K4818" s="131"/>
    </row>
    <row r="4819" spans="7:11" x14ac:dyDescent="0.2">
      <c r="G4819" s="131"/>
      <c r="H4819" s="131"/>
      <c r="I4819" s="131"/>
      <c r="J4819" s="132"/>
      <c r="K4819" s="131"/>
    </row>
    <row r="4820" spans="7:11" x14ac:dyDescent="0.2">
      <c r="G4820" s="131"/>
      <c r="H4820" s="131"/>
      <c r="I4820" s="131"/>
      <c r="J4820" s="132"/>
      <c r="K4820" s="131"/>
    </row>
    <row r="4821" spans="7:11" x14ac:dyDescent="0.2">
      <c r="G4821" s="131"/>
      <c r="H4821" s="131"/>
      <c r="I4821" s="131"/>
      <c r="J4821" s="132"/>
      <c r="K4821" s="131"/>
    </row>
    <row r="4822" spans="7:11" x14ac:dyDescent="0.2">
      <c r="G4822" s="131"/>
      <c r="H4822" s="131"/>
      <c r="I4822" s="131"/>
      <c r="J4822" s="132"/>
      <c r="K4822" s="131"/>
    </row>
    <row r="4823" spans="7:11" x14ac:dyDescent="0.2">
      <c r="G4823" s="131"/>
      <c r="H4823" s="131"/>
      <c r="I4823" s="131"/>
      <c r="J4823" s="132"/>
      <c r="K4823" s="131"/>
    </row>
    <row r="4824" spans="7:11" x14ac:dyDescent="0.2">
      <c r="G4824" s="131"/>
      <c r="H4824" s="131"/>
      <c r="I4824" s="131"/>
      <c r="J4824" s="132"/>
      <c r="K4824" s="131"/>
    </row>
    <row r="4825" spans="7:11" x14ac:dyDescent="0.2">
      <c r="G4825" s="131"/>
      <c r="H4825" s="131"/>
      <c r="I4825" s="131"/>
      <c r="J4825" s="132"/>
      <c r="K4825" s="131"/>
    </row>
    <row r="4826" spans="7:11" x14ac:dyDescent="0.2">
      <c r="G4826" s="131"/>
      <c r="H4826" s="131"/>
      <c r="I4826" s="131"/>
      <c r="J4826" s="132"/>
      <c r="K4826" s="131"/>
    </row>
    <row r="4827" spans="7:11" x14ac:dyDescent="0.2">
      <c r="G4827" s="131"/>
      <c r="H4827" s="131"/>
      <c r="I4827" s="131"/>
      <c r="J4827" s="132"/>
      <c r="K4827" s="131"/>
    </row>
    <row r="4828" spans="7:11" x14ac:dyDescent="0.2">
      <c r="G4828" s="131"/>
      <c r="H4828" s="131"/>
      <c r="I4828" s="131"/>
      <c r="J4828" s="132"/>
      <c r="K4828" s="131"/>
    </row>
    <row r="4829" spans="7:11" x14ac:dyDescent="0.2">
      <c r="G4829" s="131"/>
      <c r="H4829" s="131"/>
      <c r="I4829" s="131"/>
      <c r="J4829" s="132"/>
      <c r="K4829" s="131"/>
    </row>
    <row r="4830" spans="7:11" x14ac:dyDescent="0.2">
      <c r="G4830" s="131"/>
      <c r="H4830" s="131"/>
      <c r="I4830" s="131"/>
      <c r="J4830" s="132"/>
      <c r="K4830" s="131"/>
    </row>
    <row r="4831" spans="7:11" x14ac:dyDescent="0.2">
      <c r="G4831" s="131"/>
      <c r="H4831" s="131"/>
      <c r="I4831" s="131"/>
      <c r="J4831" s="132"/>
      <c r="K4831" s="131"/>
    </row>
    <row r="4832" spans="7:11" x14ac:dyDescent="0.2">
      <c r="G4832" s="131"/>
      <c r="H4832" s="131"/>
      <c r="I4832" s="131"/>
      <c r="J4832" s="132"/>
      <c r="K4832" s="131"/>
    </row>
    <row r="4833" spans="7:11" x14ac:dyDescent="0.2">
      <c r="G4833" s="131"/>
      <c r="H4833" s="131"/>
      <c r="I4833" s="131"/>
      <c r="J4833" s="132"/>
      <c r="K4833" s="131"/>
    </row>
    <row r="4834" spans="7:11" x14ac:dyDescent="0.2">
      <c r="G4834" s="131"/>
      <c r="H4834" s="131"/>
      <c r="I4834" s="131"/>
      <c r="J4834" s="132"/>
      <c r="K4834" s="131"/>
    </row>
    <row r="4835" spans="7:11" x14ac:dyDescent="0.2">
      <c r="G4835" s="131"/>
      <c r="H4835" s="131"/>
      <c r="I4835" s="131"/>
      <c r="J4835" s="132"/>
      <c r="K4835" s="131"/>
    </row>
    <row r="4836" spans="7:11" x14ac:dyDescent="0.2">
      <c r="G4836" s="131"/>
      <c r="H4836" s="131"/>
      <c r="I4836" s="131"/>
      <c r="J4836" s="132"/>
      <c r="K4836" s="131"/>
    </row>
    <row r="4837" spans="7:11" x14ac:dyDescent="0.2">
      <c r="G4837" s="131"/>
      <c r="H4837" s="131"/>
      <c r="I4837" s="131"/>
      <c r="J4837" s="132"/>
      <c r="K4837" s="131"/>
    </row>
    <row r="4838" spans="7:11" x14ac:dyDescent="0.2">
      <c r="G4838" s="131"/>
      <c r="H4838" s="131"/>
      <c r="I4838" s="131"/>
      <c r="J4838" s="132"/>
      <c r="K4838" s="131"/>
    </row>
    <row r="4839" spans="7:11" x14ac:dyDescent="0.2">
      <c r="G4839" s="131"/>
      <c r="H4839" s="131"/>
      <c r="I4839" s="131"/>
      <c r="J4839" s="132"/>
      <c r="K4839" s="131"/>
    </row>
    <row r="4840" spans="7:11" x14ac:dyDescent="0.2">
      <c r="G4840" s="131"/>
      <c r="H4840" s="131"/>
      <c r="I4840" s="131"/>
      <c r="J4840" s="132"/>
      <c r="K4840" s="131"/>
    </row>
    <row r="4841" spans="7:11" x14ac:dyDescent="0.2">
      <c r="G4841" s="131"/>
      <c r="H4841" s="131"/>
      <c r="I4841" s="131"/>
      <c r="J4841" s="132"/>
      <c r="K4841" s="131"/>
    </row>
    <row r="4842" spans="7:11" x14ac:dyDescent="0.2">
      <c r="G4842" s="131"/>
      <c r="H4842" s="131"/>
      <c r="I4842" s="131"/>
      <c r="J4842" s="132"/>
      <c r="K4842" s="131"/>
    </row>
    <row r="4843" spans="7:11" x14ac:dyDescent="0.2">
      <c r="G4843" s="131"/>
      <c r="H4843" s="131"/>
      <c r="I4843" s="131"/>
      <c r="J4843" s="132"/>
      <c r="K4843" s="131"/>
    </row>
    <row r="4844" spans="7:11" x14ac:dyDescent="0.2">
      <c r="G4844" s="131"/>
      <c r="H4844" s="131"/>
      <c r="I4844" s="131"/>
      <c r="J4844" s="132"/>
      <c r="K4844" s="131"/>
    </row>
    <row r="4845" spans="7:11" x14ac:dyDescent="0.2">
      <c r="G4845" s="131"/>
      <c r="H4845" s="131"/>
      <c r="I4845" s="131"/>
      <c r="J4845" s="132"/>
      <c r="K4845" s="131"/>
    </row>
    <row r="4846" spans="7:11" x14ac:dyDescent="0.2">
      <c r="G4846" s="131"/>
      <c r="H4846" s="131"/>
      <c r="I4846" s="131"/>
      <c r="J4846" s="132"/>
      <c r="K4846" s="131"/>
    </row>
    <row r="4847" spans="7:11" x14ac:dyDescent="0.2">
      <c r="G4847" s="131"/>
      <c r="H4847" s="131"/>
      <c r="I4847" s="131"/>
      <c r="J4847" s="132"/>
      <c r="K4847" s="131"/>
    </row>
    <row r="4848" spans="7:11" x14ac:dyDescent="0.2">
      <c r="G4848" s="131"/>
      <c r="H4848" s="131"/>
      <c r="I4848" s="131"/>
      <c r="J4848" s="132"/>
      <c r="K4848" s="131"/>
    </row>
    <row r="4849" spans="7:11" x14ac:dyDescent="0.2">
      <c r="G4849" s="131"/>
      <c r="H4849" s="131"/>
      <c r="I4849" s="131"/>
      <c r="J4849" s="132"/>
      <c r="K4849" s="131"/>
    </row>
    <row r="4850" spans="7:11" x14ac:dyDescent="0.2">
      <c r="G4850" s="131"/>
      <c r="H4850" s="131"/>
      <c r="I4850" s="131"/>
      <c r="J4850" s="132"/>
      <c r="K4850" s="131"/>
    </row>
    <row r="4851" spans="7:11" x14ac:dyDescent="0.2">
      <c r="G4851" s="131"/>
      <c r="H4851" s="131"/>
      <c r="I4851" s="131"/>
      <c r="J4851" s="132"/>
      <c r="K4851" s="131"/>
    </row>
    <row r="4852" spans="7:11" x14ac:dyDescent="0.2">
      <c r="G4852" s="131"/>
      <c r="H4852" s="131"/>
      <c r="I4852" s="131"/>
      <c r="J4852" s="132"/>
      <c r="K4852" s="131"/>
    </row>
    <row r="4853" spans="7:11" x14ac:dyDescent="0.2">
      <c r="G4853" s="131"/>
      <c r="H4853" s="131"/>
      <c r="I4853" s="131"/>
      <c r="J4853" s="132"/>
      <c r="K4853" s="131"/>
    </row>
    <row r="4854" spans="7:11" x14ac:dyDescent="0.2">
      <c r="G4854" s="131"/>
      <c r="H4854" s="131"/>
      <c r="I4854" s="131"/>
      <c r="J4854" s="132"/>
      <c r="K4854" s="131"/>
    </row>
    <row r="4855" spans="7:11" x14ac:dyDescent="0.2">
      <c r="G4855" s="131"/>
      <c r="H4855" s="131"/>
      <c r="I4855" s="131"/>
      <c r="J4855" s="132"/>
      <c r="K4855" s="131"/>
    </row>
    <row r="4856" spans="7:11" x14ac:dyDescent="0.2">
      <c r="G4856" s="131"/>
      <c r="H4856" s="131"/>
      <c r="I4856" s="131"/>
      <c r="J4856" s="132"/>
      <c r="K4856" s="131"/>
    </row>
    <row r="4857" spans="7:11" x14ac:dyDescent="0.2">
      <c r="G4857" s="131"/>
      <c r="H4857" s="131"/>
      <c r="I4857" s="131"/>
      <c r="J4857" s="132"/>
      <c r="K4857" s="131"/>
    </row>
    <row r="4858" spans="7:11" x14ac:dyDescent="0.2">
      <c r="G4858" s="131"/>
      <c r="H4858" s="131"/>
      <c r="I4858" s="131"/>
      <c r="J4858" s="132"/>
      <c r="K4858" s="131"/>
    </row>
    <row r="4859" spans="7:11" x14ac:dyDescent="0.2">
      <c r="G4859" s="131"/>
      <c r="H4859" s="131"/>
      <c r="I4859" s="131"/>
      <c r="J4859" s="132"/>
      <c r="K4859" s="131"/>
    </row>
    <row r="4860" spans="7:11" x14ac:dyDescent="0.2">
      <c r="G4860" s="131"/>
      <c r="H4860" s="131"/>
      <c r="I4860" s="131"/>
      <c r="J4860" s="132"/>
      <c r="K4860" s="131"/>
    </row>
    <row r="4861" spans="7:11" x14ac:dyDescent="0.2">
      <c r="G4861" s="131"/>
      <c r="H4861" s="131"/>
      <c r="I4861" s="131"/>
      <c r="J4861" s="132"/>
      <c r="K4861" s="131"/>
    </row>
    <row r="4862" spans="7:11" x14ac:dyDescent="0.2">
      <c r="G4862" s="131"/>
      <c r="H4862" s="131"/>
      <c r="I4862" s="131"/>
      <c r="J4862" s="132"/>
      <c r="K4862" s="131"/>
    </row>
    <row r="4863" spans="7:11" x14ac:dyDescent="0.2">
      <c r="G4863" s="131"/>
      <c r="H4863" s="131"/>
      <c r="I4863" s="131"/>
      <c r="J4863" s="132"/>
      <c r="K4863" s="131"/>
    </row>
    <row r="4864" spans="7:11" x14ac:dyDescent="0.2">
      <c r="G4864" s="131"/>
      <c r="H4864" s="131"/>
      <c r="I4864" s="131"/>
      <c r="J4864" s="132"/>
      <c r="K4864" s="131"/>
    </row>
    <row r="4865" spans="7:11" x14ac:dyDescent="0.2">
      <c r="G4865" s="131"/>
      <c r="H4865" s="131"/>
      <c r="I4865" s="131"/>
      <c r="J4865" s="132"/>
      <c r="K4865" s="131"/>
    </row>
    <row r="4866" spans="7:11" x14ac:dyDescent="0.2">
      <c r="G4866" s="131"/>
      <c r="H4866" s="131"/>
      <c r="I4866" s="131"/>
      <c r="J4866" s="132"/>
      <c r="K4866" s="131"/>
    </row>
    <row r="4867" spans="7:11" x14ac:dyDescent="0.2">
      <c r="G4867" s="131"/>
      <c r="H4867" s="131"/>
      <c r="I4867" s="131"/>
      <c r="J4867" s="132"/>
      <c r="K4867" s="131"/>
    </row>
    <row r="4868" spans="7:11" x14ac:dyDescent="0.2">
      <c r="G4868" s="131"/>
      <c r="H4868" s="131"/>
      <c r="I4868" s="131"/>
      <c r="J4868" s="132"/>
      <c r="K4868" s="131"/>
    </row>
    <row r="4869" spans="7:11" x14ac:dyDescent="0.2">
      <c r="G4869" s="131"/>
      <c r="H4869" s="131"/>
      <c r="I4869" s="131"/>
      <c r="J4869" s="132"/>
      <c r="K4869" s="131"/>
    </row>
    <row r="4870" spans="7:11" x14ac:dyDescent="0.2">
      <c r="G4870" s="131"/>
      <c r="H4870" s="131"/>
      <c r="I4870" s="131"/>
      <c r="J4870" s="132"/>
      <c r="K4870" s="131"/>
    </row>
    <row r="4871" spans="7:11" x14ac:dyDescent="0.2">
      <c r="G4871" s="131"/>
      <c r="H4871" s="131"/>
      <c r="I4871" s="131"/>
      <c r="J4871" s="132"/>
      <c r="K4871" s="131"/>
    </row>
    <row r="4872" spans="7:11" x14ac:dyDescent="0.2">
      <c r="G4872" s="131"/>
      <c r="H4872" s="131"/>
      <c r="I4872" s="131"/>
      <c r="J4872" s="132"/>
      <c r="K4872" s="131"/>
    </row>
    <row r="4873" spans="7:11" x14ac:dyDescent="0.2">
      <c r="G4873" s="131"/>
      <c r="H4873" s="131"/>
      <c r="I4873" s="131"/>
      <c r="J4873" s="132"/>
      <c r="K4873" s="131"/>
    </row>
    <row r="4874" spans="7:11" x14ac:dyDescent="0.2">
      <c r="G4874" s="131"/>
      <c r="H4874" s="131"/>
      <c r="I4874" s="131"/>
      <c r="J4874" s="132"/>
      <c r="K4874" s="131"/>
    </row>
    <row r="4875" spans="7:11" x14ac:dyDescent="0.2">
      <c r="G4875" s="131"/>
      <c r="H4875" s="131"/>
      <c r="I4875" s="131"/>
      <c r="J4875" s="132"/>
      <c r="K4875" s="131"/>
    </row>
    <row r="4876" spans="7:11" x14ac:dyDescent="0.2">
      <c r="G4876" s="131"/>
      <c r="H4876" s="131"/>
      <c r="I4876" s="131"/>
      <c r="J4876" s="132"/>
      <c r="K4876" s="131"/>
    </row>
    <row r="4877" spans="7:11" x14ac:dyDescent="0.2">
      <c r="G4877" s="131"/>
      <c r="H4877" s="131"/>
      <c r="I4877" s="131"/>
      <c r="J4877" s="132"/>
      <c r="K4877" s="131"/>
    </row>
    <row r="4878" spans="7:11" x14ac:dyDescent="0.2">
      <c r="G4878" s="131"/>
      <c r="H4878" s="131"/>
      <c r="I4878" s="131"/>
      <c r="J4878" s="132"/>
      <c r="K4878" s="131"/>
    </row>
    <row r="4879" spans="7:11" x14ac:dyDescent="0.2">
      <c r="G4879" s="131"/>
      <c r="H4879" s="131"/>
      <c r="I4879" s="131"/>
      <c r="J4879" s="132"/>
      <c r="K4879" s="131"/>
    </row>
    <row r="4880" spans="7:11" x14ac:dyDescent="0.2">
      <c r="G4880" s="131"/>
      <c r="H4880" s="131"/>
      <c r="I4880" s="131"/>
      <c r="J4880" s="132"/>
      <c r="K4880" s="131"/>
    </row>
    <row r="4881" spans="7:11" x14ac:dyDescent="0.2">
      <c r="G4881" s="131"/>
      <c r="H4881" s="131"/>
      <c r="I4881" s="131"/>
      <c r="J4881" s="132"/>
      <c r="K4881" s="131"/>
    </row>
    <row r="4882" spans="7:11" x14ac:dyDescent="0.2">
      <c r="G4882" s="131"/>
      <c r="H4882" s="131"/>
      <c r="I4882" s="131"/>
      <c r="J4882" s="132"/>
      <c r="K4882" s="131"/>
    </row>
    <row r="4883" spans="7:11" x14ac:dyDescent="0.2">
      <c r="G4883" s="131"/>
      <c r="H4883" s="131"/>
      <c r="I4883" s="131"/>
      <c r="J4883" s="132"/>
      <c r="K4883" s="131"/>
    </row>
    <row r="4884" spans="7:11" x14ac:dyDescent="0.2">
      <c r="G4884" s="131"/>
      <c r="H4884" s="131"/>
      <c r="I4884" s="131"/>
      <c r="J4884" s="132"/>
      <c r="K4884" s="131"/>
    </row>
    <row r="4885" spans="7:11" x14ac:dyDescent="0.2">
      <c r="G4885" s="131"/>
      <c r="H4885" s="131"/>
      <c r="I4885" s="131"/>
      <c r="J4885" s="132"/>
      <c r="K4885" s="131"/>
    </row>
    <row r="4886" spans="7:11" x14ac:dyDescent="0.2">
      <c r="G4886" s="131"/>
      <c r="H4886" s="131"/>
      <c r="I4886" s="131"/>
      <c r="J4886" s="132"/>
      <c r="K4886" s="131"/>
    </row>
    <row r="4887" spans="7:11" x14ac:dyDescent="0.2">
      <c r="G4887" s="131"/>
      <c r="H4887" s="131"/>
      <c r="I4887" s="131"/>
      <c r="J4887" s="132"/>
      <c r="K4887" s="131"/>
    </row>
    <row r="4888" spans="7:11" x14ac:dyDescent="0.2">
      <c r="G4888" s="131"/>
      <c r="H4888" s="131"/>
      <c r="I4888" s="131"/>
      <c r="J4888" s="132"/>
      <c r="K4888" s="131"/>
    </row>
    <row r="4889" spans="7:11" x14ac:dyDescent="0.2">
      <c r="G4889" s="131"/>
      <c r="H4889" s="131"/>
      <c r="I4889" s="131"/>
      <c r="J4889" s="132"/>
      <c r="K4889" s="131"/>
    </row>
    <row r="4890" spans="7:11" x14ac:dyDescent="0.2">
      <c r="G4890" s="131"/>
      <c r="H4890" s="131"/>
      <c r="I4890" s="131"/>
      <c r="J4890" s="132"/>
      <c r="K4890" s="131"/>
    </row>
    <row r="4891" spans="7:11" x14ac:dyDescent="0.2">
      <c r="G4891" s="131"/>
      <c r="H4891" s="131"/>
      <c r="I4891" s="131"/>
      <c r="J4891" s="132"/>
      <c r="K4891" s="131"/>
    </row>
    <row r="4892" spans="7:11" x14ac:dyDescent="0.2">
      <c r="G4892" s="131"/>
      <c r="H4892" s="131"/>
      <c r="I4892" s="131"/>
      <c r="J4892" s="132"/>
      <c r="K4892" s="131"/>
    </row>
    <row r="4893" spans="7:11" x14ac:dyDescent="0.2">
      <c r="G4893" s="131"/>
      <c r="H4893" s="131"/>
      <c r="I4893" s="131"/>
      <c r="J4893" s="132"/>
      <c r="K4893" s="131"/>
    </row>
    <row r="4894" spans="7:11" x14ac:dyDescent="0.2">
      <c r="G4894" s="131"/>
      <c r="H4894" s="131"/>
      <c r="I4894" s="131"/>
      <c r="J4894" s="132"/>
      <c r="K4894" s="131"/>
    </row>
    <row r="4895" spans="7:11" x14ac:dyDescent="0.2">
      <c r="G4895" s="131"/>
      <c r="H4895" s="131"/>
      <c r="I4895" s="131"/>
      <c r="J4895" s="132"/>
      <c r="K4895" s="131"/>
    </row>
    <row r="4896" spans="7:11" x14ac:dyDescent="0.2">
      <c r="G4896" s="131"/>
      <c r="H4896" s="131"/>
      <c r="I4896" s="131"/>
      <c r="J4896" s="132"/>
      <c r="K4896" s="131"/>
    </row>
    <row r="4897" spans="7:11" x14ac:dyDescent="0.2">
      <c r="G4897" s="131"/>
      <c r="H4897" s="131"/>
      <c r="I4897" s="131"/>
      <c r="J4897" s="132"/>
      <c r="K4897" s="131"/>
    </row>
    <row r="4898" spans="7:11" x14ac:dyDescent="0.2">
      <c r="G4898" s="131"/>
      <c r="H4898" s="131"/>
      <c r="I4898" s="131"/>
      <c r="J4898" s="132"/>
      <c r="K4898" s="131"/>
    </row>
    <row r="4899" spans="7:11" x14ac:dyDescent="0.2">
      <c r="G4899" s="131"/>
      <c r="H4899" s="131"/>
      <c r="I4899" s="131"/>
      <c r="J4899" s="132"/>
      <c r="K4899" s="131"/>
    </row>
    <row r="4900" spans="7:11" x14ac:dyDescent="0.2">
      <c r="G4900" s="131"/>
      <c r="H4900" s="131"/>
      <c r="I4900" s="131"/>
      <c r="J4900" s="132"/>
      <c r="K4900" s="131"/>
    </row>
    <row r="4901" spans="7:11" x14ac:dyDescent="0.2">
      <c r="G4901" s="131"/>
      <c r="H4901" s="131"/>
      <c r="I4901" s="131"/>
      <c r="J4901" s="132"/>
      <c r="K4901" s="131"/>
    </row>
    <row r="4902" spans="7:11" x14ac:dyDescent="0.2">
      <c r="G4902" s="131"/>
      <c r="H4902" s="131"/>
      <c r="I4902" s="131"/>
      <c r="J4902" s="132"/>
      <c r="K4902" s="131"/>
    </row>
    <row r="4903" spans="7:11" x14ac:dyDescent="0.2">
      <c r="G4903" s="131"/>
      <c r="H4903" s="131"/>
      <c r="I4903" s="131"/>
      <c r="J4903" s="132"/>
      <c r="K4903" s="131"/>
    </row>
    <row r="4904" spans="7:11" x14ac:dyDescent="0.2">
      <c r="G4904" s="131"/>
      <c r="H4904" s="131"/>
      <c r="I4904" s="131"/>
      <c r="J4904" s="132"/>
      <c r="K4904" s="131"/>
    </row>
    <row r="4905" spans="7:11" x14ac:dyDescent="0.2">
      <c r="G4905" s="131"/>
      <c r="H4905" s="131"/>
      <c r="I4905" s="131"/>
      <c r="J4905" s="132"/>
      <c r="K4905" s="131"/>
    </row>
    <row r="4906" spans="7:11" x14ac:dyDescent="0.2">
      <c r="G4906" s="131"/>
      <c r="H4906" s="131"/>
      <c r="I4906" s="131"/>
      <c r="J4906" s="132"/>
      <c r="K4906" s="131"/>
    </row>
    <row r="4907" spans="7:11" x14ac:dyDescent="0.2">
      <c r="G4907" s="131"/>
      <c r="H4907" s="131"/>
      <c r="I4907" s="131"/>
      <c r="J4907" s="132"/>
      <c r="K4907" s="131"/>
    </row>
    <row r="4908" spans="7:11" x14ac:dyDescent="0.2">
      <c r="G4908" s="131"/>
      <c r="H4908" s="131"/>
      <c r="I4908" s="131"/>
      <c r="J4908" s="132"/>
      <c r="K4908" s="131"/>
    </row>
    <row r="4909" spans="7:11" x14ac:dyDescent="0.2">
      <c r="G4909" s="131"/>
      <c r="H4909" s="131"/>
      <c r="I4909" s="131"/>
      <c r="J4909" s="132"/>
      <c r="K4909" s="131"/>
    </row>
    <row r="4910" spans="7:11" x14ac:dyDescent="0.2">
      <c r="G4910" s="131"/>
      <c r="H4910" s="131"/>
      <c r="I4910" s="131"/>
      <c r="J4910" s="132"/>
      <c r="K4910" s="131"/>
    </row>
    <row r="4911" spans="7:11" x14ac:dyDescent="0.2">
      <c r="G4911" s="131"/>
      <c r="H4911" s="131"/>
      <c r="I4911" s="131"/>
      <c r="J4911" s="132"/>
      <c r="K4911" s="131"/>
    </row>
    <row r="4912" spans="7:11" x14ac:dyDescent="0.2">
      <c r="G4912" s="131"/>
      <c r="H4912" s="131"/>
      <c r="I4912" s="131"/>
      <c r="J4912" s="132"/>
      <c r="K4912" s="131"/>
    </row>
    <row r="4913" spans="7:11" x14ac:dyDescent="0.2">
      <c r="G4913" s="131"/>
      <c r="H4913" s="131"/>
      <c r="I4913" s="131"/>
      <c r="J4913" s="132"/>
      <c r="K4913" s="131"/>
    </row>
    <row r="4914" spans="7:11" x14ac:dyDescent="0.2">
      <c r="G4914" s="131"/>
      <c r="H4914" s="131"/>
      <c r="I4914" s="131"/>
      <c r="J4914" s="132"/>
      <c r="K4914" s="131"/>
    </row>
    <row r="4915" spans="7:11" x14ac:dyDescent="0.2">
      <c r="G4915" s="131"/>
      <c r="H4915" s="131"/>
      <c r="I4915" s="131"/>
      <c r="J4915" s="132"/>
      <c r="K4915" s="131"/>
    </row>
    <row r="4916" spans="7:11" x14ac:dyDescent="0.2">
      <c r="G4916" s="131"/>
      <c r="H4916" s="131"/>
      <c r="I4916" s="131"/>
      <c r="J4916" s="132"/>
      <c r="K4916" s="131"/>
    </row>
    <row r="4917" spans="7:11" x14ac:dyDescent="0.2">
      <c r="G4917" s="131"/>
      <c r="H4917" s="131"/>
      <c r="I4917" s="131"/>
      <c r="J4917" s="132"/>
      <c r="K4917" s="131"/>
    </row>
    <row r="4918" spans="7:11" x14ac:dyDescent="0.2">
      <c r="G4918" s="131"/>
      <c r="H4918" s="131"/>
      <c r="I4918" s="131"/>
      <c r="J4918" s="132"/>
      <c r="K4918" s="131"/>
    </row>
    <row r="4919" spans="7:11" x14ac:dyDescent="0.2">
      <c r="G4919" s="131"/>
      <c r="H4919" s="131"/>
      <c r="I4919" s="131"/>
      <c r="J4919" s="132"/>
      <c r="K4919" s="131"/>
    </row>
    <row r="4920" spans="7:11" x14ac:dyDescent="0.2">
      <c r="G4920" s="131"/>
      <c r="H4920" s="131"/>
      <c r="I4920" s="131"/>
      <c r="J4920" s="132"/>
      <c r="K4920" s="131"/>
    </row>
    <row r="4921" spans="7:11" x14ac:dyDescent="0.2">
      <c r="G4921" s="131"/>
      <c r="H4921" s="131"/>
      <c r="I4921" s="131"/>
      <c r="J4921" s="132"/>
      <c r="K4921" s="131"/>
    </row>
    <row r="4922" spans="7:11" x14ac:dyDescent="0.2">
      <c r="G4922" s="131"/>
      <c r="H4922" s="131"/>
      <c r="I4922" s="131"/>
      <c r="J4922" s="132"/>
      <c r="K4922" s="131"/>
    </row>
    <row r="4923" spans="7:11" x14ac:dyDescent="0.2">
      <c r="G4923" s="131"/>
      <c r="H4923" s="131"/>
      <c r="I4923" s="131"/>
      <c r="J4923" s="132"/>
      <c r="K4923" s="131"/>
    </row>
    <row r="4924" spans="7:11" x14ac:dyDescent="0.2">
      <c r="G4924" s="131"/>
      <c r="H4924" s="131"/>
      <c r="I4924" s="131"/>
      <c r="J4924" s="132"/>
      <c r="K4924" s="131"/>
    </row>
    <row r="4925" spans="7:11" x14ac:dyDescent="0.2">
      <c r="G4925" s="131"/>
      <c r="H4925" s="131"/>
      <c r="I4925" s="131"/>
      <c r="J4925" s="132"/>
      <c r="K4925" s="131"/>
    </row>
    <row r="4926" spans="7:11" x14ac:dyDescent="0.2">
      <c r="G4926" s="131"/>
      <c r="H4926" s="131"/>
      <c r="I4926" s="131"/>
      <c r="J4926" s="132"/>
      <c r="K4926" s="131"/>
    </row>
    <row r="4927" spans="7:11" x14ac:dyDescent="0.2">
      <c r="G4927" s="131"/>
      <c r="H4927" s="131"/>
      <c r="I4927" s="131"/>
      <c r="J4927" s="132"/>
      <c r="K4927" s="131"/>
    </row>
    <row r="4928" spans="7:11" x14ac:dyDescent="0.2">
      <c r="G4928" s="131"/>
      <c r="H4928" s="131"/>
      <c r="I4928" s="131"/>
      <c r="J4928" s="132"/>
      <c r="K4928" s="131"/>
    </row>
    <row r="4929" spans="7:11" x14ac:dyDescent="0.2">
      <c r="G4929" s="131"/>
      <c r="H4929" s="131"/>
      <c r="I4929" s="131"/>
      <c r="J4929" s="132"/>
      <c r="K4929" s="131"/>
    </row>
    <row r="4930" spans="7:11" x14ac:dyDescent="0.2">
      <c r="G4930" s="131"/>
      <c r="H4930" s="131"/>
      <c r="I4930" s="131"/>
      <c r="J4930" s="132"/>
      <c r="K4930" s="131"/>
    </row>
    <row r="4931" spans="7:11" x14ac:dyDescent="0.2">
      <c r="G4931" s="131"/>
      <c r="H4931" s="131"/>
      <c r="I4931" s="131"/>
      <c r="J4931" s="132"/>
      <c r="K4931" s="131"/>
    </row>
    <row r="4932" spans="7:11" x14ac:dyDescent="0.2">
      <c r="G4932" s="131"/>
      <c r="H4932" s="131"/>
      <c r="I4932" s="131"/>
      <c r="J4932" s="132"/>
      <c r="K4932" s="131"/>
    </row>
    <row r="4933" spans="7:11" x14ac:dyDescent="0.2">
      <c r="G4933" s="131"/>
      <c r="H4933" s="131"/>
      <c r="I4933" s="131"/>
      <c r="J4933" s="132"/>
      <c r="K4933" s="131"/>
    </row>
    <row r="4934" spans="7:11" x14ac:dyDescent="0.2">
      <c r="G4934" s="131"/>
      <c r="H4934" s="131"/>
      <c r="I4934" s="131"/>
      <c r="J4934" s="132"/>
      <c r="K4934" s="131"/>
    </row>
    <row r="4935" spans="7:11" x14ac:dyDescent="0.2">
      <c r="G4935" s="131"/>
      <c r="H4935" s="131"/>
      <c r="I4935" s="131"/>
      <c r="J4935" s="132"/>
      <c r="K4935" s="131"/>
    </row>
    <row r="4936" spans="7:11" x14ac:dyDescent="0.2">
      <c r="G4936" s="131"/>
      <c r="H4936" s="131"/>
      <c r="I4936" s="131"/>
      <c r="J4936" s="132"/>
      <c r="K4936" s="131"/>
    </row>
    <row r="4937" spans="7:11" x14ac:dyDescent="0.2">
      <c r="G4937" s="131"/>
      <c r="H4937" s="131"/>
      <c r="I4937" s="131"/>
      <c r="J4937" s="132"/>
      <c r="K4937" s="131"/>
    </row>
    <row r="4938" spans="7:11" x14ac:dyDescent="0.2">
      <c r="G4938" s="131"/>
      <c r="H4938" s="131"/>
      <c r="I4938" s="131"/>
      <c r="J4938" s="132"/>
      <c r="K4938" s="131"/>
    </row>
    <row r="4939" spans="7:11" x14ac:dyDescent="0.2">
      <c r="G4939" s="131"/>
      <c r="H4939" s="131"/>
      <c r="I4939" s="131"/>
      <c r="J4939" s="132"/>
      <c r="K4939" s="131"/>
    </row>
    <row r="4940" spans="7:11" x14ac:dyDescent="0.2">
      <c r="G4940" s="131"/>
      <c r="H4940" s="131"/>
      <c r="I4940" s="131"/>
      <c r="J4940" s="132"/>
      <c r="K4940" s="131"/>
    </row>
    <row r="4941" spans="7:11" x14ac:dyDescent="0.2">
      <c r="G4941" s="131"/>
      <c r="H4941" s="131"/>
      <c r="I4941" s="131"/>
      <c r="J4941" s="132"/>
      <c r="K4941" s="131"/>
    </row>
    <row r="4942" spans="7:11" x14ac:dyDescent="0.2">
      <c r="G4942" s="131"/>
      <c r="H4942" s="131"/>
      <c r="I4942" s="131"/>
      <c r="J4942" s="132"/>
      <c r="K4942" s="131"/>
    </row>
    <row r="4943" spans="7:11" x14ac:dyDescent="0.2">
      <c r="G4943" s="131"/>
      <c r="H4943" s="131"/>
      <c r="I4943" s="131"/>
      <c r="J4943" s="132"/>
      <c r="K4943" s="131"/>
    </row>
    <row r="4944" spans="7:11" x14ac:dyDescent="0.2">
      <c r="G4944" s="131"/>
      <c r="H4944" s="131"/>
      <c r="I4944" s="131"/>
      <c r="J4944" s="132"/>
      <c r="K4944" s="131"/>
    </row>
    <row r="4945" spans="7:11" x14ac:dyDescent="0.2">
      <c r="G4945" s="131"/>
      <c r="H4945" s="131"/>
      <c r="I4945" s="131"/>
      <c r="J4945" s="132"/>
      <c r="K4945" s="131"/>
    </row>
    <row r="4946" spans="7:11" x14ac:dyDescent="0.2">
      <c r="G4946" s="131"/>
      <c r="H4946" s="131"/>
      <c r="I4946" s="131"/>
      <c r="J4946" s="132"/>
      <c r="K4946" s="131"/>
    </row>
    <row r="4947" spans="7:11" x14ac:dyDescent="0.2">
      <c r="G4947" s="131"/>
      <c r="H4947" s="131"/>
      <c r="I4947" s="131"/>
      <c r="J4947" s="132"/>
      <c r="K4947" s="131"/>
    </row>
    <row r="4948" spans="7:11" x14ac:dyDescent="0.2">
      <c r="G4948" s="131"/>
      <c r="H4948" s="131"/>
      <c r="I4948" s="131"/>
      <c r="J4948" s="132"/>
      <c r="K4948" s="131"/>
    </row>
    <row r="4949" spans="7:11" x14ac:dyDescent="0.2">
      <c r="G4949" s="131"/>
      <c r="H4949" s="131"/>
      <c r="I4949" s="131"/>
      <c r="J4949" s="132"/>
      <c r="K4949" s="131"/>
    </row>
    <row r="4950" spans="7:11" x14ac:dyDescent="0.2">
      <c r="G4950" s="131"/>
      <c r="H4950" s="131"/>
      <c r="I4950" s="131"/>
      <c r="J4950" s="132"/>
      <c r="K4950" s="131"/>
    </row>
    <row r="4951" spans="7:11" x14ac:dyDescent="0.2">
      <c r="G4951" s="131"/>
      <c r="H4951" s="131"/>
      <c r="I4951" s="131"/>
      <c r="J4951" s="132"/>
      <c r="K4951" s="131"/>
    </row>
    <row r="4952" spans="7:11" x14ac:dyDescent="0.2">
      <c r="G4952" s="131"/>
      <c r="H4952" s="131"/>
      <c r="I4952" s="131"/>
      <c r="J4952" s="132"/>
      <c r="K4952" s="131"/>
    </row>
    <row r="4953" spans="7:11" x14ac:dyDescent="0.2">
      <c r="G4953" s="131"/>
      <c r="H4953" s="131"/>
      <c r="I4953" s="131"/>
      <c r="J4953" s="132"/>
      <c r="K4953" s="131"/>
    </row>
    <row r="4954" spans="7:11" x14ac:dyDescent="0.2">
      <c r="G4954" s="131"/>
      <c r="H4954" s="131"/>
      <c r="I4954" s="131"/>
      <c r="J4954" s="132"/>
      <c r="K4954" s="131"/>
    </row>
    <row r="4955" spans="7:11" x14ac:dyDescent="0.2">
      <c r="G4955" s="131"/>
      <c r="H4955" s="131"/>
      <c r="I4955" s="131"/>
      <c r="J4955" s="132"/>
      <c r="K4955" s="131"/>
    </row>
    <row r="4956" spans="7:11" x14ac:dyDescent="0.2">
      <c r="G4956" s="131"/>
      <c r="H4956" s="131"/>
      <c r="I4956" s="131"/>
      <c r="J4956" s="132"/>
      <c r="K4956" s="131"/>
    </row>
    <row r="4957" spans="7:11" x14ac:dyDescent="0.2">
      <c r="G4957" s="131"/>
      <c r="H4957" s="131"/>
      <c r="I4957" s="131"/>
      <c r="J4957" s="132"/>
      <c r="K4957" s="131"/>
    </row>
    <row r="4958" spans="7:11" x14ac:dyDescent="0.2">
      <c r="G4958" s="131"/>
      <c r="H4958" s="131"/>
      <c r="I4958" s="131"/>
      <c r="J4958" s="132"/>
      <c r="K4958" s="131"/>
    </row>
    <row r="4959" spans="7:11" x14ac:dyDescent="0.2">
      <c r="G4959" s="131"/>
      <c r="H4959" s="131"/>
      <c r="I4959" s="131"/>
      <c r="J4959" s="132"/>
      <c r="K4959" s="131"/>
    </row>
    <row r="4960" spans="7:11" x14ac:dyDescent="0.2">
      <c r="G4960" s="131"/>
      <c r="H4960" s="131"/>
      <c r="I4960" s="131"/>
      <c r="J4960" s="132"/>
      <c r="K4960" s="131"/>
    </row>
    <row r="4961" spans="7:11" x14ac:dyDescent="0.2">
      <c r="G4961" s="131"/>
      <c r="H4961" s="131"/>
      <c r="I4961" s="131"/>
      <c r="J4961" s="132"/>
      <c r="K4961" s="131"/>
    </row>
    <row r="4962" spans="7:11" x14ac:dyDescent="0.2">
      <c r="G4962" s="131"/>
      <c r="H4962" s="131"/>
      <c r="I4962" s="131"/>
      <c r="J4962" s="132"/>
      <c r="K4962" s="131"/>
    </row>
    <row r="4963" spans="7:11" x14ac:dyDescent="0.2">
      <c r="G4963" s="131"/>
      <c r="H4963" s="131"/>
      <c r="I4963" s="131"/>
      <c r="J4963" s="132"/>
      <c r="K4963" s="131"/>
    </row>
    <row r="4964" spans="7:11" x14ac:dyDescent="0.2">
      <c r="G4964" s="131"/>
      <c r="H4964" s="131"/>
      <c r="I4964" s="131"/>
      <c r="J4964" s="132"/>
      <c r="K4964" s="131"/>
    </row>
    <row r="4965" spans="7:11" x14ac:dyDescent="0.2">
      <c r="G4965" s="131"/>
      <c r="H4965" s="131"/>
      <c r="I4965" s="131"/>
      <c r="J4965" s="132"/>
      <c r="K4965" s="131"/>
    </row>
    <row r="4966" spans="7:11" x14ac:dyDescent="0.2">
      <c r="G4966" s="131"/>
      <c r="H4966" s="131"/>
      <c r="I4966" s="131"/>
      <c r="J4966" s="132"/>
      <c r="K4966" s="131"/>
    </row>
    <row r="4967" spans="7:11" x14ac:dyDescent="0.2">
      <c r="G4967" s="131"/>
      <c r="H4967" s="131"/>
      <c r="I4967" s="131"/>
      <c r="J4967" s="132"/>
      <c r="K4967" s="131"/>
    </row>
    <row r="4968" spans="7:11" x14ac:dyDescent="0.2">
      <c r="G4968" s="131"/>
      <c r="H4968" s="131"/>
      <c r="I4968" s="131"/>
      <c r="J4968" s="132"/>
      <c r="K4968" s="131"/>
    </row>
    <row r="4969" spans="7:11" x14ac:dyDescent="0.2">
      <c r="G4969" s="131"/>
      <c r="H4969" s="131"/>
      <c r="I4969" s="131"/>
      <c r="J4969" s="132"/>
      <c r="K4969" s="131"/>
    </row>
    <row r="4970" spans="7:11" x14ac:dyDescent="0.2">
      <c r="G4970" s="131"/>
      <c r="H4970" s="131"/>
      <c r="I4970" s="131"/>
      <c r="J4970" s="132"/>
      <c r="K4970" s="131"/>
    </row>
    <row r="4971" spans="7:11" x14ac:dyDescent="0.2">
      <c r="G4971" s="131"/>
      <c r="H4971" s="131"/>
      <c r="I4971" s="131"/>
      <c r="J4971" s="132"/>
      <c r="K4971" s="131"/>
    </row>
    <row r="4972" spans="7:11" x14ac:dyDescent="0.2">
      <c r="G4972" s="131"/>
      <c r="H4972" s="131"/>
      <c r="I4972" s="131"/>
      <c r="J4972" s="132"/>
      <c r="K4972" s="131"/>
    </row>
    <row r="4973" spans="7:11" x14ac:dyDescent="0.2">
      <c r="G4973" s="131"/>
      <c r="H4973" s="131"/>
      <c r="I4973" s="131"/>
      <c r="J4973" s="132"/>
      <c r="K4973" s="131"/>
    </row>
    <row r="4974" spans="7:11" x14ac:dyDescent="0.2">
      <c r="G4974" s="131"/>
      <c r="H4974" s="131"/>
      <c r="I4974" s="131"/>
      <c r="J4974" s="132"/>
      <c r="K4974" s="131"/>
    </row>
    <row r="4975" spans="7:11" x14ac:dyDescent="0.2">
      <c r="G4975" s="131"/>
      <c r="H4975" s="131"/>
      <c r="I4975" s="131"/>
      <c r="J4975" s="132"/>
      <c r="K4975" s="131"/>
    </row>
    <row r="4976" spans="7:11" x14ac:dyDescent="0.2">
      <c r="G4976" s="131"/>
      <c r="H4976" s="131"/>
      <c r="I4976" s="131"/>
      <c r="J4976" s="132"/>
      <c r="K4976" s="131"/>
    </row>
    <row r="4977" spans="7:11" x14ac:dyDescent="0.2">
      <c r="G4977" s="131"/>
      <c r="H4977" s="131"/>
      <c r="I4977" s="131"/>
      <c r="J4977" s="132"/>
      <c r="K4977" s="131"/>
    </row>
    <row r="4978" spans="7:11" x14ac:dyDescent="0.2">
      <c r="G4978" s="131"/>
      <c r="H4978" s="131"/>
      <c r="I4978" s="131"/>
      <c r="J4978" s="132"/>
      <c r="K4978" s="131"/>
    </row>
    <row r="4979" spans="7:11" x14ac:dyDescent="0.2">
      <c r="G4979" s="131"/>
      <c r="H4979" s="131"/>
      <c r="I4979" s="131"/>
      <c r="J4979" s="132"/>
      <c r="K4979" s="131"/>
    </row>
    <row r="4980" spans="7:11" x14ac:dyDescent="0.2">
      <c r="G4980" s="131"/>
      <c r="H4980" s="131"/>
      <c r="I4980" s="131"/>
      <c r="J4980" s="132"/>
      <c r="K4980" s="131"/>
    </row>
    <row r="4981" spans="7:11" x14ac:dyDescent="0.2">
      <c r="G4981" s="131"/>
      <c r="H4981" s="131"/>
      <c r="I4981" s="131"/>
      <c r="J4981" s="132"/>
      <c r="K4981" s="131"/>
    </row>
    <row r="4982" spans="7:11" x14ac:dyDescent="0.2">
      <c r="G4982" s="131"/>
      <c r="H4982" s="131"/>
      <c r="I4982" s="131"/>
      <c r="J4982" s="132"/>
      <c r="K4982" s="131"/>
    </row>
    <row r="4983" spans="7:11" x14ac:dyDescent="0.2">
      <c r="G4983" s="131"/>
      <c r="H4983" s="131"/>
      <c r="I4983" s="131"/>
      <c r="J4983" s="132"/>
      <c r="K4983" s="131"/>
    </row>
    <row r="4984" spans="7:11" x14ac:dyDescent="0.2">
      <c r="G4984" s="131"/>
      <c r="H4984" s="131"/>
      <c r="I4984" s="131"/>
      <c r="J4984" s="132"/>
      <c r="K4984" s="131"/>
    </row>
    <row r="4985" spans="7:11" x14ac:dyDescent="0.2">
      <c r="G4985" s="131"/>
      <c r="H4985" s="131"/>
      <c r="I4985" s="131"/>
      <c r="J4985" s="132"/>
      <c r="K4985" s="131"/>
    </row>
    <row r="4986" spans="7:11" x14ac:dyDescent="0.2">
      <c r="G4986" s="131"/>
      <c r="H4986" s="131"/>
      <c r="I4986" s="131"/>
      <c r="J4986" s="132"/>
      <c r="K4986" s="131"/>
    </row>
    <row r="4987" spans="7:11" x14ac:dyDescent="0.2">
      <c r="G4987" s="131"/>
      <c r="H4987" s="131"/>
      <c r="I4987" s="131"/>
      <c r="J4987" s="132"/>
      <c r="K4987" s="131"/>
    </row>
    <row r="4988" spans="7:11" x14ac:dyDescent="0.2">
      <c r="G4988" s="131"/>
      <c r="H4988" s="131"/>
      <c r="I4988" s="131"/>
      <c r="J4988" s="132"/>
      <c r="K4988" s="131"/>
    </row>
    <row r="4989" spans="7:11" x14ac:dyDescent="0.2">
      <c r="G4989" s="131"/>
      <c r="H4989" s="131"/>
      <c r="I4989" s="131"/>
      <c r="J4989" s="132"/>
      <c r="K4989" s="131"/>
    </row>
    <row r="4990" spans="7:11" x14ac:dyDescent="0.2">
      <c r="G4990" s="131"/>
      <c r="H4990" s="131"/>
      <c r="I4990" s="131"/>
      <c r="J4990" s="132"/>
      <c r="K4990" s="131"/>
    </row>
    <row r="4991" spans="7:11" x14ac:dyDescent="0.2">
      <c r="G4991" s="131"/>
      <c r="H4991" s="131"/>
      <c r="I4991" s="131"/>
      <c r="J4991" s="132"/>
      <c r="K4991" s="131"/>
    </row>
    <row r="4992" spans="7:11" x14ac:dyDescent="0.2">
      <c r="G4992" s="131"/>
      <c r="H4992" s="131"/>
      <c r="I4992" s="131"/>
      <c r="J4992" s="132"/>
      <c r="K4992" s="131"/>
    </row>
    <row r="4993" spans="7:11" x14ac:dyDescent="0.2">
      <c r="G4993" s="131"/>
      <c r="H4993" s="131"/>
      <c r="I4993" s="131"/>
      <c r="J4993" s="132"/>
      <c r="K4993" s="131"/>
    </row>
    <row r="4994" spans="7:11" x14ac:dyDescent="0.2">
      <c r="G4994" s="131"/>
      <c r="H4994" s="131"/>
      <c r="I4994" s="131"/>
      <c r="J4994" s="132"/>
      <c r="K4994" s="131"/>
    </row>
    <row r="4995" spans="7:11" x14ac:dyDescent="0.2">
      <c r="G4995" s="131"/>
      <c r="H4995" s="131"/>
      <c r="I4995" s="131"/>
      <c r="J4995" s="132"/>
      <c r="K4995" s="131"/>
    </row>
    <row r="4996" spans="7:11" x14ac:dyDescent="0.2">
      <c r="G4996" s="131"/>
      <c r="H4996" s="131"/>
      <c r="I4996" s="131"/>
      <c r="J4996" s="132"/>
      <c r="K4996" s="131"/>
    </row>
    <row r="4997" spans="7:11" x14ac:dyDescent="0.2">
      <c r="G4997" s="131"/>
      <c r="H4997" s="131"/>
      <c r="I4997" s="131"/>
      <c r="J4997" s="132"/>
      <c r="K4997" s="131"/>
    </row>
    <row r="4998" spans="7:11" x14ac:dyDescent="0.2">
      <c r="G4998" s="131"/>
      <c r="H4998" s="131"/>
      <c r="I4998" s="131"/>
      <c r="J4998" s="132"/>
      <c r="K4998" s="131"/>
    </row>
    <row r="4999" spans="7:11" x14ac:dyDescent="0.2">
      <c r="G4999" s="131"/>
      <c r="H4999" s="131"/>
      <c r="I4999" s="131"/>
      <c r="J4999" s="132"/>
      <c r="K4999" s="131"/>
    </row>
    <row r="5000" spans="7:11" x14ac:dyDescent="0.2">
      <c r="G5000" s="131"/>
      <c r="H5000" s="131"/>
      <c r="I5000" s="131"/>
      <c r="J5000" s="132"/>
      <c r="K5000" s="131"/>
    </row>
    <row r="5001" spans="7:11" x14ac:dyDescent="0.2">
      <c r="G5001" s="131"/>
      <c r="H5001" s="131"/>
      <c r="I5001" s="131"/>
      <c r="J5001" s="132"/>
      <c r="K5001" s="131"/>
    </row>
    <row r="5002" spans="7:11" x14ac:dyDescent="0.2">
      <c r="G5002" s="131"/>
      <c r="H5002" s="131"/>
      <c r="I5002" s="131"/>
      <c r="J5002" s="132"/>
      <c r="K5002" s="131"/>
    </row>
    <row r="5003" spans="7:11" x14ac:dyDescent="0.2">
      <c r="G5003" s="131"/>
      <c r="H5003" s="131"/>
      <c r="I5003" s="131"/>
      <c r="J5003" s="132"/>
      <c r="K5003" s="131"/>
    </row>
    <row r="5004" spans="7:11" x14ac:dyDescent="0.2">
      <c r="G5004" s="131"/>
      <c r="H5004" s="131"/>
      <c r="I5004" s="131"/>
      <c r="J5004" s="132"/>
      <c r="K5004" s="131"/>
    </row>
    <row r="5005" spans="7:11" x14ac:dyDescent="0.2">
      <c r="G5005" s="131"/>
      <c r="H5005" s="131"/>
      <c r="I5005" s="131"/>
      <c r="J5005" s="132"/>
      <c r="K5005" s="131"/>
    </row>
    <row r="5006" spans="7:11" x14ac:dyDescent="0.2">
      <c r="G5006" s="131"/>
      <c r="H5006" s="131"/>
      <c r="I5006" s="131"/>
      <c r="J5006" s="132"/>
      <c r="K5006" s="131"/>
    </row>
    <row r="5007" spans="7:11" x14ac:dyDescent="0.2">
      <c r="G5007" s="131"/>
      <c r="H5007" s="131"/>
      <c r="I5007" s="131"/>
      <c r="J5007" s="132"/>
      <c r="K5007" s="131"/>
    </row>
    <row r="5008" spans="7:11" x14ac:dyDescent="0.2">
      <c r="G5008" s="131"/>
      <c r="H5008" s="131"/>
      <c r="I5008" s="131"/>
      <c r="J5008" s="132"/>
      <c r="K5008" s="131"/>
    </row>
    <row r="5009" spans="7:11" x14ac:dyDescent="0.2">
      <c r="G5009" s="131"/>
      <c r="H5009" s="131"/>
      <c r="I5009" s="131"/>
      <c r="J5009" s="132"/>
      <c r="K5009" s="131"/>
    </row>
    <row r="5010" spans="7:11" x14ac:dyDescent="0.2">
      <c r="G5010" s="131"/>
      <c r="H5010" s="131"/>
      <c r="I5010" s="131"/>
      <c r="J5010" s="132"/>
      <c r="K5010" s="131"/>
    </row>
    <row r="5011" spans="7:11" x14ac:dyDescent="0.2">
      <c r="G5011" s="131"/>
      <c r="H5011" s="131"/>
      <c r="I5011" s="131"/>
      <c r="J5011" s="132"/>
      <c r="K5011" s="131"/>
    </row>
    <row r="5012" spans="7:11" x14ac:dyDescent="0.2">
      <c r="G5012" s="131"/>
      <c r="H5012" s="131"/>
      <c r="I5012" s="131"/>
      <c r="J5012" s="132"/>
      <c r="K5012" s="131"/>
    </row>
    <row r="5013" spans="7:11" x14ac:dyDescent="0.2">
      <c r="G5013" s="131"/>
      <c r="H5013" s="131"/>
      <c r="I5013" s="131"/>
      <c r="J5013" s="132"/>
      <c r="K5013" s="131"/>
    </row>
    <row r="5014" spans="7:11" x14ac:dyDescent="0.2">
      <c r="G5014" s="131"/>
      <c r="H5014" s="131"/>
      <c r="I5014" s="131"/>
      <c r="J5014" s="132"/>
      <c r="K5014" s="131"/>
    </row>
    <row r="5015" spans="7:11" x14ac:dyDescent="0.2">
      <c r="G5015" s="131"/>
      <c r="H5015" s="131"/>
      <c r="I5015" s="131"/>
      <c r="J5015" s="132"/>
      <c r="K5015" s="131"/>
    </row>
    <row r="5016" spans="7:11" x14ac:dyDescent="0.2">
      <c r="G5016" s="131"/>
      <c r="H5016" s="131"/>
      <c r="I5016" s="131"/>
      <c r="J5016" s="132"/>
      <c r="K5016" s="131"/>
    </row>
    <row r="5017" spans="7:11" x14ac:dyDescent="0.2">
      <c r="G5017" s="131"/>
      <c r="H5017" s="131"/>
      <c r="I5017" s="131"/>
      <c r="J5017" s="132"/>
      <c r="K5017" s="131"/>
    </row>
    <row r="5018" spans="7:11" x14ac:dyDescent="0.2">
      <c r="G5018" s="131"/>
      <c r="H5018" s="131"/>
      <c r="I5018" s="131"/>
      <c r="J5018" s="132"/>
      <c r="K5018" s="131"/>
    </row>
    <row r="5019" spans="7:11" x14ac:dyDescent="0.2">
      <c r="G5019" s="131"/>
      <c r="H5019" s="131"/>
      <c r="I5019" s="131"/>
      <c r="J5019" s="132"/>
      <c r="K5019" s="131"/>
    </row>
    <row r="5020" spans="7:11" x14ac:dyDescent="0.2">
      <c r="G5020" s="131"/>
      <c r="H5020" s="131"/>
      <c r="I5020" s="131"/>
      <c r="J5020" s="132"/>
      <c r="K5020" s="131"/>
    </row>
    <row r="5021" spans="7:11" x14ac:dyDescent="0.2">
      <c r="G5021" s="131"/>
      <c r="H5021" s="131"/>
      <c r="I5021" s="131"/>
      <c r="J5021" s="132"/>
      <c r="K5021" s="131"/>
    </row>
    <row r="5022" spans="7:11" x14ac:dyDescent="0.2">
      <c r="G5022" s="131"/>
      <c r="H5022" s="131"/>
      <c r="I5022" s="131"/>
      <c r="J5022" s="132"/>
      <c r="K5022" s="131"/>
    </row>
    <row r="5023" spans="7:11" x14ac:dyDescent="0.2">
      <c r="G5023" s="131"/>
      <c r="H5023" s="131"/>
      <c r="I5023" s="131"/>
      <c r="J5023" s="132"/>
      <c r="K5023" s="131"/>
    </row>
    <row r="5024" spans="7:11" x14ac:dyDescent="0.2">
      <c r="G5024" s="131"/>
      <c r="H5024" s="131"/>
      <c r="I5024" s="131"/>
      <c r="J5024" s="132"/>
      <c r="K5024" s="131"/>
    </row>
    <row r="5025" spans="7:11" x14ac:dyDescent="0.2">
      <c r="G5025" s="131"/>
      <c r="H5025" s="131"/>
      <c r="I5025" s="131"/>
      <c r="J5025" s="132"/>
      <c r="K5025" s="131"/>
    </row>
    <row r="5026" spans="7:11" x14ac:dyDescent="0.2">
      <c r="G5026" s="131"/>
      <c r="H5026" s="131"/>
      <c r="I5026" s="131"/>
      <c r="J5026" s="132"/>
      <c r="K5026" s="131"/>
    </row>
    <row r="5027" spans="7:11" x14ac:dyDescent="0.2">
      <c r="G5027" s="131"/>
      <c r="H5027" s="131"/>
      <c r="I5027" s="131"/>
      <c r="J5027" s="132"/>
      <c r="K5027" s="131"/>
    </row>
    <row r="5028" spans="7:11" x14ac:dyDescent="0.2">
      <c r="G5028" s="131"/>
      <c r="H5028" s="131"/>
      <c r="I5028" s="131"/>
      <c r="J5028" s="132"/>
      <c r="K5028" s="131"/>
    </row>
    <row r="5029" spans="7:11" x14ac:dyDescent="0.2">
      <c r="G5029" s="131"/>
      <c r="H5029" s="131"/>
      <c r="I5029" s="131"/>
      <c r="J5029" s="132"/>
      <c r="K5029" s="131"/>
    </row>
    <row r="5030" spans="7:11" x14ac:dyDescent="0.2">
      <c r="G5030" s="131"/>
      <c r="H5030" s="131"/>
      <c r="I5030" s="131"/>
      <c r="J5030" s="132"/>
      <c r="K5030" s="131"/>
    </row>
    <row r="5031" spans="7:11" x14ac:dyDescent="0.2">
      <c r="G5031" s="131"/>
      <c r="H5031" s="131"/>
      <c r="I5031" s="131"/>
      <c r="J5031" s="132"/>
      <c r="K5031" s="131"/>
    </row>
    <row r="5032" spans="7:11" x14ac:dyDescent="0.2">
      <c r="G5032" s="131"/>
      <c r="H5032" s="131"/>
      <c r="I5032" s="131"/>
      <c r="J5032" s="132"/>
      <c r="K5032" s="131"/>
    </row>
    <row r="5033" spans="7:11" x14ac:dyDescent="0.2">
      <c r="G5033" s="131"/>
      <c r="H5033" s="131"/>
      <c r="I5033" s="131"/>
      <c r="J5033" s="132"/>
      <c r="K5033" s="131"/>
    </row>
    <row r="5034" spans="7:11" x14ac:dyDescent="0.2">
      <c r="G5034" s="131"/>
      <c r="H5034" s="131"/>
      <c r="I5034" s="131"/>
      <c r="J5034" s="132"/>
      <c r="K5034" s="131"/>
    </row>
    <row r="5035" spans="7:11" x14ac:dyDescent="0.2">
      <c r="G5035" s="131"/>
      <c r="H5035" s="131"/>
      <c r="I5035" s="131"/>
      <c r="J5035" s="132"/>
      <c r="K5035" s="131"/>
    </row>
    <row r="5036" spans="7:11" x14ac:dyDescent="0.2">
      <c r="G5036" s="131"/>
      <c r="H5036" s="131"/>
      <c r="I5036" s="131"/>
      <c r="J5036" s="132"/>
      <c r="K5036" s="131"/>
    </row>
    <row r="5037" spans="7:11" x14ac:dyDescent="0.2">
      <c r="G5037" s="131"/>
      <c r="H5037" s="131"/>
      <c r="I5037" s="131"/>
      <c r="J5037" s="132"/>
      <c r="K5037" s="131"/>
    </row>
    <row r="5038" spans="7:11" x14ac:dyDescent="0.2">
      <c r="G5038" s="131"/>
      <c r="H5038" s="131"/>
      <c r="I5038" s="131"/>
      <c r="J5038" s="132"/>
      <c r="K5038" s="131"/>
    </row>
    <row r="5039" spans="7:11" x14ac:dyDescent="0.2">
      <c r="G5039" s="131"/>
      <c r="H5039" s="131"/>
      <c r="I5039" s="131"/>
      <c r="J5039" s="132"/>
      <c r="K5039" s="131"/>
    </row>
    <row r="5040" spans="7:11" x14ac:dyDescent="0.2">
      <c r="G5040" s="131"/>
      <c r="H5040" s="131"/>
      <c r="I5040" s="131"/>
      <c r="J5040" s="132"/>
      <c r="K5040" s="131"/>
    </row>
    <row r="5041" spans="7:11" x14ac:dyDescent="0.2">
      <c r="G5041" s="131"/>
      <c r="H5041" s="131"/>
      <c r="I5041" s="131"/>
      <c r="J5041" s="132"/>
      <c r="K5041" s="131"/>
    </row>
    <row r="5042" spans="7:11" x14ac:dyDescent="0.2">
      <c r="G5042" s="131"/>
      <c r="H5042" s="131"/>
      <c r="I5042" s="131"/>
      <c r="J5042" s="132"/>
      <c r="K5042" s="131"/>
    </row>
    <row r="5043" spans="7:11" x14ac:dyDescent="0.2">
      <c r="G5043" s="131"/>
      <c r="H5043" s="131"/>
      <c r="I5043" s="131"/>
      <c r="J5043" s="132"/>
      <c r="K5043" s="131"/>
    </row>
    <row r="5044" spans="7:11" x14ac:dyDescent="0.2">
      <c r="G5044" s="131"/>
      <c r="H5044" s="131"/>
      <c r="I5044" s="131"/>
      <c r="J5044" s="132"/>
      <c r="K5044" s="131"/>
    </row>
    <row r="5045" spans="7:11" x14ac:dyDescent="0.2">
      <c r="G5045" s="131"/>
      <c r="H5045" s="131"/>
      <c r="I5045" s="131"/>
      <c r="J5045" s="132"/>
      <c r="K5045" s="131"/>
    </row>
    <row r="5046" spans="7:11" x14ac:dyDescent="0.2">
      <c r="G5046" s="131"/>
      <c r="H5046" s="131"/>
      <c r="I5046" s="131"/>
      <c r="J5046" s="132"/>
      <c r="K5046" s="131"/>
    </row>
    <row r="5047" spans="7:11" x14ac:dyDescent="0.2">
      <c r="G5047" s="131"/>
      <c r="H5047" s="131"/>
      <c r="I5047" s="131"/>
      <c r="J5047" s="132"/>
      <c r="K5047" s="131"/>
    </row>
    <row r="5048" spans="7:11" x14ac:dyDescent="0.2">
      <c r="G5048" s="131"/>
      <c r="H5048" s="131"/>
      <c r="I5048" s="131"/>
      <c r="J5048" s="132"/>
      <c r="K5048" s="131"/>
    </row>
    <row r="5049" spans="7:11" x14ac:dyDescent="0.2">
      <c r="G5049" s="131"/>
      <c r="H5049" s="131"/>
      <c r="I5049" s="131"/>
      <c r="J5049" s="132"/>
      <c r="K5049" s="131"/>
    </row>
    <row r="5050" spans="7:11" x14ac:dyDescent="0.2">
      <c r="G5050" s="131"/>
      <c r="H5050" s="131"/>
      <c r="I5050" s="131"/>
      <c r="J5050" s="132"/>
      <c r="K5050" s="131"/>
    </row>
    <row r="5051" spans="7:11" x14ac:dyDescent="0.2">
      <c r="G5051" s="131"/>
      <c r="H5051" s="131"/>
      <c r="I5051" s="131"/>
      <c r="J5051" s="132"/>
      <c r="K5051" s="131"/>
    </row>
    <row r="5052" spans="7:11" x14ac:dyDescent="0.2">
      <c r="G5052" s="131"/>
      <c r="H5052" s="131"/>
      <c r="I5052" s="131"/>
      <c r="J5052" s="132"/>
      <c r="K5052" s="131"/>
    </row>
    <row r="5053" spans="7:11" x14ac:dyDescent="0.2">
      <c r="G5053" s="131"/>
      <c r="H5053" s="131"/>
      <c r="I5053" s="131"/>
      <c r="J5053" s="132"/>
      <c r="K5053" s="131"/>
    </row>
    <row r="5054" spans="7:11" x14ac:dyDescent="0.2">
      <c r="G5054" s="131"/>
      <c r="H5054" s="131"/>
      <c r="I5054" s="131"/>
      <c r="J5054" s="132"/>
      <c r="K5054" s="131"/>
    </row>
    <row r="5055" spans="7:11" x14ac:dyDescent="0.2">
      <c r="G5055" s="131"/>
      <c r="H5055" s="131"/>
      <c r="I5055" s="131"/>
      <c r="J5055" s="132"/>
      <c r="K5055" s="131"/>
    </row>
    <row r="5056" spans="7:11" x14ac:dyDescent="0.2">
      <c r="G5056" s="131"/>
      <c r="H5056" s="131"/>
      <c r="I5056" s="131"/>
      <c r="J5056" s="132"/>
      <c r="K5056" s="131"/>
    </row>
    <row r="5057" spans="7:11" x14ac:dyDescent="0.2">
      <c r="G5057" s="131"/>
      <c r="H5057" s="131"/>
      <c r="I5057" s="131"/>
      <c r="J5057" s="132"/>
      <c r="K5057" s="131"/>
    </row>
    <row r="5058" spans="7:11" x14ac:dyDescent="0.2">
      <c r="G5058" s="131"/>
      <c r="H5058" s="131"/>
      <c r="I5058" s="131"/>
      <c r="J5058" s="132"/>
      <c r="K5058" s="131"/>
    </row>
    <row r="5059" spans="7:11" x14ac:dyDescent="0.2">
      <c r="G5059" s="131"/>
      <c r="H5059" s="131"/>
      <c r="I5059" s="131"/>
      <c r="J5059" s="132"/>
      <c r="K5059" s="131"/>
    </row>
    <row r="5060" spans="7:11" x14ac:dyDescent="0.2">
      <c r="G5060" s="131"/>
      <c r="H5060" s="131"/>
      <c r="I5060" s="131"/>
      <c r="J5060" s="132"/>
      <c r="K5060" s="131"/>
    </row>
    <row r="5061" spans="7:11" x14ac:dyDescent="0.2">
      <c r="G5061" s="131"/>
      <c r="H5061" s="131"/>
      <c r="I5061" s="131"/>
      <c r="J5061" s="132"/>
      <c r="K5061" s="131"/>
    </row>
    <row r="5062" spans="7:11" x14ac:dyDescent="0.2">
      <c r="G5062" s="131"/>
      <c r="H5062" s="131"/>
      <c r="I5062" s="131"/>
      <c r="J5062" s="132"/>
      <c r="K5062" s="131"/>
    </row>
    <row r="5063" spans="7:11" x14ac:dyDescent="0.2">
      <c r="G5063" s="131"/>
      <c r="H5063" s="131"/>
      <c r="I5063" s="131"/>
      <c r="J5063" s="132"/>
      <c r="K5063" s="131"/>
    </row>
    <row r="5064" spans="7:11" x14ac:dyDescent="0.2">
      <c r="G5064" s="131"/>
      <c r="H5064" s="131"/>
      <c r="I5064" s="131"/>
      <c r="J5064" s="132"/>
      <c r="K5064" s="131"/>
    </row>
    <row r="5065" spans="7:11" x14ac:dyDescent="0.2">
      <c r="G5065" s="131"/>
      <c r="H5065" s="131"/>
      <c r="I5065" s="131"/>
      <c r="J5065" s="132"/>
      <c r="K5065" s="131"/>
    </row>
    <row r="5066" spans="7:11" x14ac:dyDescent="0.2">
      <c r="G5066" s="131"/>
      <c r="H5066" s="131"/>
      <c r="I5066" s="131"/>
      <c r="J5066" s="132"/>
      <c r="K5066" s="131"/>
    </row>
    <row r="5067" spans="7:11" x14ac:dyDescent="0.2">
      <c r="G5067" s="131"/>
      <c r="H5067" s="131"/>
      <c r="I5067" s="131"/>
      <c r="J5067" s="132"/>
      <c r="K5067" s="131"/>
    </row>
    <row r="5068" spans="7:11" x14ac:dyDescent="0.2">
      <c r="G5068" s="131"/>
      <c r="H5068" s="131"/>
      <c r="I5068" s="131"/>
      <c r="J5068" s="132"/>
      <c r="K5068" s="131"/>
    </row>
    <row r="5069" spans="7:11" x14ac:dyDescent="0.2">
      <c r="G5069" s="131"/>
      <c r="H5069" s="131"/>
      <c r="I5069" s="131"/>
      <c r="J5069" s="132"/>
      <c r="K5069" s="131"/>
    </row>
    <row r="5070" spans="7:11" x14ac:dyDescent="0.2">
      <c r="G5070" s="131"/>
      <c r="H5070" s="131"/>
      <c r="I5070" s="131"/>
      <c r="J5070" s="132"/>
      <c r="K5070" s="131"/>
    </row>
    <row r="5071" spans="7:11" x14ac:dyDescent="0.2">
      <c r="G5071" s="131"/>
      <c r="H5071" s="131"/>
      <c r="I5071" s="131"/>
      <c r="J5071" s="132"/>
      <c r="K5071" s="131"/>
    </row>
    <row r="5072" spans="7:11" x14ac:dyDescent="0.2">
      <c r="G5072" s="131"/>
      <c r="H5072" s="131"/>
      <c r="I5072" s="131"/>
      <c r="J5072" s="132"/>
      <c r="K5072" s="131"/>
    </row>
    <row r="5073" spans="7:11" x14ac:dyDescent="0.2">
      <c r="G5073" s="131"/>
      <c r="H5073" s="131"/>
      <c r="I5073" s="131"/>
      <c r="J5073" s="132"/>
      <c r="K5073" s="131"/>
    </row>
    <row r="5074" spans="7:11" x14ac:dyDescent="0.2">
      <c r="G5074" s="131"/>
      <c r="H5074" s="131"/>
      <c r="I5074" s="131"/>
      <c r="J5074" s="132"/>
      <c r="K5074" s="131"/>
    </row>
    <row r="5075" spans="7:11" x14ac:dyDescent="0.2">
      <c r="G5075" s="131"/>
      <c r="H5075" s="131"/>
      <c r="I5075" s="131"/>
      <c r="J5075" s="132"/>
      <c r="K5075" s="131"/>
    </row>
    <row r="5076" spans="7:11" x14ac:dyDescent="0.2">
      <c r="G5076" s="131"/>
      <c r="H5076" s="131"/>
      <c r="I5076" s="131"/>
      <c r="J5076" s="132"/>
      <c r="K5076" s="131"/>
    </row>
    <row r="5077" spans="7:11" x14ac:dyDescent="0.2">
      <c r="G5077" s="131"/>
      <c r="H5077" s="131"/>
      <c r="I5077" s="131"/>
      <c r="J5077" s="132"/>
      <c r="K5077" s="131"/>
    </row>
    <row r="5078" spans="7:11" x14ac:dyDescent="0.2">
      <c r="G5078" s="131"/>
      <c r="H5078" s="131"/>
      <c r="I5078" s="131"/>
      <c r="J5078" s="132"/>
      <c r="K5078" s="131"/>
    </row>
    <row r="5079" spans="7:11" x14ac:dyDescent="0.2">
      <c r="G5079" s="131"/>
      <c r="H5079" s="131"/>
      <c r="I5079" s="131"/>
      <c r="J5079" s="132"/>
      <c r="K5079" s="131"/>
    </row>
    <row r="5080" spans="7:11" x14ac:dyDescent="0.2">
      <c r="G5080" s="131"/>
      <c r="H5080" s="131"/>
      <c r="I5080" s="131"/>
      <c r="J5080" s="132"/>
      <c r="K5080" s="131"/>
    </row>
    <row r="5081" spans="7:11" x14ac:dyDescent="0.2">
      <c r="G5081" s="131"/>
      <c r="H5081" s="131"/>
      <c r="I5081" s="131"/>
      <c r="J5081" s="132"/>
      <c r="K5081" s="131"/>
    </row>
    <row r="5082" spans="7:11" x14ac:dyDescent="0.2">
      <c r="G5082" s="131"/>
      <c r="H5082" s="131"/>
      <c r="I5082" s="131"/>
      <c r="J5082" s="132"/>
      <c r="K5082" s="131"/>
    </row>
    <row r="5083" spans="7:11" x14ac:dyDescent="0.2">
      <c r="G5083" s="131"/>
      <c r="H5083" s="131"/>
      <c r="I5083" s="131"/>
      <c r="J5083" s="132"/>
      <c r="K5083" s="131"/>
    </row>
    <row r="5084" spans="7:11" x14ac:dyDescent="0.2">
      <c r="G5084" s="131"/>
      <c r="H5084" s="131"/>
      <c r="I5084" s="131"/>
      <c r="J5084" s="132"/>
      <c r="K5084" s="131"/>
    </row>
    <row r="5085" spans="7:11" x14ac:dyDescent="0.2">
      <c r="G5085" s="131"/>
      <c r="H5085" s="131"/>
      <c r="I5085" s="131"/>
      <c r="J5085" s="132"/>
      <c r="K5085" s="131"/>
    </row>
    <row r="5086" spans="7:11" x14ac:dyDescent="0.2">
      <c r="G5086" s="131"/>
      <c r="H5086" s="131"/>
      <c r="I5086" s="131"/>
      <c r="J5086" s="132"/>
      <c r="K5086" s="131"/>
    </row>
    <row r="5087" spans="7:11" x14ac:dyDescent="0.2">
      <c r="G5087" s="131"/>
      <c r="H5087" s="131"/>
      <c r="I5087" s="131"/>
      <c r="J5087" s="132"/>
      <c r="K5087" s="131"/>
    </row>
    <row r="5088" spans="7:11" x14ac:dyDescent="0.2">
      <c r="G5088" s="131"/>
      <c r="H5088" s="131"/>
      <c r="I5088" s="131"/>
      <c r="J5088" s="132"/>
      <c r="K5088" s="131"/>
    </row>
    <row r="5089" spans="7:11" x14ac:dyDescent="0.2">
      <c r="G5089" s="131"/>
      <c r="H5089" s="131"/>
      <c r="I5089" s="131"/>
      <c r="J5089" s="132"/>
      <c r="K5089" s="131"/>
    </row>
    <row r="5090" spans="7:11" x14ac:dyDescent="0.2">
      <c r="G5090" s="131"/>
      <c r="H5090" s="131"/>
      <c r="I5090" s="131"/>
      <c r="J5090" s="132"/>
      <c r="K5090" s="131"/>
    </row>
    <row r="5091" spans="7:11" x14ac:dyDescent="0.2">
      <c r="G5091" s="131"/>
      <c r="H5091" s="131"/>
      <c r="I5091" s="131"/>
      <c r="J5091" s="132"/>
      <c r="K5091" s="131"/>
    </row>
    <row r="5092" spans="7:11" x14ac:dyDescent="0.2">
      <c r="G5092" s="131"/>
      <c r="H5092" s="131"/>
      <c r="I5092" s="131"/>
      <c r="J5092" s="132"/>
      <c r="K5092" s="131"/>
    </row>
    <row r="5093" spans="7:11" x14ac:dyDescent="0.2">
      <c r="G5093" s="131"/>
      <c r="H5093" s="131"/>
      <c r="I5093" s="131"/>
      <c r="J5093" s="132"/>
      <c r="K5093" s="131"/>
    </row>
    <row r="5094" spans="7:11" x14ac:dyDescent="0.2">
      <c r="G5094" s="131"/>
      <c r="H5094" s="131"/>
      <c r="I5094" s="131"/>
      <c r="J5094" s="132"/>
      <c r="K5094" s="131"/>
    </row>
    <row r="5095" spans="7:11" x14ac:dyDescent="0.2">
      <c r="G5095" s="131"/>
      <c r="H5095" s="131"/>
      <c r="I5095" s="131"/>
      <c r="J5095" s="132"/>
      <c r="K5095" s="131"/>
    </row>
    <row r="5096" spans="7:11" x14ac:dyDescent="0.2">
      <c r="G5096" s="131"/>
      <c r="H5096" s="131"/>
      <c r="I5096" s="131"/>
      <c r="J5096" s="132"/>
      <c r="K5096" s="131"/>
    </row>
    <row r="5097" spans="7:11" x14ac:dyDescent="0.2">
      <c r="G5097" s="131"/>
      <c r="H5097" s="131"/>
      <c r="I5097" s="131"/>
      <c r="J5097" s="132"/>
      <c r="K5097" s="131"/>
    </row>
    <row r="5098" spans="7:11" x14ac:dyDescent="0.2">
      <c r="G5098" s="131"/>
      <c r="H5098" s="131"/>
      <c r="I5098" s="131"/>
      <c r="J5098" s="132"/>
      <c r="K5098" s="131"/>
    </row>
    <row r="5099" spans="7:11" x14ac:dyDescent="0.2">
      <c r="G5099" s="131"/>
      <c r="H5099" s="131"/>
      <c r="I5099" s="131"/>
      <c r="J5099" s="132"/>
      <c r="K5099" s="131"/>
    </row>
    <row r="5100" spans="7:11" x14ac:dyDescent="0.2">
      <c r="G5100" s="131"/>
      <c r="H5100" s="131"/>
      <c r="I5100" s="131"/>
      <c r="J5100" s="132"/>
      <c r="K5100" s="131"/>
    </row>
    <row r="5101" spans="7:11" x14ac:dyDescent="0.2">
      <c r="G5101" s="131"/>
      <c r="H5101" s="131"/>
      <c r="I5101" s="131"/>
      <c r="J5101" s="132"/>
      <c r="K5101" s="131"/>
    </row>
    <row r="5102" spans="7:11" x14ac:dyDescent="0.2">
      <c r="G5102" s="131"/>
      <c r="H5102" s="131"/>
      <c r="I5102" s="131"/>
      <c r="J5102" s="132"/>
      <c r="K5102" s="131"/>
    </row>
    <row r="5103" spans="7:11" x14ac:dyDescent="0.2">
      <c r="G5103" s="131"/>
      <c r="H5103" s="131"/>
      <c r="I5103" s="131"/>
      <c r="J5103" s="132"/>
      <c r="K5103" s="131"/>
    </row>
    <row r="5104" spans="7:11" x14ac:dyDescent="0.2">
      <c r="G5104" s="131"/>
      <c r="H5104" s="131"/>
      <c r="I5104" s="131"/>
      <c r="J5104" s="132"/>
      <c r="K5104" s="131"/>
    </row>
    <row r="5105" spans="7:11" x14ac:dyDescent="0.2">
      <c r="G5105" s="131"/>
      <c r="H5105" s="131"/>
      <c r="I5105" s="131"/>
      <c r="J5105" s="132"/>
      <c r="K5105" s="131"/>
    </row>
    <row r="5106" spans="7:11" x14ac:dyDescent="0.2">
      <c r="G5106" s="131"/>
      <c r="H5106" s="131"/>
      <c r="I5106" s="131"/>
      <c r="J5106" s="132"/>
      <c r="K5106" s="131"/>
    </row>
    <row r="5107" spans="7:11" x14ac:dyDescent="0.2">
      <c r="G5107" s="131"/>
      <c r="H5107" s="131"/>
      <c r="I5107" s="131"/>
      <c r="J5107" s="132"/>
      <c r="K5107" s="131"/>
    </row>
    <row r="5108" spans="7:11" x14ac:dyDescent="0.2">
      <c r="G5108" s="131"/>
      <c r="H5108" s="131"/>
      <c r="I5108" s="131"/>
      <c r="J5108" s="132"/>
      <c r="K5108" s="131"/>
    </row>
    <row r="5109" spans="7:11" x14ac:dyDescent="0.2">
      <c r="G5109" s="131"/>
      <c r="H5109" s="131"/>
      <c r="I5109" s="131"/>
      <c r="J5109" s="132"/>
      <c r="K5109" s="131"/>
    </row>
    <row r="5110" spans="7:11" x14ac:dyDescent="0.2">
      <c r="G5110" s="131"/>
      <c r="H5110" s="131"/>
      <c r="I5110" s="131"/>
      <c r="J5110" s="132"/>
      <c r="K5110" s="131"/>
    </row>
    <row r="5111" spans="7:11" x14ac:dyDescent="0.2">
      <c r="G5111" s="131"/>
      <c r="H5111" s="131"/>
      <c r="I5111" s="131"/>
      <c r="J5111" s="132"/>
      <c r="K5111" s="131"/>
    </row>
    <row r="5112" spans="7:11" x14ac:dyDescent="0.2">
      <c r="G5112" s="131"/>
      <c r="H5112" s="131"/>
      <c r="I5112" s="131"/>
      <c r="J5112" s="132"/>
      <c r="K5112" s="131"/>
    </row>
    <row r="5113" spans="7:11" x14ac:dyDescent="0.2">
      <c r="G5113" s="131"/>
      <c r="H5113" s="131"/>
      <c r="I5113" s="131"/>
      <c r="J5113" s="132"/>
      <c r="K5113" s="131"/>
    </row>
    <row r="5114" spans="7:11" x14ac:dyDescent="0.2">
      <c r="G5114" s="131"/>
      <c r="H5114" s="131"/>
      <c r="I5114" s="131"/>
      <c r="J5114" s="132"/>
      <c r="K5114" s="131"/>
    </row>
    <row r="5115" spans="7:11" x14ac:dyDescent="0.2">
      <c r="G5115" s="131"/>
      <c r="H5115" s="131"/>
      <c r="I5115" s="131"/>
      <c r="J5115" s="132"/>
      <c r="K5115" s="131"/>
    </row>
    <row r="5116" spans="7:11" x14ac:dyDescent="0.2">
      <c r="G5116" s="131"/>
      <c r="H5116" s="131"/>
      <c r="I5116" s="131"/>
      <c r="J5116" s="132"/>
      <c r="K5116" s="131"/>
    </row>
    <row r="5117" spans="7:11" x14ac:dyDescent="0.2">
      <c r="G5117" s="131"/>
      <c r="H5117" s="131"/>
      <c r="I5117" s="131"/>
      <c r="J5117" s="132"/>
      <c r="K5117" s="131"/>
    </row>
    <row r="5118" spans="7:11" x14ac:dyDescent="0.2">
      <c r="G5118" s="131"/>
      <c r="H5118" s="131"/>
      <c r="I5118" s="131"/>
      <c r="J5118" s="132"/>
      <c r="K5118" s="131"/>
    </row>
    <row r="5119" spans="7:11" x14ac:dyDescent="0.2">
      <c r="G5119" s="131"/>
      <c r="H5119" s="131"/>
      <c r="I5119" s="131"/>
      <c r="J5119" s="132"/>
      <c r="K5119" s="131"/>
    </row>
    <row r="5120" spans="7:11" x14ac:dyDescent="0.2">
      <c r="G5120" s="131"/>
      <c r="H5120" s="131"/>
      <c r="I5120" s="131"/>
      <c r="J5120" s="132"/>
      <c r="K5120" s="131"/>
    </row>
    <row r="5121" spans="7:11" x14ac:dyDescent="0.2">
      <c r="G5121" s="131"/>
      <c r="H5121" s="131"/>
      <c r="I5121" s="131"/>
      <c r="J5121" s="132"/>
      <c r="K5121" s="131"/>
    </row>
    <row r="5122" spans="7:11" x14ac:dyDescent="0.2">
      <c r="G5122" s="131"/>
      <c r="H5122" s="131"/>
      <c r="I5122" s="131"/>
      <c r="J5122" s="132"/>
      <c r="K5122" s="131"/>
    </row>
    <row r="5123" spans="7:11" x14ac:dyDescent="0.2">
      <c r="G5123" s="131"/>
      <c r="H5123" s="131"/>
      <c r="I5123" s="131"/>
      <c r="J5123" s="132"/>
      <c r="K5123" s="131"/>
    </row>
    <row r="5124" spans="7:11" x14ac:dyDescent="0.2">
      <c r="G5124" s="131"/>
      <c r="H5124" s="131"/>
      <c r="I5124" s="131"/>
      <c r="J5124" s="132"/>
      <c r="K5124" s="131"/>
    </row>
    <row r="5125" spans="7:11" x14ac:dyDescent="0.2">
      <c r="G5125" s="131"/>
      <c r="H5125" s="131"/>
      <c r="I5125" s="131"/>
      <c r="J5125" s="132"/>
      <c r="K5125" s="131"/>
    </row>
    <row r="5126" spans="7:11" x14ac:dyDescent="0.2">
      <c r="G5126" s="131"/>
      <c r="H5126" s="131"/>
      <c r="I5126" s="131"/>
      <c r="J5126" s="132"/>
      <c r="K5126" s="131"/>
    </row>
    <row r="5127" spans="7:11" x14ac:dyDescent="0.2">
      <c r="G5127" s="131"/>
      <c r="H5127" s="131"/>
      <c r="I5127" s="131"/>
      <c r="J5127" s="132"/>
      <c r="K5127" s="131"/>
    </row>
    <row r="5128" spans="7:11" x14ac:dyDescent="0.2">
      <c r="G5128" s="131"/>
      <c r="H5128" s="131"/>
      <c r="I5128" s="131"/>
      <c r="J5128" s="132"/>
      <c r="K5128" s="131"/>
    </row>
    <row r="5129" spans="7:11" x14ac:dyDescent="0.2">
      <c r="G5129" s="131"/>
      <c r="H5129" s="131"/>
      <c r="I5129" s="131"/>
      <c r="J5129" s="132"/>
      <c r="K5129" s="131"/>
    </row>
    <row r="5130" spans="7:11" x14ac:dyDescent="0.2">
      <c r="G5130" s="131"/>
      <c r="H5130" s="131"/>
      <c r="I5130" s="131"/>
      <c r="J5130" s="132"/>
      <c r="K5130" s="131"/>
    </row>
    <row r="5131" spans="7:11" x14ac:dyDescent="0.2">
      <c r="G5131" s="131"/>
      <c r="H5131" s="131"/>
      <c r="I5131" s="131"/>
      <c r="J5131" s="132"/>
      <c r="K5131" s="131"/>
    </row>
    <row r="5132" spans="7:11" x14ac:dyDescent="0.2">
      <c r="G5132" s="131"/>
      <c r="H5132" s="131"/>
      <c r="I5132" s="131"/>
      <c r="J5132" s="132"/>
      <c r="K5132" s="131"/>
    </row>
    <row r="5133" spans="7:11" x14ac:dyDescent="0.2">
      <c r="G5133" s="131"/>
      <c r="H5133" s="131"/>
      <c r="I5133" s="131"/>
      <c r="J5133" s="132"/>
      <c r="K5133" s="131"/>
    </row>
    <row r="5134" spans="7:11" x14ac:dyDescent="0.2">
      <c r="G5134" s="131"/>
      <c r="H5134" s="131"/>
      <c r="I5134" s="131"/>
      <c r="J5134" s="132"/>
      <c r="K5134" s="131"/>
    </row>
    <row r="5135" spans="7:11" x14ac:dyDescent="0.2">
      <c r="G5135" s="131"/>
      <c r="H5135" s="131"/>
      <c r="I5135" s="131"/>
      <c r="J5135" s="132"/>
      <c r="K5135" s="131"/>
    </row>
    <row r="5136" spans="7:11" x14ac:dyDescent="0.2">
      <c r="G5136" s="131"/>
      <c r="H5136" s="131"/>
      <c r="I5136" s="131"/>
      <c r="J5136" s="132"/>
      <c r="K5136" s="131"/>
    </row>
    <row r="5137" spans="7:11" x14ac:dyDescent="0.2">
      <c r="G5137" s="131"/>
      <c r="H5137" s="131"/>
      <c r="I5137" s="131"/>
      <c r="J5137" s="132"/>
      <c r="K5137" s="131"/>
    </row>
    <row r="5138" spans="7:11" x14ac:dyDescent="0.2">
      <c r="G5138" s="131"/>
      <c r="H5138" s="131"/>
      <c r="I5138" s="131"/>
      <c r="J5138" s="132"/>
      <c r="K5138" s="131"/>
    </row>
    <row r="5139" spans="7:11" x14ac:dyDescent="0.2">
      <c r="G5139" s="131"/>
      <c r="H5139" s="131"/>
      <c r="I5139" s="131"/>
      <c r="J5139" s="132"/>
      <c r="K5139" s="131"/>
    </row>
    <row r="5140" spans="7:11" x14ac:dyDescent="0.2">
      <c r="G5140" s="131"/>
      <c r="H5140" s="131"/>
      <c r="I5140" s="131"/>
      <c r="J5140" s="132"/>
      <c r="K5140" s="131"/>
    </row>
    <row r="5141" spans="7:11" x14ac:dyDescent="0.2">
      <c r="G5141" s="131"/>
      <c r="H5141" s="131"/>
      <c r="I5141" s="131"/>
      <c r="J5141" s="132"/>
      <c r="K5141" s="131"/>
    </row>
    <row r="5142" spans="7:11" x14ac:dyDescent="0.2">
      <c r="G5142" s="131"/>
      <c r="H5142" s="131"/>
      <c r="I5142" s="131"/>
      <c r="J5142" s="132"/>
      <c r="K5142" s="131"/>
    </row>
    <row r="5143" spans="7:11" x14ac:dyDescent="0.2">
      <c r="G5143" s="131"/>
      <c r="H5143" s="131"/>
      <c r="I5143" s="131"/>
      <c r="J5143" s="132"/>
      <c r="K5143" s="131"/>
    </row>
    <row r="5144" spans="7:11" x14ac:dyDescent="0.2">
      <c r="G5144" s="131"/>
      <c r="H5144" s="131"/>
      <c r="I5144" s="131"/>
      <c r="J5144" s="132"/>
      <c r="K5144" s="131"/>
    </row>
    <row r="5145" spans="7:11" x14ac:dyDescent="0.2">
      <c r="G5145" s="131"/>
      <c r="H5145" s="131"/>
      <c r="I5145" s="131"/>
      <c r="J5145" s="132"/>
      <c r="K5145" s="131"/>
    </row>
    <row r="5146" spans="7:11" x14ac:dyDescent="0.2">
      <c r="G5146" s="131"/>
      <c r="H5146" s="131"/>
      <c r="I5146" s="131"/>
      <c r="J5146" s="132"/>
      <c r="K5146" s="131"/>
    </row>
    <row r="5147" spans="7:11" x14ac:dyDescent="0.2">
      <c r="G5147" s="131"/>
      <c r="H5147" s="131"/>
      <c r="I5147" s="131"/>
      <c r="J5147" s="132"/>
      <c r="K5147" s="131"/>
    </row>
    <row r="5148" spans="7:11" x14ac:dyDescent="0.2">
      <c r="G5148" s="131"/>
      <c r="H5148" s="131"/>
      <c r="I5148" s="131"/>
      <c r="J5148" s="132"/>
      <c r="K5148" s="131"/>
    </row>
    <row r="5149" spans="7:11" x14ac:dyDescent="0.2">
      <c r="G5149" s="131"/>
      <c r="H5149" s="131"/>
      <c r="I5149" s="131"/>
      <c r="J5149" s="132"/>
      <c r="K5149" s="131"/>
    </row>
    <row r="5150" spans="7:11" x14ac:dyDescent="0.2">
      <c r="G5150" s="131"/>
      <c r="H5150" s="131"/>
      <c r="I5150" s="131"/>
      <c r="J5150" s="132"/>
      <c r="K5150" s="131"/>
    </row>
    <row r="5151" spans="7:11" x14ac:dyDescent="0.2">
      <c r="G5151" s="131"/>
      <c r="H5151" s="131"/>
      <c r="I5151" s="131"/>
      <c r="J5151" s="132"/>
      <c r="K5151" s="131"/>
    </row>
    <row r="5152" spans="7:11" x14ac:dyDescent="0.2">
      <c r="G5152" s="131"/>
      <c r="H5152" s="131"/>
      <c r="I5152" s="131"/>
      <c r="J5152" s="132"/>
      <c r="K5152" s="131"/>
    </row>
    <row r="5153" spans="7:11" x14ac:dyDescent="0.2">
      <c r="G5153" s="131"/>
      <c r="H5153" s="131"/>
      <c r="I5153" s="131"/>
      <c r="J5153" s="132"/>
      <c r="K5153" s="131"/>
    </row>
    <row r="5154" spans="7:11" x14ac:dyDescent="0.2">
      <c r="G5154" s="131"/>
      <c r="H5154" s="131"/>
      <c r="I5154" s="131"/>
      <c r="J5154" s="132"/>
      <c r="K5154" s="131"/>
    </row>
    <row r="5155" spans="7:11" x14ac:dyDescent="0.2">
      <c r="G5155" s="131"/>
      <c r="H5155" s="131"/>
      <c r="I5155" s="131"/>
      <c r="J5155" s="132"/>
      <c r="K5155" s="131"/>
    </row>
    <row r="5156" spans="7:11" x14ac:dyDescent="0.2">
      <c r="G5156" s="131"/>
      <c r="H5156" s="131"/>
      <c r="I5156" s="131"/>
      <c r="J5156" s="132"/>
      <c r="K5156" s="131"/>
    </row>
    <row r="5157" spans="7:11" x14ac:dyDescent="0.2">
      <c r="G5157" s="131"/>
      <c r="H5157" s="131"/>
      <c r="I5157" s="131"/>
      <c r="J5157" s="132"/>
      <c r="K5157" s="131"/>
    </row>
    <row r="5158" spans="7:11" x14ac:dyDescent="0.2">
      <c r="G5158" s="131"/>
      <c r="H5158" s="131"/>
      <c r="I5158" s="131"/>
      <c r="J5158" s="132"/>
      <c r="K5158" s="131"/>
    </row>
    <row r="5159" spans="7:11" x14ac:dyDescent="0.2">
      <c r="G5159" s="131"/>
      <c r="H5159" s="131"/>
      <c r="I5159" s="131"/>
      <c r="J5159" s="132"/>
      <c r="K5159" s="131"/>
    </row>
    <row r="5160" spans="7:11" x14ac:dyDescent="0.2">
      <c r="G5160" s="131"/>
      <c r="H5160" s="131"/>
      <c r="I5160" s="131"/>
      <c r="J5160" s="132"/>
      <c r="K5160" s="131"/>
    </row>
    <row r="5161" spans="7:11" x14ac:dyDescent="0.2">
      <c r="G5161" s="131"/>
      <c r="H5161" s="131"/>
      <c r="I5161" s="131"/>
      <c r="J5161" s="132"/>
      <c r="K5161" s="131"/>
    </row>
    <row r="5162" spans="7:11" x14ac:dyDescent="0.2">
      <c r="G5162" s="131"/>
      <c r="H5162" s="131"/>
      <c r="I5162" s="131"/>
      <c r="J5162" s="132"/>
      <c r="K5162" s="131"/>
    </row>
    <row r="5163" spans="7:11" x14ac:dyDescent="0.2">
      <c r="G5163" s="131"/>
      <c r="H5163" s="131"/>
      <c r="I5163" s="131"/>
      <c r="J5163" s="132"/>
      <c r="K5163" s="131"/>
    </row>
    <row r="5164" spans="7:11" x14ac:dyDescent="0.2">
      <c r="G5164" s="131"/>
      <c r="H5164" s="131"/>
      <c r="I5164" s="131"/>
      <c r="J5164" s="132"/>
      <c r="K5164" s="131"/>
    </row>
    <row r="5165" spans="7:11" x14ac:dyDescent="0.2">
      <c r="G5165" s="131"/>
      <c r="H5165" s="131"/>
      <c r="I5165" s="131"/>
      <c r="J5165" s="132"/>
      <c r="K5165" s="131"/>
    </row>
    <row r="5166" spans="7:11" x14ac:dyDescent="0.2">
      <c r="G5166" s="131"/>
      <c r="H5166" s="131"/>
      <c r="I5166" s="131"/>
      <c r="J5166" s="132"/>
      <c r="K5166" s="131"/>
    </row>
    <row r="5167" spans="7:11" x14ac:dyDescent="0.2">
      <c r="G5167" s="131"/>
      <c r="H5167" s="131"/>
      <c r="I5167" s="131"/>
      <c r="J5167" s="132"/>
      <c r="K5167" s="131"/>
    </row>
    <row r="5168" spans="7:11" x14ac:dyDescent="0.2">
      <c r="G5168" s="131"/>
      <c r="H5168" s="131"/>
      <c r="I5168" s="131"/>
      <c r="J5168" s="132"/>
      <c r="K5168" s="131"/>
    </row>
    <row r="5169" spans="7:11" x14ac:dyDescent="0.2">
      <c r="G5169" s="131"/>
      <c r="H5169" s="131"/>
      <c r="I5169" s="131"/>
      <c r="J5169" s="132"/>
      <c r="K5169" s="131"/>
    </row>
    <row r="5170" spans="7:11" x14ac:dyDescent="0.2">
      <c r="G5170" s="131"/>
      <c r="H5170" s="131"/>
      <c r="I5170" s="131"/>
      <c r="J5170" s="132"/>
      <c r="K5170" s="131"/>
    </row>
    <row r="5171" spans="7:11" x14ac:dyDescent="0.2">
      <c r="G5171" s="131"/>
      <c r="H5171" s="131"/>
      <c r="I5171" s="131"/>
      <c r="J5171" s="132"/>
      <c r="K5171" s="131"/>
    </row>
    <row r="5172" spans="7:11" x14ac:dyDescent="0.2">
      <c r="G5172" s="131"/>
      <c r="H5172" s="131"/>
      <c r="I5172" s="131"/>
      <c r="J5172" s="132"/>
      <c r="K5172" s="131"/>
    </row>
    <row r="5173" spans="7:11" x14ac:dyDescent="0.2">
      <c r="G5173" s="131"/>
      <c r="H5173" s="131"/>
      <c r="I5173" s="131"/>
      <c r="J5173" s="132"/>
      <c r="K5173" s="131"/>
    </row>
    <row r="5174" spans="7:11" x14ac:dyDescent="0.2">
      <c r="G5174" s="131"/>
      <c r="H5174" s="131"/>
      <c r="I5174" s="131"/>
      <c r="J5174" s="132"/>
      <c r="K5174" s="131"/>
    </row>
    <row r="5175" spans="7:11" x14ac:dyDescent="0.2">
      <c r="G5175" s="131"/>
      <c r="H5175" s="131"/>
      <c r="I5175" s="131"/>
      <c r="J5175" s="132"/>
      <c r="K5175" s="131"/>
    </row>
    <row r="5176" spans="7:11" x14ac:dyDescent="0.2">
      <c r="G5176" s="131"/>
      <c r="H5176" s="131"/>
      <c r="I5176" s="131"/>
      <c r="J5176" s="132"/>
      <c r="K5176" s="131"/>
    </row>
    <row r="5177" spans="7:11" x14ac:dyDescent="0.2">
      <c r="G5177" s="131"/>
      <c r="H5177" s="131"/>
      <c r="I5177" s="131"/>
      <c r="J5177" s="132"/>
      <c r="K5177" s="131"/>
    </row>
    <row r="5178" spans="7:11" x14ac:dyDescent="0.2">
      <c r="G5178" s="131"/>
      <c r="H5178" s="131"/>
      <c r="I5178" s="131"/>
      <c r="J5178" s="132"/>
      <c r="K5178" s="131"/>
    </row>
    <row r="5179" spans="7:11" x14ac:dyDescent="0.2">
      <c r="G5179" s="131"/>
      <c r="H5179" s="131"/>
      <c r="I5179" s="131"/>
      <c r="J5179" s="132"/>
      <c r="K5179" s="131"/>
    </row>
    <row r="5180" spans="7:11" x14ac:dyDescent="0.2">
      <c r="G5180" s="131"/>
      <c r="H5180" s="131"/>
      <c r="I5180" s="131"/>
      <c r="J5180" s="132"/>
      <c r="K5180" s="131"/>
    </row>
    <row r="5181" spans="7:11" x14ac:dyDescent="0.2">
      <c r="G5181" s="131"/>
      <c r="H5181" s="131"/>
      <c r="I5181" s="131"/>
      <c r="J5181" s="132"/>
      <c r="K5181" s="131"/>
    </row>
    <row r="5182" spans="7:11" x14ac:dyDescent="0.2">
      <c r="G5182" s="131"/>
      <c r="H5182" s="131"/>
      <c r="I5182" s="131"/>
      <c r="J5182" s="132"/>
      <c r="K5182" s="131"/>
    </row>
    <row r="5183" spans="7:11" x14ac:dyDescent="0.2">
      <c r="G5183" s="131"/>
      <c r="H5183" s="131"/>
      <c r="I5183" s="131"/>
      <c r="J5183" s="132"/>
      <c r="K5183" s="131"/>
    </row>
    <row r="5184" spans="7:11" x14ac:dyDescent="0.2">
      <c r="G5184" s="131"/>
      <c r="H5184" s="131"/>
      <c r="I5184" s="131"/>
      <c r="J5184" s="132"/>
      <c r="K5184" s="131"/>
    </row>
    <row r="5185" spans="7:11" x14ac:dyDescent="0.2">
      <c r="G5185" s="131"/>
      <c r="H5185" s="131"/>
      <c r="I5185" s="131"/>
      <c r="J5185" s="132"/>
      <c r="K5185" s="131"/>
    </row>
    <row r="5186" spans="7:11" x14ac:dyDescent="0.2">
      <c r="G5186" s="131"/>
      <c r="H5186" s="131"/>
      <c r="I5186" s="131"/>
      <c r="J5186" s="132"/>
      <c r="K5186" s="131"/>
    </row>
    <row r="5187" spans="7:11" x14ac:dyDescent="0.2">
      <c r="G5187" s="131"/>
      <c r="H5187" s="131"/>
      <c r="I5187" s="131"/>
      <c r="J5187" s="132"/>
      <c r="K5187" s="131"/>
    </row>
    <row r="5188" spans="7:11" x14ac:dyDescent="0.2">
      <c r="G5188" s="131"/>
      <c r="H5188" s="131"/>
      <c r="I5188" s="131"/>
      <c r="J5188" s="132"/>
      <c r="K5188" s="131"/>
    </row>
    <row r="5189" spans="7:11" x14ac:dyDescent="0.2">
      <c r="G5189" s="131"/>
      <c r="H5189" s="131"/>
      <c r="I5189" s="131"/>
      <c r="J5189" s="132"/>
      <c r="K5189" s="131"/>
    </row>
    <row r="5190" spans="7:11" x14ac:dyDescent="0.2">
      <c r="G5190" s="131"/>
      <c r="H5190" s="131"/>
      <c r="I5190" s="131"/>
      <c r="J5190" s="132"/>
      <c r="K5190" s="131"/>
    </row>
    <row r="5191" spans="7:11" x14ac:dyDescent="0.2">
      <c r="G5191" s="131"/>
      <c r="H5191" s="131"/>
      <c r="I5191" s="131"/>
      <c r="J5191" s="132"/>
      <c r="K5191" s="131"/>
    </row>
    <row r="5192" spans="7:11" x14ac:dyDescent="0.2">
      <c r="G5192" s="131"/>
      <c r="H5192" s="131"/>
      <c r="I5192" s="131"/>
      <c r="J5192" s="132"/>
      <c r="K5192" s="131"/>
    </row>
    <row r="5193" spans="7:11" x14ac:dyDescent="0.2">
      <c r="G5193" s="131"/>
      <c r="H5193" s="131"/>
      <c r="I5193" s="131"/>
      <c r="J5193" s="132"/>
      <c r="K5193" s="131"/>
    </row>
    <row r="5194" spans="7:11" x14ac:dyDescent="0.2">
      <c r="G5194" s="131"/>
      <c r="H5194" s="131"/>
      <c r="I5194" s="131"/>
      <c r="J5194" s="132"/>
      <c r="K5194" s="131"/>
    </row>
    <row r="5195" spans="7:11" x14ac:dyDescent="0.2">
      <c r="G5195" s="131"/>
      <c r="H5195" s="131"/>
      <c r="I5195" s="131"/>
      <c r="J5195" s="132"/>
      <c r="K5195" s="131"/>
    </row>
    <row r="5196" spans="7:11" x14ac:dyDescent="0.2">
      <c r="G5196" s="131"/>
      <c r="H5196" s="131"/>
      <c r="I5196" s="131"/>
      <c r="J5196" s="132"/>
      <c r="K5196" s="131"/>
    </row>
    <row r="5197" spans="7:11" x14ac:dyDescent="0.2">
      <c r="G5197" s="131"/>
      <c r="H5197" s="131"/>
      <c r="I5197" s="131"/>
      <c r="J5197" s="132"/>
      <c r="K5197" s="131"/>
    </row>
    <row r="5198" spans="7:11" x14ac:dyDescent="0.2">
      <c r="G5198" s="131"/>
      <c r="H5198" s="131"/>
      <c r="I5198" s="131"/>
      <c r="J5198" s="132"/>
      <c r="K5198" s="131"/>
    </row>
    <row r="5199" spans="7:11" x14ac:dyDescent="0.2">
      <c r="G5199" s="131"/>
      <c r="H5199" s="131"/>
      <c r="I5199" s="131"/>
      <c r="J5199" s="132"/>
      <c r="K5199" s="131"/>
    </row>
    <row r="5200" spans="7:11" x14ac:dyDescent="0.2">
      <c r="G5200" s="131"/>
      <c r="H5200" s="131"/>
      <c r="I5200" s="131"/>
      <c r="J5200" s="132"/>
      <c r="K5200" s="131"/>
    </row>
    <row r="5201" spans="7:11" x14ac:dyDescent="0.2">
      <c r="G5201" s="131"/>
      <c r="H5201" s="131"/>
      <c r="I5201" s="131"/>
      <c r="J5201" s="132"/>
      <c r="K5201" s="131"/>
    </row>
    <row r="5202" spans="7:11" x14ac:dyDescent="0.2">
      <c r="G5202" s="131"/>
      <c r="H5202" s="131"/>
      <c r="I5202" s="131"/>
      <c r="J5202" s="132"/>
      <c r="K5202" s="131"/>
    </row>
    <row r="5203" spans="7:11" x14ac:dyDescent="0.2">
      <c r="G5203" s="131"/>
      <c r="H5203" s="131"/>
      <c r="I5203" s="131"/>
      <c r="J5203" s="132"/>
      <c r="K5203" s="131"/>
    </row>
    <row r="5204" spans="7:11" x14ac:dyDescent="0.2">
      <c r="G5204" s="131"/>
      <c r="H5204" s="131"/>
      <c r="I5204" s="131"/>
      <c r="J5204" s="132"/>
      <c r="K5204" s="131"/>
    </row>
    <row r="5205" spans="7:11" x14ac:dyDescent="0.2">
      <c r="G5205" s="131"/>
      <c r="H5205" s="131"/>
      <c r="I5205" s="131"/>
      <c r="J5205" s="132"/>
      <c r="K5205" s="131"/>
    </row>
    <row r="5206" spans="7:11" x14ac:dyDescent="0.2">
      <c r="G5206" s="131"/>
      <c r="H5206" s="131"/>
      <c r="I5206" s="131"/>
      <c r="J5206" s="132"/>
      <c r="K5206" s="131"/>
    </row>
    <row r="5207" spans="7:11" x14ac:dyDescent="0.2">
      <c r="G5207" s="131"/>
      <c r="H5207" s="131"/>
      <c r="I5207" s="131"/>
      <c r="J5207" s="132"/>
      <c r="K5207" s="131"/>
    </row>
    <row r="5208" spans="7:11" x14ac:dyDescent="0.2">
      <c r="G5208" s="131"/>
      <c r="H5208" s="131"/>
      <c r="I5208" s="131"/>
      <c r="J5208" s="132"/>
      <c r="K5208" s="131"/>
    </row>
    <row r="5209" spans="7:11" x14ac:dyDescent="0.2">
      <c r="G5209" s="131"/>
      <c r="H5209" s="131"/>
      <c r="I5209" s="131"/>
      <c r="J5209" s="132"/>
      <c r="K5209" s="131"/>
    </row>
    <row r="5210" spans="7:11" x14ac:dyDescent="0.2">
      <c r="G5210" s="131"/>
      <c r="H5210" s="131"/>
      <c r="I5210" s="131"/>
      <c r="J5210" s="132"/>
      <c r="K5210" s="131"/>
    </row>
    <row r="5211" spans="7:11" x14ac:dyDescent="0.2">
      <c r="G5211" s="131"/>
      <c r="H5211" s="131"/>
      <c r="I5211" s="131"/>
      <c r="J5211" s="132"/>
      <c r="K5211" s="131"/>
    </row>
    <row r="5212" spans="7:11" x14ac:dyDescent="0.2">
      <c r="G5212" s="131"/>
      <c r="H5212" s="131"/>
      <c r="I5212" s="131"/>
      <c r="J5212" s="132"/>
      <c r="K5212" s="131"/>
    </row>
    <row r="5213" spans="7:11" x14ac:dyDescent="0.2">
      <c r="G5213" s="131"/>
      <c r="H5213" s="131"/>
      <c r="I5213" s="131"/>
      <c r="J5213" s="132"/>
      <c r="K5213" s="131"/>
    </row>
    <row r="5214" spans="7:11" x14ac:dyDescent="0.2">
      <c r="G5214" s="131"/>
      <c r="H5214" s="131"/>
      <c r="I5214" s="131"/>
      <c r="J5214" s="132"/>
      <c r="K5214" s="131"/>
    </row>
    <row r="5215" spans="7:11" x14ac:dyDescent="0.2">
      <c r="G5215" s="131"/>
      <c r="H5215" s="131"/>
      <c r="I5215" s="131"/>
      <c r="J5215" s="132"/>
      <c r="K5215" s="131"/>
    </row>
    <row r="5216" spans="7:11" x14ac:dyDescent="0.2">
      <c r="G5216" s="131"/>
      <c r="H5216" s="131"/>
      <c r="I5216" s="131"/>
      <c r="J5216" s="132"/>
      <c r="K5216" s="131"/>
    </row>
    <row r="5217" spans="7:11" x14ac:dyDescent="0.2">
      <c r="G5217" s="131"/>
      <c r="H5217" s="131"/>
      <c r="I5217" s="131"/>
      <c r="J5217" s="132"/>
      <c r="K5217" s="131"/>
    </row>
    <row r="5218" spans="7:11" x14ac:dyDescent="0.2">
      <c r="G5218" s="131"/>
      <c r="H5218" s="131"/>
      <c r="I5218" s="131"/>
      <c r="J5218" s="132"/>
      <c r="K5218" s="131"/>
    </row>
    <row r="5219" spans="7:11" x14ac:dyDescent="0.2">
      <c r="G5219" s="131"/>
      <c r="H5219" s="131"/>
      <c r="I5219" s="131"/>
      <c r="J5219" s="132"/>
      <c r="K5219" s="131"/>
    </row>
    <row r="5220" spans="7:11" x14ac:dyDescent="0.2">
      <c r="G5220" s="131"/>
      <c r="H5220" s="131"/>
      <c r="I5220" s="131"/>
      <c r="J5220" s="132"/>
      <c r="K5220" s="131"/>
    </row>
    <row r="5221" spans="7:11" x14ac:dyDescent="0.2">
      <c r="G5221" s="131"/>
      <c r="H5221" s="131"/>
      <c r="I5221" s="131"/>
      <c r="J5221" s="132"/>
      <c r="K5221" s="131"/>
    </row>
    <row r="5222" spans="7:11" x14ac:dyDescent="0.2">
      <c r="G5222" s="131"/>
      <c r="H5222" s="131"/>
      <c r="I5222" s="131"/>
      <c r="J5222" s="132"/>
      <c r="K5222" s="131"/>
    </row>
    <row r="5223" spans="7:11" x14ac:dyDescent="0.2">
      <c r="G5223" s="131"/>
      <c r="H5223" s="131"/>
      <c r="I5223" s="131"/>
      <c r="J5223" s="132"/>
      <c r="K5223" s="131"/>
    </row>
    <row r="5224" spans="7:11" x14ac:dyDescent="0.2">
      <c r="G5224" s="131"/>
      <c r="H5224" s="131"/>
      <c r="I5224" s="131"/>
      <c r="J5224" s="132"/>
      <c r="K5224" s="131"/>
    </row>
    <row r="5225" spans="7:11" x14ac:dyDescent="0.2">
      <c r="G5225" s="131"/>
      <c r="H5225" s="131"/>
      <c r="I5225" s="131"/>
      <c r="J5225" s="132"/>
      <c r="K5225" s="131"/>
    </row>
    <row r="5226" spans="7:11" x14ac:dyDescent="0.2">
      <c r="G5226" s="131"/>
      <c r="H5226" s="131"/>
      <c r="I5226" s="131"/>
      <c r="J5226" s="132"/>
      <c r="K5226" s="131"/>
    </row>
    <row r="5227" spans="7:11" x14ac:dyDescent="0.2">
      <c r="G5227" s="131"/>
      <c r="H5227" s="131"/>
      <c r="I5227" s="131"/>
      <c r="J5227" s="132"/>
      <c r="K5227" s="131"/>
    </row>
    <row r="5228" spans="7:11" x14ac:dyDescent="0.2">
      <c r="G5228" s="131"/>
      <c r="H5228" s="131"/>
      <c r="I5228" s="131"/>
      <c r="J5228" s="132"/>
      <c r="K5228" s="131"/>
    </row>
    <row r="5229" spans="7:11" x14ac:dyDescent="0.2">
      <c r="G5229" s="131"/>
      <c r="H5229" s="131"/>
      <c r="I5229" s="131"/>
      <c r="J5229" s="132"/>
      <c r="K5229" s="131"/>
    </row>
    <row r="5230" spans="7:11" x14ac:dyDescent="0.2">
      <c r="G5230" s="131"/>
      <c r="H5230" s="131"/>
      <c r="I5230" s="131"/>
      <c r="J5230" s="132"/>
      <c r="K5230" s="131"/>
    </row>
    <row r="5231" spans="7:11" x14ac:dyDescent="0.2">
      <c r="G5231" s="131"/>
      <c r="H5231" s="131"/>
      <c r="I5231" s="131"/>
      <c r="J5231" s="132"/>
      <c r="K5231" s="131"/>
    </row>
    <row r="5232" spans="7:11" x14ac:dyDescent="0.2">
      <c r="G5232" s="131"/>
      <c r="H5232" s="131"/>
      <c r="I5232" s="131"/>
      <c r="J5232" s="132"/>
      <c r="K5232" s="131"/>
    </row>
    <row r="5233" spans="7:11" x14ac:dyDescent="0.2">
      <c r="G5233" s="131"/>
      <c r="H5233" s="131"/>
      <c r="I5233" s="131"/>
      <c r="J5233" s="132"/>
      <c r="K5233" s="131"/>
    </row>
    <row r="5234" spans="7:11" x14ac:dyDescent="0.2">
      <c r="G5234" s="131"/>
      <c r="H5234" s="131"/>
      <c r="I5234" s="131"/>
      <c r="J5234" s="132"/>
      <c r="K5234" s="131"/>
    </row>
    <row r="5235" spans="7:11" x14ac:dyDescent="0.2">
      <c r="G5235" s="131"/>
      <c r="H5235" s="131"/>
      <c r="I5235" s="131"/>
      <c r="J5235" s="132"/>
      <c r="K5235" s="131"/>
    </row>
    <row r="5236" spans="7:11" x14ac:dyDescent="0.2">
      <c r="G5236" s="131"/>
      <c r="H5236" s="131"/>
      <c r="I5236" s="131"/>
      <c r="J5236" s="132"/>
      <c r="K5236" s="131"/>
    </row>
    <row r="5237" spans="7:11" x14ac:dyDescent="0.2">
      <c r="G5237" s="131"/>
      <c r="H5237" s="131"/>
      <c r="I5237" s="131"/>
      <c r="J5237" s="132"/>
      <c r="K5237" s="131"/>
    </row>
    <row r="5238" spans="7:11" x14ac:dyDescent="0.2">
      <c r="G5238" s="131"/>
      <c r="H5238" s="131"/>
      <c r="I5238" s="131"/>
      <c r="J5238" s="132"/>
      <c r="K5238" s="131"/>
    </row>
    <row r="5239" spans="7:11" x14ac:dyDescent="0.2">
      <c r="G5239" s="131"/>
      <c r="H5239" s="131"/>
      <c r="I5239" s="131"/>
      <c r="J5239" s="132"/>
      <c r="K5239" s="131"/>
    </row>
    <row r="5240" spans="7:11" x14ac:dyDescent="0.2">
      <c r="G5240" s="131"/>
      <c r="H5240" s="131"/>
      <c r="I5240" s="131"/>
      <c r="J5240" s="132"/>
      <c r="K5240" s="131"/>
    </row>
    <row r="5241" spans="7:11" x14ac:dyDescent="0.2">
      <c r="G5241" s="131"/>
      <c r="H5241" s="131"/>
      <c r="I5241" s="131"/>
      <c r="J5241" s="132"/>
      <c r="K5241" s="131"/>
    </row>
    <row r="5242" spans="7:11" x14ac:dyDescent="0.2">
      <c r="G5242" s="131"/>
      <c r="H5242" s="131"/>
      <c r="I5242" s="131"/>
      <c r="J5242" s="132"/>
      <c r="K5242" s="131"/>
    </row>
    <row r="5243" spans="7:11" x14ac:dyDescent="0.2">
      <c r="G5243" s="131"/>
      <c r="H5243" s="131"/>
      <c r="I5243" s="131"/>
      <c r="J5243" s="132"/>
      <c r="K5243" s="131"/>
    </row>
    <row r="5244" spans="7:11" x14ac:dyDescent="0.2">
      <c r="G5244" s="131"/>
      <c r="H5244" s="131"/>
      <c r="I5244" s="131"/>
      <c r="J5244" s="132"/>
      <c r="K5244" s="131"/>
    </row>
    <row r="5245" spans="7:11" x14ac:dyDescent="0.2">
      <c r="G5245" s="131"/>
      <c r="H5245" s="131"/>
      <c r="I5245" s="131"/>
      <c r="J5245" s="132"/>
      <c r="K5245" s="131"/>
    </row>
    <row r="5246" spans="7:11" x14ac:dyDescent="0.2">
      <c r="G5246" s="131"/>
      <c r="H5246" s="131"/>
      <c r="I5246" s="131"/>
      <c r="J5246" s="132"/>
      <c r="K5246" s="131"/>
    </row>
    <row r="5247" spans="7:11" x14ac:dyDescent="0.2">
      <c r="G5247" s="131"/>
      <c r="H5247" s="131"/>
      <c r="I5247" s="131"/>
      <c r="J5247" s="132"/>
      <c r="K5247" s="131"/>
    </row>
    <row r="5248" spans="7:11" x14ac:dyDescent="0.2">
      <c r="G5248" s="131"/>
      <c r="H5248" s="131"/>
      <c r="I5248" s="131"/>
      <c r="J5248" s="132"/>
      <c r="K5248" s="131"/>
    </row>
    <row r="5249" spans="7:11" x14ac:dyDescent="0.2">
      <c r="G5249" s="131"/>
      <c r="H5249" s="131"/>
      <c r="I5249" s="131"/>
      <c r="J5249" s="132"/>
      <c r="K5249" s="131"/>
    </row>
    <row r="5250" spans="7:11" x14ac:dyDescent="0.2">
      <c r="G5250" s="131"/>
      <c r="H5250" s="131"/>
      <c r="I5250" s="131"/>
      <c r="J5250" s="132"/>
      <c r="K5250" s="131"/>
    </row>
    <row r="5251" spans="7:11" x14ac:dyDescent="0.2">
      <c r="G5251" s="131"/>
      <c r="H5251" s="131"/>
      <c r="I5251" s="131"/>
      <c r="J5251" s="132"/>
      <c r="K5251" s="131"/>
    </row>
    <row r="5252" spans="7:11" x14ac:dyDescent="0.2">
      <c r="G5252" s="131"/>
      <c r="H5252" s="131"/>
      <c r="I5252" s="131"/>
      <c r="J5252" s="132"/>
      <c r="K5252" s="131"/>
    </row>
    <row r="5253" spans="7:11" x14ac:dyDescent="0.2">
      <c r="G5253" s="131"/>
      <c r="H5253" s="131"/>
      <c r="I5253" s="131"/>
      <c r="J5253" s="132"/>
      <c r="K5253" s="131"/>
    </row>
    <row r="5254" spans="7:11" x14ac:dyDescent="0.2">
      <c r="G5254" s="131"/>
      <c r="H5254" s="131"/>
      <c r="I5254" s="131"/>
      <c r="J5254" s="132"/>
      <c r="K5254" s="131"/>
    </row>
    <row r="5255" spans="7:11" x14ac:dyDescent="0.2">
      <c r="G5255" s="131"/>
      <c r="H5255" s="131"/>
      <c r="I5255" s="131"/>
      <c r="J5255" s="132"/>
      <c r="K5255" s="131"/>
    </row>
    <row r="5256" spans="7:11" x14ac:dyDescent="0.2">
      <c r="G5256" s="131"/>
      <c r="H5256" s="131"/>
      <c r="I5256" s="131"/>
      <c r="J5256" s="132"/>
      <c r="K5256" s="131"/>
    </row>
    <row r="5257" spans="7:11" x14ac:dyDescent="0.2">
      <c r="G5257" s="131"/>
      <c r="H5257" s="131"/>
      <c r="I5257" s="131"/>
      <c r="J5257" s="132"/>
      <c r="K5257" s="131"/>
    </row>
    <row r="5258" spans="7:11" x14ac:dyDescent="0.2">
      <c r="G5258" s="131"/>
      <c r="H5258" s="131"/>
      <c r="I5258" s="131"/>
      <c r="J5258" s="132"/>
      <c r="K5258" s="131"/>
    </row>
    <row r="5259" spans="7:11" x14ac:dyDescent="0.2">
      <c r="G5259" s="131"/>
      <c r="H5259" s="131"/>
      <c r="I5259" s="131"/>
      <c r="J5259" s="132"/>
      <c r="K5259" s="131"/>
    </row>
    <row r="5260" spans="7:11" x14ac:dyDescent="0.2">
      <c r="G5260" s="131"/>
      <c r="H5260" s="131"/>
      <c r="I5260" s="131"/>
      <c r="J5260" s="132"/>
      <c r="K5260" s="131"/>
    </row>
    <row r="5261" spans="7:11" x14ac:dyDescent="0.2">
      <c r="G5261" s="131"/>
      <c r="H5261" s="131"/>
      <c r="I5261" s="131"/>
      <c r="J5261" s="132"/>
      <c r="K5261" s="131"/>
    </row>
    <row r="5262" spans="7:11" x14ac:dyDescent="0.2">
      <c r="G5262" s="131"/>
      <c r="H5262" s="131"/>
      <c r="I5262" s="131"/>
      <c r="J5262" s="132"/>
      <c r="K5262" s="131"/>
    </row>
    <row r="5263" spans="7:11" x14ac:dyDescent="0.2">
      <c r="G5263" s="131"/>
      <c r="H5263" s="131"/>
      <c r="I5263" s="131"/>
      <c r="J5263" s="132"/>
      <c r="K5263" s="131"/>
    </row>
    <row r="5264" spans="7:11" x14ac:dyDescent="0.2">
      <c r="G5264" s="131"/>
      <c r="H5264" s="131"/>
      <c r="I5264" s="131"/>
      <c r="J5264" s="132"/>
      <c r="K5264" s="131"/>
    </row>
    <row r="5265" spans="7:11" x14ac:dyDescent="0.2">
      <c r="G5265" s="131"/>
      <c r="H5265" s="131"/>
      <c r="I5265" s="131"/>
      <c r="J5265" s="132"/>
      <c r="K5265" s="131"/>
    </row>
    <row r="5266" spans="7:11" x14ac:dyDescent="0.2">
      <c r="G5266" s="131"/>
      <c r="H5266" s="131"/>
      <c r="I5266" s="131"/>
      <c r="J5266" s="132"/>
      <c r="K5266" s="131"/>
    </row>
    <row r="5267" spans="7:11" x14ac:dyDescent="0.2">
      <c r="G5267" s="131"/>
      <c r="H5267" s="131"/>
      <c r="I5267" s="131"/>
      <c r="J5267" s="132"/>
      <c r="K5267" s="131"/>
    </row>
    <row r="5268" spans="7:11" x14ac:dyDescent="0.2">
      <c r="G5268" s="131"/>
      <c r="H5268" s="131"/>
      <c r="I5268" s="131"/>
      <c r="J5268" s="132"/>
      <c r="K5268" s="131"/>
    </row>
    <row r="5269" spans="7:11" x14ac:dyDescent="0.2">
      <c r="G5269" s="131"/>
      <c r="H5269" s="131"/>
      <c r="I5269" s="131"/>
      <c r="J5269" s="132"/>
      <c r="K5269" s="131"/>
    </row>
    <row r="5270" spans="7:11" x14ac:dyDescent="0.2">
      <c r="G5270" s="131"/>
      <c r="H5270" s="131"/>
      <c r="I5270" s="131"/>
      <c r="J5270" s="132"/>
      <c r="K5270" s="131"/>
    </row>
    <row r="5271" spans="7:11" x14ac:dyDescent="0.2">
      <c r="G5271" s="131"/>
      <c r="H5271" s="131"/>
      <c r="I5271" s="131"/>
      <c r="J5271" s="132"/>
      <c r="K5271" s="131"/>
    </row>
    <row r="5272" spans="7:11" x14ac:dyDescent="0.2">
      <c r="G5272" s="131"/>
      <c r="H5272" s="131"/>
      <c r="I5272" s="131"/>
      <c r="J5272" s="132"/>
      <c r="K5272" s="131"/>
    </row>
    <row r="5273" spans="7:11" x14ac:dyDescent="0.2">
      <c r="G5273" s="131"/>
      <c r="H5273" s="131"/>
      <c r="I5273" s="131"/>
      <c r="J5273" s="132"/>
      <c r="K5273" s="131"/>
    </row>
    <row r="5274" spans="7:11" x14ac:dyDescent="0.2">
      <c r="G5274" s="131"/>
      <c r="H5274" s="131"/>
      <c r="I5274" s="131"/>
      <c r="J5274" s="132"/>
      <c r="K5274" s="131"/>
    </row>
    <row r="5275" spans="7:11" x14ac:dyDescent="0.2">
      <c r="G5275" s="131"/>
      <c r="H5275" s="131"/>
      <c r="I5275" s="131"/>
      <c r="J5275" s="132"/>
      <c r="K5275" s="131"/>
    </row>
    <row r="5276" spans="7:11" x14ac:dyDescent="0.2">
      <c r="G5276" s="131"/>
      <c r="H5276" s="131"/>
      <c r="I5276" s="131"/>
      <c r="J5276" s="132"/>
      <c r="K5276" s="131"/>
    </row>
    <row r="5277" spans="7:11" x14ac:dyDescent="0.2">
      <c r="G5277" s="131"/>
      <c r="H5277" s="131"/>
      <c r="I5277" s="131"/>
      <c r="J5277" s="132"/>
      <c r="K5277" s="131"/>
    </row>
    <row r="5278" spans="7:11" x14ac:dyDescent="0.2">
      <c r="G5278" s="131"/>
      <c r="H5278" s="131"/>
      <c r="I5278" s="131"/>
      <c r="J5278" s="132"/>
      <c r="K5278" s="131"/>
    </row>
    <row r="5279" spans="7:11" x14ac:dyDescent="0.2">
      <c r="G5279" s="131"/>
      <c r="H5279" s="131"/>
      <c r="I5279" s="131"/>
      <c r="J5279" s="132"/>
      <c r="K5279" s="131"/>
    </row>
    <row r="5280" spans="7:11" x14ac:dyDescent="0.2">
      <c r="G5280" s="131"/>
      <c r="H5280" s="131"/>
      <c r="I5280" s="131"/>
      <c r="J5280" s="132"/>
      <c r="K5280" s="131"/>
    </row>
    <row r="5281" spans="7:11" x14ac:dyDescent="0.2">
      <c r="G5281" s="131"/>
      <c r="H5281" s="131"/>
      <c r="I5281" s="131"/>
      <c r="J5281" s="132"/>
      <c r="K5281" s="131"/>
    </row>
    <row r="5282" spans="7:11" x14ac:dyDescent="0.2">
      <c r="G5282" s="131"/>
      <c r="H5282" s="131"/>
      <c r="I5282" s="131"/>
      <c r="J5282" s="132"/>
      <c r="K5282" s="131"/>
    </row>
    <row r="5283" spans="7:11" x14ac:dyDescent="0.2">
      <c r="G5283" s="131"/>
      <c r="H5283" s="131"/>
      <c r="I5283" s="131"/>
      <c r="J5283" s="132"/>
      <c r="K5283" s="131"/>
    </row>
    <row r="5284" spans="7:11" x14ac:dyDescent="0.2">
      <c r="G5284" s="131"/>
      <c r="H5284" s="131"/>
      <c r="I5284" s="131"/>
      <c r="J5284" s="132"/>
      <c r="K5284" s="131"/>
    </row>
    <row r="5285" spans="7:11" x14ac:dyDescent="0.2">
      <c r="G5285" s="131"/>
      <c r="H5285" s="131"/>
      <c r="I5285" s="131"/>
      <c r="J5285" s="132"/>
      <c r="K5285" s="131"/>
    </row>
    <row r="5286" spans="7:11" x14ac:dyDescent="0.2">
      <c r="G5286" s="131"/>
      <c r="H5286" s="131"/>
      <c r="I5286" s="131"/>
      <c r="J5286" s="132"/>
      <c r="K5286" s="131"/>
    </row>
    <row r="5287" spans="7:11" x14ac:dyDescent="0.2">
      <c r="G5287" s="131"/>
      <c r="H5287" s="131"/>
      <c r="I5287" s="131"/>
      <c r="J5287" s="132"/>
      <c r="K5287" s="131"/>
    </row>
    <row r="5288" spans="7:11" x14ac:dyDescent="0.2">
      <c r="G5288" s="131"/>
      <c r="H5288" s="131"/>
      <c r="I5288" s="131"/>
      <c r="J5288" s="132"/>
      <c r="K5288" s="131"/>
    </row>
    <row r="5289" spans="7:11" x14ac:dyDescent="0.2">
      <c r="G5289" s="131"/>
      <c r="H5289" s="131"/>
      <c r="I5289" s="131"/>
      <c r="J5289" s="132"/>
      <c r="K5289" s="131"/>
    </row>
    <row r="5290" spans="7:11" x14ac:dyDescent="0.2">
      <c r="G5290" s="131"/>
      <c r="H5290" s="131"/>
      <c r="I5290" s="131"/>
      <c r="J5290" s="132"/>
      <c r="K5290" s="131"/>
    </row>
    <row r="5291" spans="7:11" x14ac:dyDescent="0.2">
      <c r="G5291" s="131"/>
      <c r="H5291" s="131"/>
      <c r="I5291" s="131"/>
      <c r="J5291" s="132"/>
      <c r="K5291" s="131"/>
    </row>
    <row r="5292" spans="7:11" x14ac:dyDescent="0.2">
      <c r="G5292" s="131"/>
      <c r="H5292" s="131"/>
      <c r="I5292" s="131"/>
      <c r="J5292" s="132"/>
      <c r="K5292" s="131"/>
    </row>
    <row r="5293" spans="7:11" x14ac:dyDescent="0.2">
      <c r="G5293" s="131"/>
      <c r="H5293" s="131"/>
      <c r="I5293" s="131"/>
      <c r="J5293" s="132"/>
      <c r="K5293" s="131"/>
    </row>
    <row r="5294" spans="7:11" x14ac:dyDescent="0.2">
      <c r="G5294" s="131"/>
      <c r="H5294" s="131"/>
      <c r="I5294" s="131"/>
      <c r="J5294" s="132"/>
      <c r="K5294" s="131"/>
    </row>
    <row r="5295" spans="7:11" x14ac:dyDescent="0.2">
      <c r="G5295" s="131"/>
      <c r="H5295" s="131"/>
      <c r="I5295" s="131"/>
      <c r="J5295" s="132"/>
      <c r="K5295" s="131"/>
    </row>
    <row r="5296" spans="7:11" x14ac:dyDescent="0.2">
      <c r="G5296" s="131"/>
      <c r="H5296" s="131"/>
      <c r="I5296" s="131"/>
      <c r="J5296" s="132"/>
      <c r="K5296" s="131"/>
    </row>
    <row r="5297" spans="7:11" x14ac:dyDescent="0.2">
      <c r="G5297" s="131"/>
      <c r="H5297" s="131"/>
      <c r="I5297" s="131"/>
      <c r="J5297" s="132"/>
      <c r="K5297" s="131"/>
    </row>
    <row r="5298" spans="7:11" x14ac:dyDescent="0.2">
      <c r="G5298" s="131"/>
      <c r="H5298" s="131"/>
      <c r="I5298" s="131"/>
      <c r="J5298" s="132"/>
      <c r="K5298" s="131"/>
    </row>
    <row r="5299" spans="7:11" x14ac:dyDescent="0.2">
      <c r="G5299" s="131"/>
      <c r="H5299" s="131"/>
      <c r="I5299" s="131"/>
      <c r="J5299" s="132"/>
      <c r="K5299" s="131"/>
    </row>
    <row r="5300" spans="7:11" x14ac:dyDescent="0.2">
      <c r="G5300" s="131"/>
      <c r="H5300" s="131"/>
      <c r="I5300" s="131"/>
      <c r="J5300" s="132"/>
      <c r="K5300" s="131"/>
    </row>
    <row r="5301" spans="7:11" x14ac:dyDescent="0.2">
      <c r="G5301" s="131"/>
      <c r="H5301" s="131"/>
      <c r="I5301" s="131"/>
      <c r="J5301" s="132"/>
      <c r="K5301" s="131"/>
    </row>
    <row r="5302" spans="7:11" x14ac:dyDescent="0.2">
      <c r="G5302" s="131"/>
      <c r="H5302" s="131"/>
      <c r="I5302" s="131"/>
      <c r="J5302" s="132"/>
      <c r="K5302" s="131"/>
    </row>
    <row r="5303" spans="7:11" x14ac:dyDescent="0.2">
      <c r="G5303" s="131"/>
      <c r="H5303" s="131"/>
      <c r="I5303" s="131"/>
      <c r="J5303" s="132"/>
      <c r="K5303" s="131"/>
    </row>
    <row r="5304" spans="7:11" x14ac:dyDescent="0.2">
      <c r="G5304" s="131"/>
      <c r="H5304" s="131"/>
      <c r="I5304" s="131"/>
      <c r="J5304" s="132"/>
      <c r="K5304" s="131"/>
    </row>
    <row r="5305" spans="7:11" x14ac:dyDescent="0.2">
      <c r="G5305" s="131"/>
      <c r="H5305" s="131"/>
      <c r="I5305" s="131"/>
      <c r="J5305" s="132"/>
      <c r="K5305" s="131"/>
    </row>
    <row r="5306" spans="7:11" x14ac:dyDescent="0.2">
      <c r="G5306" s="131"/>
      <c r="H5306" s="131"/>
      <c r="I5306" s="131"/>
      <c r="J5306" s="132"/>
      <c r="K5306" s="131"/>
    </row>
    <row r="5307" spans="7:11" x14ac:dyDescent="0.2">
      <c r="G5307" s="131"/>
      <c r="H5307" s="131"/>
      <c r="I5307" s="131"/>
      <c r="J5307" s="132"/>
      <c r="K5307" s="131"/>
    </row>
    <row r="5308" spans="7:11" x14ac:dyDescent="0.2">
      <c r="G5308" s="131"/>
      <c r="H5308" s="131"/>
      <c r="I5308" s="131"/>
      <c r="J5308" s="132"/>
      <c r="K5308" s="131"/>
    </row>
    <row r="5309" spans="7:11" x14ac:dyDescent="0.2">
      <c r="G5309" s="131"/>
      <c r="H5309" s="131"/>
      <c r="I5309" s="131"/>
      <c r="J5309" s="132"/>
      <c r="K5309" s="131"/>
    </row>
    <row r="5310" spans="7:11" x14ac:dyDescent="0.2">
      <c r="G5310" s="131"/>
      <c r="H5310" s="131"/>
      <c r="I5310" s="131"/>
      <c r="J5310" s="132"/>
      <c r="K5310" s="131"/>
    </row>
    <row r="5311" spans="7:11" x14ac:dyDescent="0.2">
      <c r="G5311" s="131"/>
      <c r="H5311" s="131"/>
      <c r="I5311" s="131"/>
      <c r="J5311" s="132"/>
      <c r="K5311" s="131"/>
    </row>
    <row r="5312" spans="7:11" x14ac:dyDescent="0.2">
      <c r="G5312" s="131"/>
      <c r="H5312" s="131"/>
      <c r="I5312" s="131"/>
      <c r="J5312" s="132"/>
      <c r="K5312" s="131"/>
    </row>
    <row r="5313" spans="7:11" x14ac:dyDescent="0.2">
      <c r="G5313" s="131"/>
      <c r="H5313" s="131"/>
      <c r="I5313" s="131"/>
      <c r="J5313" s="132"/>
      <c r="K5313" s="131"/>
    </row>
    <row r="5314" spans="7:11" x14ac:dyDescent="0.2">
      <c r="G5314" s="131"/>
      <c r="H5314" s="131"/>
      <c r="I5314" s="131"/>
      <c r="J5314" s="132"/>
      <c r="K5314" s="131"/>
    </row>
    <row r="5315" spans="7:11" x14ac:dyDescent="0.2">
      <c r="G5315" s="131"/>
      <c r="H5315" s="131"/>
      <c r="I5315" s="131"/>
      <c r="J5315" s="132"/>
      <c r="K5315" s="131"/>
    </row>
    <row r="5316" spans="7:11" x14ac:dyDescent="0.2">
      <c r="G5316" s="131"/>
      <c r="H5316" s="131"/>
      <c r="I5316" s="131"/>
      <c r="J5316" s="132"/>
      <c r="K5316" s="131"/>
    </row>
    <row r="5317" spans="7:11" x14ac:dyDescent="0.2">
      <c r="G5317" s="131"/>
      <c r="H5317" s="131"/>
      <c r="I5317" s="131"/>
      <c r="J5317" s="132"/>
      <c r="K5317" s="131"/>
    </row>
    <row r="5318" spans="7:11" x14ac:dyDescent="0.2">
      <c r="G5318" s="131"/>
      <c r="H5318" s="131"/>
      <c r="I5318" s="131"/>
      <c r="J5318" s="132"/>
      <c r="K5318" s="131"/>
    </row>
    <row r="5319" spans="7:11" x14ac:dyDescent="0.2">
      <c r="G5319" s="131"/>
      <c r="H5319" s="131"/>
      <c r="I5319" s="131"/>
      <c r="J5319" s="132"/>
      <c r="K5319" s="131"/>
    </row>
    <row r="5320" spans="7:11" x14ac:dyDescent="0.2">
      <c r="G5320" s="131"/>
      <c r="H5320" s="131"/>
      <c r="I5320" s="131"/>
      <c r="J5320" s="132"/>
      <c r="K5320" s="131"/>
    </row>
    <row r="5321" spans="7:11" x14ac:dyDescent="0.2">
      <c r="G5321" s="131"/>
      <c r="H5321" s="131"/>
      <c r="I5321" s="131"/>
      <c r="J5321" s="132"/>
      <c r="K5321" s="131"/>
    </row>
    <row r="5322" spans="7:11" x14ac:dyDescent="0.2">
      <c r="G5322" s="131"/>
      <c r="H5322" s="131"/>
      <c r="I5322" s="131"/>
      <c r="J5322" s="132"/>
      <c r="K5322" s="131"/>
    </row>
    <row r="5323" spans="7:11" x14ac:dyDescent="0.2">
      <c r="G5323" s="131"/>
      <c r="H5323" s="131"/>
      <c r="I5323" s="131"/>
      <c r="J5323" s="132"/>
      <c r="K5323" s="131"/>
    </row>
    <row r="5324" spans="7:11" x14ac:dyDescent="0.2">
      <c r="G5324" s="131"/>
      <c r="H5324" s="131"/>
      <c r="I5324" s="131"/>
      <c r="J5324" s="132"/>
      <c r="K5324" s="131"/>
    </row>
    <row r="5325" spans="7:11" x14ac:dyDescent="0.2">
      <c r="G5325" s="131"/>
      <c r="H5325" s="131"/>
      <c r="I5325" s="131"/>
      <c r="J5325" s="132"/>
      <c r="K5325" s="131"/>
    </row>
    <row r="5326" spans="7:11" x14ac:dyDescent="0.2">
      <c r="G5326" s="131"/>
      <c r="H5326" s="131"/>
      <c r="I5326" s="131"/>
      <c r="J5326" s="132"/>
      <c r="K5326" s="131"/>
    </row>
    <row r="5327" spans="7:11" x14ac:dyDescent="0.2">
      <c r="G5327" s="131"/>
      <c r="H5327" s="131"/>
      <c r="I5327" s="131"/>
      <c r="J5327" s="132"/>
      <c r="K5327" s="131"/>
    </row>
    <row r="5328" spans="7:11" x14ac:dyDescent="0.2">
      <c r="G5328" s="131"/>
      <c r="H5328" s="131"/>
      <c r="I5328" s="131"/>
      <c r="J5328" s="132"/>
      <c r="K5328" s="131"/>
    </row>
    <row r="5329" spans="7:11" x14ac:dyDescent="0.2">
      <c r="G5329" s="131"/>
      <c r="H5329" s="131"/>
      <c r="I5329" s="131"/>
      <c r="J5329" s="132"/>
      <c r="K5329" s="131"/>
    </row>
    <row r="5330" spans="7:11" x14ac:dyDescent="0.2">
      <c r="G5330" s="131"/>
      <c r="H5330" s="131"/>
      <c r="I5330" s="131"/>
      <c r="J5330" s="132"/>
      <c r="K5330" s="131"/>
    </row>
    <row r="5331" spans="7:11" x14ac:dyDescent="0.2">
      <c r="G5331" s="131"/>
      <c r="H5331" s="131"/>
      <c r="I5331" s="131"/>
      <c r="J5331" s="132"/>
      <c r="K5331" s="131"/>
    </row>
    <row r="5332" spans="7:11" x14ac:dyDescent="0.2">
      <c r="G5332" s="131"/>
      <c r="H5332" s="131"/>
      <c r="I5332" s="131"/>
      <c r="J5332" s="132"/>
      <c r="K5332" s="131"/>
    </row>
    <row r="5333" spans="7:11" x14ac:dyDescent="0.2">
      <c r="G5333" s="131"/>
      <c r="H5333" s="131"/>
      <c r="I5333" s="131"/>
      <c r="J5333" s="132"/>
      <c r="K5333" s="131"/>
    </row>
    <row r="5334" spans="7:11" x14ac:dyDescent="0.2">
      <c r="G5334" s="131"/>
      <c r="H5334" s="131"/>
      <c r="I5334" s="131"/>
      <c r="J5334" s="132"/>
      <c r="K5334" s="131"/>
    </row>
    <row r="5335" spans="7:11" x14ac:dyDescent="0.2">
      <c r="G5335" s="131"/>
      <c r="H5335" s="131"/>
      <c r="I5335" s="131"/>
      <c r="J5335" s="132"/>
      <c r="K5335" s="131"/>
    </row>
    <row r="5336" spans="7:11" x14ac:dyDescent="0.2">
      <c r="G5336" s="131"/>
      <c r="H5336" s="131"/>
      <c r="I5336" s="131"/>
      <c r="J5336" s="132"/>
      <c r="K5336" s="131"/>
    </row>
    <row r="5337" spans="7:11" x14ac:dyDescent="0.2">
      <c r="G5337" s="131"/>
      <c r="H5337" s="131"/>
      <c r="I5337" s="131"/>
      <c r="J5337" s="132"/>
      <c r="K5337" s="131"/>
    </row>
    <row r="5338" spans="7:11" x14ac:dyDescent="0.2">
      <c r="G5338" s="131"/>
      <c r="H5338" s="131"/>
      <c r="I5338" s="131"/>
      <c r="J5338" s="132"/>
      <c r="K5338" s="131"/>
    </row>
    <row r="5339" spans="7:11" x14ac:dyDescent="0.2">
      <c r="G5339" s="131"/>
      <c r="H5339" s="131"/>
      <c r="I5339" s="131"/>
      <c r="J5339" s="132"/>
      <c r="K5339" s="131"/>
    </row>
    <row r="5340" spans="7:11" x14ac:dyDescent="0.2">
      <c r="G5340" s="131"/>
      <c r="H5340" s="131"/>
      <c r="I5340" s="131"/>
      <c r="J5340" s="132"/>
      <c r="K5340" s="131"/>
    </row>
    <row r="5341" spans="7:11" x14ac:dyDescent="0.2">
      <c r="G5341" s="131"/>
      <c r="H5341" s="131"/>
      <c r="I5341" s="131"/>
      <c r="J5341" s="132"/>
      <c r="K5341" s="131"/>
    </row>
    <row r="5342" spans="7:11" x14ac:dyDescent="0.2">
      <c r="G5342" s="131"/>
      <c r="H5342" s="131"/>
      <c r="I5342" s="131"/>
      <c r="J5342" s="132"/>
      <c r="K5342" s="131"/>
    </row>
    <row r="5343" spans="7:11" x14ac:dyDescent="0.2">
      <c r="G5343" s="131"/>
      <c r="H5343" s="131"/>
      <c r="I5343" s="131"/>
      <c r="J5343" s="132"/>
      <c r="K5343" s="131"/>
    </row>
    <row r="5344" spans="7:11" x14ac:dyDescent="0.2">
      <c r="G5344" s="131"/>
      <c r="H5344" s="131"/>
      <c r="I5344" s="131"/>
      <c r="J5344" s="132"/>
      <c r="K5344" s="131"/>
    </row>
    <row r="5345" spans="7:11" x14ac:dyDescent="0.2">
      <c r="G5345" s="131"/>
      <c r="H5345" s="131"/>
      <c r="I5345" s="131"/>
      <c r="J5345" s="132"/>
      <c r="K5345" s="131"/>
    </row>
    <row r="5346" spans="7:11" x14ac:dyDescent="0.2">
      <c r="G5346" s="131"/>
      <c r="H5346" s="131"/>
      <c r="I5346" s="131"/>
      <c r="J5346" s="132"/>
      <c r="K5346" s="131"/>
    </row>
    <row r="5347" spans="7:11" x14ac:dyDescent="0.2">
      <c r="G5347" s="131"/>
      <c r="H5347" s="131"/>
      <c r="I5347" s="131"/>
      <c r="J5347" s="132"/>
      <c r="K5347" s="131"/>
    </row>
    <row r="5348" spans="7:11" x14ac:dyDescent="0.2">
      <c r="G5348" s="131"/>
      <c r="H5348" s="131"/>
      <c r="I5348" s="131"/>
      <c r="J5348" s="132"/>
      <c r="K5348" s="131"/>
    </row>
    <row r="5349" spans="7:11" x14ac:dyDescent="0.2">
      <c r="G5349" s="131"/>
      <c r="H5349" s="131"/>
      <c r="I5349" s="131"/>
      <c r="J5349" s="132"/>
      <c r="K5349" s="131"/>
    </row>
    <row r="5350" spans="7:11" x14ac:dyDescent="0.2">
      <c r="G5350" s="131"/>
      <c r="H5350" s="131"/>
      <c r="I5350" s="131"/>
      <c r="J5350" s="132"/>
      <c r="K5350" s="131"/>
    </row>
    <row r="5351" spans="7:11" x14ac:dyDescent="0.2">
      <c r="G5351" s="131"/>
      <c r="H5351" s="131"/>
      <c r="I5351" s="131"/>
      <c r="J5351" s="132"/>
      <c r="K5351" s="131"/>
    </row>
    <row r="5352" spans="7:11" x14ac:dyDescent="0.2">
      <c r="G5352" s="131"/>
      <c r="H5352" s="131"/>
      <c r="I5352" s="131"/>
      <c r="J5352" s="132"/>
      <c r="K5352" s="131"/>
    </row>
    <row r="5353" spans="7:11" x14ac:dyDescent="0.2">
      <c r="G5353" s="131"/>
      <c r="H5353" s="131"/>
      <c r="I5353" s="131"/>
      <c r="J5353" s="132"/>
      <c r="K5353" s="131"/>
    </row>
    <row r="5354" spans="7:11" x14ac:dyDescent="0.2">
      <c r="G5354" s="131"/>
      <c r="H5354" s="131"/>
      <c r="I5354" s="131"/>
      <c r="J5354" s="132"/>
      <c r="K5354" s="131"/>
    </row>
    <row r="5355" spans="7:11" x14ac:dyDescent="0.2">
      <c r="G5355" s="131"/>
      <c r="H5355" s="131"/>
      <c r="I5355" s="131"/>
      <c r="J5355" s="132"/>
      <c r="K5355" s="131"/>
    </row>
    <row r="5356" spans="7:11" x14ac:dyDescent="0.2">
      <c r="G5356" s="131"/>
      <c r="H5356" s="131"/>
      <c r="I5356" s="131"/>
      <c r="J5356" s="132"/>
      <c r="K5356" s="131"/>
    </row>
    <row r="5357" spans="7:11" x14ac:dyDescent="0.2">
      <c r="G5357" s="131"/>
      <c r="H5357" s="131"/>
      <c r="I5357" s="131"/>
      <c r="J5357" s="132"/>
      <c r="K5357" s="131"/>
    </row>
    <row r="5358" spans="7:11" x14ac:dyDescent="0.2">
      <c r="G5358" s="131"/>
      <c r="H5358" s="131"/>
      <c r="I5358" s="131"/>
      <c r="J5358" s="132"/>
      <c r="K5358" s="131"/>
    </row>
    <row r="5359" spans="7:11" x14ac:dyDescent="0.2">
      <c r="G5359" s="131"/>
      <c r="H5359" s="131"/>
      <c r="I5359" s="131"/>
      <c r="J5359" s="132"/>
      <c r="K5359" s="131"/>
    </row>
    <row r="5360" spans="7:11" x14ac:dyDescent="0.2">
      <c r="G5360" s="131"/>
      <c r="H5360" s="131"/>
      <c r="I5360" s="131"/>
      <c r="J5360" s="132"/>
      <c r="K5360" s="131"/>
    </row>
    <row r="5361" spans="7:11" x14ac:dyDescent="0.2">
      <c r="G5361" s="131"/>
      <c r="H5361" s="131"/>
      <c r="I5361" s="131"/>
      <c r="J5361" s="132"/>
      <c r="K5361" s="131"/>
    </row>
    <row r="5362" spans="7:11" x14ac:dyDescent="0.2">
      <c r="G5362" s="131"/>
      <c r="H5362" s="131"/>
      <c r="I5362" s="131"/>
      <c r="J5362" s="132"/>
      <c r="K5362" s="131"/>
    </row>
    <row r="5363" spans="7:11" x14ac:dyDescent="0.2">
      <c r="G5363" s="131"/>
      <c r="H5363" s="131"/>
      <c r="I5363" s="131"/>
      <c r="J5363" s="132"/>
      <c r="K5363" s="131"/>
    </row>
    <row r="5364" spans="7:11" x14ac:dyDescent="0.2">
      <c r="G5364" s="131"/>
      <c r="H5364" s="131"/>
      <c r="I5364" s="131"/>
      <c r="J5364" s="132"/>
      <c r="K5364" s="131"/>
    </row>
    <row r="5365" spans="7:11" x14ac:dyDescent="0.2">
      <c r="G5365" s="131"/>
      <c r="H5365" s="131"/>
      <c r="I5365" s="131"/>
      <c r="J5365" s="132"/>
      <c r="K5365" s="131"/>
    </row>
    <row r="5366" spans="7:11" x14ac:dyDescent="0.2">
      <c r="G5366" s="131"/>
      <c r="H5366" s="131"/>
      <c r="I5366" s="131"/>
      <c r="J5366" s="132"/>
      <c r="K5366" s="131"/>
    </row>
    <row r="5367" spans="7:11" x14ac:dyDescent="0.2">
      <c r="G5367" s="131"/>
      <c r="H5367" s="131"/>
      <c r="I5367" s="131"/>
      <c r="J5367" s="132"/>
      <c r="K5367" s="131"/>
    </row>
    <row r="5368" spans="7:11" x14ac:dyDescent="0.2">
      <c r="G5368" s="131"/>
      <c r="H5368" s="131"/>
      <c r="I5368" s="131"/>
      <c r="J5368" s="132"/>
      <c r="K5368" s="131"/>
    </row>
    <row r="5369" spans="7:11" x14ac:dyDescent="0.2">
      <c r="G5369" s="131"/>
      <c r="H5369" s="131"/>
      <c r="I5369" s="131"/>
      <c r="J5369" s="132"/>
      <c r="K5369" s="131"/>
    </row>
    <row r="5370" spans="7:11" x14ac:dyDescent="0.2">
      <c r="G5370" s="131"/>
      <c r="H5370" s="131"/>
      <c r="I5370" s="131"/>
      <c r="J5370" s="132"/>
      <c r="K5370" s="131"/>
    </row>
    <row r="5371" spans="7:11" x14ac:dyDescent="0.2">
      <c r="G5371" s="131"/>
      <c r="H5371" s="131"/>
      <c r="I5371" s="131"/>
      <c r="J5371" s="132"/>
      <c r="K5371" s="131"/>
    </row>
    <row r="5372" spans="7:11" x14ac:dyDescent="0.2">
      <c r="G5372" s="131"/>
      <c r="H5372" s="131"/>
      <c r="I5372" s="131"/>
      <c r="J5372" s="132"/>
      <c r="K5372" s="131"/>
    </row>
    <row r="5373" spans="7:11" x14ac:dyDescent="0.2">
      <c r="G5373" s="131"/>
      <c r="H5373" s="131"/>
      <c r="I5373" s="131"/>
      <c r="J5373" s="132"/>
      <c r="K5373" s="131"/>
    </row>
    <row r="5374" spans="7:11" x14ac:dyDescent="0.2">
      <c r="G5374" s="131"/>
      <c r="H5374" s="131"/>
      <c r="I5374" s="131"/>
      <c r="J5374" s="132"/>
      <c r="K5374" s="131"/>
    </row>
    <row r="5375" spans="7:11" x14ac:dyDescent="0.2">
      <c r="G5375" s="131"/>
      <c r="H5375" s="131"/>
      <c r="I5375" s="131"/>
      <c r="J5375" s="132"/>
      <c r="K5375" s="131"/>
    </row>
    <row r="5376" spans="7:11" x14ac:dyDescent="0.2">
      <c r="G5376" s="131"/>
      <c r="H5376" s="131"/>
      <c r="I5376" s="131"/>
      <c r="J5376" s="132"/>
      <c r="K5376" s="131"/>
    </row>
    <row r="5377" spans="7:11" x14ac:dyDescent="0.2">
      <c r="G5377" s="131"/>
      <c r="H5377" s="131"/>
      <c r="I5377" s="131"/>
      <c r="J5377" s="132"/>
      <c r="K5377" s="131"/>
    </row>
    <row r="5378" spans="7:11" x14ac:dyDescent="0.2">
      <c r="G5378" s="131"/>
      <c r="H5378" s="131"/>
      <c r="I5378" s="131"/>
      <c r="J5378" s="132"/>
      <c r="K5378" s="131"/>
    </row>
    <row r="5379" spans="7:11" x14ac:dyDescent="0.2">
      <c r="G5379" s="131"/>
      <c r="H5379" s="131"/>
      <c r="I5379" s="131"/>
      <c r="J5379" s="132"/>
      <c r="K5379" s="131"/>
    </row>
    <row r="5380" spans="7:11" x14ac:dyDescent="0.2">
      <c r="G5380" s="131"/>
      <c r="H5380" s="131"/>
      <c r="I5380" s="131"/>
      <c r="J5380" s="132"/>
      <c r="K5380" s="131"/>
    </row>
    <row r="5381" spans="7:11" x14ac:dyDescent="0.2">
      <c r="G5381" s="131"/>
      <c r="H5381" s="131"/>
      <c r="I5381" s="131"/>
      <c r="J5381" s="132"/>
      <c r="K5381" s="131"/>
    </row>
    <row r="5382" spans="7:11" x14ac:dyDescent="0.2">
      <c r="G5382" s="131"/>
      <c r="H5382" s="131"/>
      <c r="I5382" s="131"/>
      <c r="J5382" s="132"/>
      <c r="K5382" s="131"/>
    </row>
    <row r="5383" spans="7:11" x14ac:dyDescent="0.2">
      <c r="G5383" s="131"/>
      <c r="H5383" s="131"/>
      <c r="I5383" s="131"/>
      <c r="J5383" s="132"/>
      <c r="K5383" s="131"/>
    </row>
    <row r="5384" spans="7:11" x14ac:dyDescent="0.2">
      <c r="G5384" s="131"/>
      <c r="H5384" s="131"/>
      <c r="I5384" s="131"/>
      <c r="J5384" s="132"/>
      <c r="K5384" s="131"/>
    </row>
    <row r="5385" spans="7:11" x14ac:dyDescent="0.2">
      <c r="G5385" s="131"/>
      <c r="H5385" s="131"/>
      <c r="I5385" s="131"/>
      <c r="J5385" s="132"/>
      <c r="K5385" s="131"/>
    </row>
    <row r="5386" spans="7:11" x14ac:dyDescent="0.2">
      <c r="G5386" s="131"/>
      <c r="H5386" s="131"/>
      <c r="I5386" s="131"/>
      <c r="J5386" s="132"/>
      <c r="K5386" s="131"/>
    </row>
    <row r="5387" spans="7:11" x14ac:dyDescent="0.2">
      <c r="G5387" s="131"/>
      <c r="H5387" s="131"/>
      <c r="I5387" s="131"/>
      <c r="J5387" s="132"/>
      <c r="K5387" s="131"/>
    </row>
    <row r="5388" spans="7:11" x14ac:dyDescent="0.2">
      <c r="G5388" s="131"/>
      <c r="H5388" s="131"/>
      <c r="I5388" s="131"/>
      <c r="J5388" s="132"/>
      <c r="K5388" s="131"/>
    </row>
    <row r="5389" spans="7:11" x14ac:dyDescent="0.2">
      <c r="G5389" s="131"/>
      <c r="H5389" s="131"/>
      <c r="I5389" s="131"/>
      <c r="J5389" s="132"/>
      <c r="K5389" s="131"/>
    </row>
    <row r="5390" spans="7:11" x14ac:dyDescent="0.2">
      <c r="G5390" s="131"/>
      <c r="H5390" s="131"/>
      <c r="I5390" s="131"/>
      <c r="J5390" s="132"/>
      <c r="K5390" s="131"/>
    </row>
    <row r="5391" spans="7:11" x14ac:dyDescent="0.2">
      <c r="G5391" s="131"/>
      <c r="H5391" s="131"/>
      <c r="I5391" s="131"/>
      <c r="J5391" s="132"/>
      <c r="K5391" s="131"/>
    </row>
    <row r="5392" spans="7:11" x14ac:dyDescent="0.2">
      <c r="G5392" s="131"/>
      <c r="H5392" s="131"/>
      <c r="I5392" s="131"/>
      <c r="J5392" s="132"/>
      <c r="K5392" s="131"/>
    </row>
    <row r="5393" spans="7:11" x14ac:dyDescent="0.2">
      <c r="G5393" s="131"/>
      <c r="H5393" s="131"/>
      <c r="I5393" s="131"/>
      <c r="J5393" s="132"/>
      <c r="K5393" s="131"/>
    </row>
    <row r="5394" spans="7:11" x14ac:dyDescent="0.2">
      <c r="G5394" s="131"/>
      <c r="H5394" s="131"/>
      <c r="I5394" s="131"/>
      <c r="J5394" s="132"/>
      <c r="K5394" s="131"/>
    </row>
    <row r="5395" spans="7:11" x14ac:dyDescent="0.2">
      <c r="G5395" s="131"/>
      <c r="H5395" s="131"/>
      <c r="I5395" s="131"/>
      <c r="J5395" s="132"/>
      <c r="K5395" s="131"/>
    </row>
    <row r="5396" spans="7:11" x14ac:dyDescent="0.2">
      <c r="G5396" s="131"/>
      <c r="H5396" s="131"/>
      <c r="I5396" s="131"/>
      <c r="J5396" s="132"/>
      <c r="K5396" s="131"/>
    </row>
    <row r="5397" spans="7:11" x14ac:dyDescent="0.2">
      <c r="G5397" s="131"/>
      <c r="H5397" s="131"/>
      <c r="I5397" s="131"/>
      <c r="J5397" s="132"/>
      <c r="K5397" s="131"/>
    </row>
    <row r="5398" spans="7:11" x14ac:dyDescent="0.2">
      <c r="G5398" s="131"/>
      <c r="H5398" s="131"/>
      <c r="I5398" s="131"/>
      <c r="J5398" s="132"/>
      <c r="K5398" s="131"/>
    </row>
    <row r="5399" spans="7:11" x14ac:dyDescent="0.2">
      <c r="G5399" s="131"/>
      <c r="H5399" s="131"/>
      <c r="I5399" s="131"/>
      <c r="J5399" s="132"/>
      <c r="K5399" s="131"/>
    </row>
    <row r="5400" spans="7:11" x14ac:dyDescent="0.2">
      <c r="G5400" s="131"/>
      <c r="H5400" s="131"/>
      <c r="I5400" s="131"/>
      <c r="J5400" s="132"/>
      <c r="K5400" s="131"/>
    </row>
    <row r="5401" spans="7:11" x14ac:dyDescent="0.2">
      <c r="G5401" s="131"/>
      <c r="H5401" s="131"/>
      <c r="I5401" s="131"/>
      <c r="J5401" s="132"/>
      <c r="K5401" s="131"/>
    </row>
    <row r="5402" spans="7:11" x14ac:dyDescent="0.2">
      <c r="G5402" s="131"/>
      <c r="H5402" s="131"/>
      <c r="I5402" s="131"/>
      <c r="J5402" s="132"/>
      <c r="K5402" s="131"/>
    </row>
    <row r="5403" spans="7:11" x14ac:dyDescent="0.2">
      <c r="G5403" s="131"/>
      <c r="H5403" s="131"/>
      <c r="I5403" s="131"/>
      <c r="J5403" s="132"/>
      <c r="K5403" s="131"/>
    </row>
    <row r="5404" spans="7:11" x14ac:dyDescent="0.2">
      <c r="G5404" s="131"/>
      <c r="H5404" s="131"/>
      <c r="I5404" s="131"/>
      <c r="J5404" s="132"/>
      <c r="K5404" s="131"/>
    </row>
    <row r="5405" spans="7:11" x14ac:dyDescent="0.2">
      <c r="G5405" s="131"/>
      <c r="H5405" s="131"/>
      <c r="I5405" s="131"/>
      <c r="J5405" s="132"/>
      <c r="K5405" s="131"/>
    </row>
    <row r="5406" spans="7:11" x14ac:dyDescent="0.2">
      <c r="G5406" s="131"/>
      <c r="H5406" s="131"/>
      <c r="I5406" s="131"/>
      <c r="J5406" s="132"/>
      <c r="K5406" s="131"/>
    </row>
    <row r="5407" spans="7:11" x14ac:dyDescent="0.2">
      <c r="G5407" s="131"/>
      <c r="H5407" s="131"/>
      <c r="I5407" s="131"/>
      <c r="J5407" s="132"/>
      <c r="K5407" s="131"/>
    </row>
    <row r="5408" spans="7:11" x14ac:dyDescent="0.2">
      <c r="G5408" s="131"/>
      <c r="H5408" s="131"/>
      <c r="I5408" s="131"/>
      <c r="J5408" s="132"/>
      <c r="K5408" s="131"/>
    </row>
    <row r="5409" spans="7:11" x14ac:dyDescent="0.2">
      <c r="G5409" s="131"/>
      <c r="H5409" s="131"/>
      <c r="I5409" s="131"/>
      <c r="J5409" s="132"/>
      <c r="K5409" s="131"/>
    </row>
    <row r="5410" spans="7:11" x14ac:dyDescent="0.2">
      <c r="G5410" s="131"/>
      <c r="H5410" s="131"/>
      <c r="I5410" s="131"/>
      <c r="J5410" s="132"/>
      <c r="K5410" s="131"/>
    </row>
    <row r="5411" spans="7:11" x14ac:dyDescent="0.2">
      <c r="G5411" s="131"/>
      <c r="H5411" s="131"/>
      <c r="I5411" s="131"/>
      <c r="J5411" s="132"/>
      <c r="K5411" s="131"/>
    </row>
    <row r="5412" spans="7:11" x14ac:dyDescent="0.2">
      <c r="G5412" s="131"/>
      <c r="H5412" s="131"/>
      <c r="I5412" s="131"/>
      <c r="J5412" s="132"/>
      <c r="K5412" s="131"/>
    </row>
    <row r="5413" spans="7:11" x14ac:dyDescent="0.2">
      <c r="G5413" s="131"/>
      <c r="H5413" s="131"/>
      <c r="I5413" s="131"/>
      <c r="J5413" s="132"/>
      <c r="K5413" s="131"/>
    </row>
    <row r="5414" spans="7:11" x14ac:dyDescent="0.2">
      <c r="G5414" s="131"/>
      <c r="H5414" s="131"/>
      <c r="I5414" s="131"/>
      <c r="J5414" s="132"/>
      <c r="K5414" s="131"/>
    </row>
    <row r="5415" spans="7:11" x14ac:dyDescent="0.2">
      <c r="G5415" s="131"/>
      <c r="H5415" s="131"/>
      <c r="I5415" s="131"/>
      <c r="J5415" s="132"/>
      <c r="K5415" s="131"/>
    </row>
    <row r="5416" spans="7:11" x14ac:dyDescent="0.2">
      <c r="G5416" s="131"/>
      <c r="H5416" s="131"/>
      <c r="I5416" s="131"/>
      <c r="J5416" s="132"/>
      <c r="K5416" s="131"/>
    </row>
    <row r="5417" spans="7:11" x14ac:dyDescent="0.2">
      <c r="G5417" s="131"/>
      <c r="H5417" s="131"/>
      <c r="I5417" s="131"/>
      <c r="J5417" s="132"/>
      <c r="K5417" s="131"/>
    </row>
    <row r="5418" spans="7:11" x14ac:dyDescent="0.2">
      <c r="G5418" s="131"/>
      <c r="H5418" s="131"/>
      <c r="I5418" s="131"/>
      <c r="J5418" s="132"/>
      <c r="K5418" s="131"/>
    </row>
    <row r="5419" spans="7:11" x14ac:dyDescent="0.2">
      <c r="G5419" s="131"/>
      <c r="H5419" s="131"/>
      <c r="I5419" s="131"/>
      <c r="J5419" s="132"/>
      <c r="K5419" s="131"/>
    </row>
    <row r="5420" spans="7:11" x14ac:dyDescent="0.2">
      <c r="G5420" s="131"/>
      <c r="H5420" s="131"/>
      <c r="I5420" s="131"/>
      <c r="J5420" s="132"/>
      <c r="K5420" s="131"/>
    </row>
    <row r="5421" spans="7:11" x14ac:dyDescent="0.2">
      <c r="G5421" s="131"/>
      <c r="H5421" s="131"/>
      <c r="I5421" s="131"/>
      <c r="J5421" s="132"/>
      <c r="K5421" s="131"/>
    </row>
    <row r="5422" spans="7:11" x14ac:dyDescent="0.2">
      <c r="G5422" s="131"/>
      <c r="H5422" s="131"/>
      <c r="I5422" s="131"/>
      <c r="J5422" s="132"/>
      <c r="K5422" s="131"/>
    </row>
    <row r="5423" spans="7:11" x14ac:dyDescent="0.2">
      <c r="G5423" s="131"/>
      <c r="H5423" s="131"/>
      <c r="I5423" s="131"/>
      <c r="J5423" s="132"/>
      <c r="K5423" s="131"/>
    </row>
    <row r="5424" spans="7:11" x14ac:dyDescent="0.2">
      <c r="G5424" s="131"/>
      <c r="H5424" s="131"/>
      <c r="I5424" s="131"/>
      <c r="J5424" s="132"/>
      <c r="K5424" s="131"/>
    </row>
    <row r="5425" spans="7:11" x14ac:dyDescent="0.2">
      <c r="G5425" s="131"/>
      <c r="H5425" s="131"/>
      <c r="I5425" s="131"/>
      <c r="J5425" s="132"/>
      <c r="K5425" s="131"/>
    </row>
    <row r="5426" spans="7:11" x14ac:dyDescent="0.2">
      <c r="G5426" s="131"/>
      <c r="H5426" s="131"/>
      <c r="I5426" s="131"/>
      <c r="J5426" s="132"/>
      <c r="K5426" s="131"/>
    </row>
    <row r="5427" spans="7:11" x14ac:dyDescent="0.2">
      <c r="G5427" s="131"/>
      <c r="H5427" s="131"/>
      <c r="I5427" s="131"/>
      <c r="J5427" s="132"/>
      <c r="K5427" s="131"/>
    </row>
    <row r="5428" spans="7:11" x14ac:dyDescent="0.2">
      <c r="G5428" s="131"/>
      <c r="H5428" s="131"/>
      <c r="I5428" s="131"/>
      <c r="J5428" s="132"/>
      <c r="K5428" s="131"/>
    </row>
    <row r="5429" spans="7:11" x14ac:dyDescent="0.2">
      <c r="G5429" s="131"/>
      <c r="H5429" s="131"/>
      <c r="I5429" s="131"/>
      <c r="J5429" s="132"/>
      <c r="K5429" s="131"/>
    </row>
    <row r="5430" spans="7:11" x14ac:dyDescent="0.2">
      <c r="G5430" s="131"/>
      <c r="H5430" s="131"/>
      <c r="I5430" s="131"/>
      <c r="J5430" s="132"/>
      <c r="K5430" s="131"/>
    </row>
    <row r="5431" spans="7:11" x14ac:dyDescent="0.2">
      <c r="G5431" s="131"/>
      <c r="H5431" s="131"/>
      <c r="I5431" s="131"/>
      <c r="J5431" s="132"/>
      <c r="K5431" s="131"/>
    </row>
    <row r="5432" spans="7:11" x14ac:dyDescent="0.2">
      <c r="G5432" s="131"/>
      <c r="H5432" s="131"/>
      <c r="I5432" s="131"/>
      <c r="J5432" s="132"/>
      <c r="K5432" s="131"/>
    </row>
    <row r="5433" spans="7:11" x14ac:dyDescent="0.2">
      <c r="G5433" s="131"/>
      <c r="H5433" s="131"/>
      <c r="I5433" s="131"/>
      <c r="J5433" s="132"/>
      <c r="K5433" s="131"/>
    </row>
    <row r="5434" spans="7:11" x14ac:dyDescent="0.2">
      <c r="G5434" s="131"/>
      <c r="H5434" s="131"/>
      <c r="I5434" s="131"/>
      <c r="J5434" s="132"/>
      <c r="K5434" s="131"/>
    </row>
    <row r="5435" spans="7:11" x14ac:dyDescent="0.2">
      <c r="G5435" s="131"/>
      <c r="H5435" s="131"/>
      <c r="I5435" s="131"/>
      <c r="J5435" s="132"/>
      <c r="K5435" s="131"/>
    </row>
    <row r="5436" spans="7:11" x14ac:dyDescent="0.2">
      <c r="G5436" s="131"/>
      <c r="H5436" s="131"/>
      <c r="I5436" s="131"/>
      <c r="J5436" s="132"/>
      <c r="K5436" s="131"/>
    </row>
    <row r="5437" spans="7:11" x14ac:dyDescent="0.2">
      <c r="G5437" s="131"/>
      <c r="H5437" s="131"/>
      <c r="I5437" s="131"/>
      <c r="J5437" s="132"/>
      <c r="K5437" s="131"/>
    </row>
    <row r="5438" spans="7:11" x14ac:dyDescent="0.2">
      <c r="G5438" s="131"/>
      <c r="H5438" s="131"/>
      <c r="I5438" s="131"/>
      <c r="J5438" s="132"/>
      <c r="K5438" s="131"/>
    </row>
    <row r="5439" spans="7:11" x14ac:dyDescent="0.2">
      <c r="G5439" s="131"/>
      <c r="H5439" s="131"/>
      <c r="I5439" s="131"/>
      <c r="J5439" s="132"/>
      <c r="K5439" s="131"/>
    </row>
    <row r="5440" spans="7:11" x14ac:dyDescent="0.2">
      <c r="G5440" s="131"/>
      <c r="H5440" s="131"/>
      <c r="I5440" s="131"/>
      <c r="J5440" s="132"/>
      <c r="K5440" s="131"/>
    </row>
    <row r="5441" spans="7:11" x14ac:dyDescent="0.2">
      <c r="G5441" s="131"/>
      <c r="H5441" s="131"/>
      <c r="I5441" s="131"/>
      <c r="J5441" s="132"/>
      <c r="K5441" s="131"/>
    </row>
    <row r="5442" spans="7:11" x14ac:dyDescent="0.2">
      <c r="G5442" s="131"/>
      <c r="H5442" s="131"/>
      <c r="I5442" s="131"/>
      <c r="J5442" s="132"/>
      <c r="K5442" s="131"/>
    </row>
    <row r="5443" spans="7:11" x14ac:dyDescent="0.2">
      <c r="G5443" s="131"/>
      <c r="H5443" s="131"/>
      <c r="I5443" s="131"/>
      <c r="J5443" s="132"/>
      <c r="K5443" s="131"/>
    </row>
    <row r="5444" spans="7:11" x14ac:dyDescent="0.2">
      <c r="G5444" s="131"/>
      <c r="H5444" s="131"/>
      <c r="I5444" s="131"/>
      <c r="J5444" s="132"/>
      <c r="K5444" s="131"/>
    </row>
    <row r="5445" spans="7:11" x14ac:dyDescent="0.2">
      <c r="G5445" s="131"/>
      <c r="H5445" s="131"/>
      <c r="I5445" s="131"/>
      <c r="J5445" s="132"/>
      <c r="K5445" s="131"/>
    </row>
    <row r="5446" spans="7:11" x14ac:dyDescent="0.2">
      <c r="G5446" s="131"/>
      <c r="H5446" s="131"/>
      <c r="I5446" s="131"/>
      <c r="J5446" s="132"/>
      <c r="K5446" s="131"/>
    </row>
    <row r="5447" spans="7:11" x14ac:dyDescent="0.2">
      <c r="G5447" s="131"/>
      <c r="H5447" s="131"/>
      <c r="I5447" s="131"/>
      <c r="J5447" s="132"/>
      <c r="K5447" s="131"/>
    </row>
    <row r="5448" spans="7:11" x14ac:dyDescent="0.2">
      <c r="G5448" s="131"/>
      <c r="H5448" s="131"/>
      <c r="I5448" s="131"/>
      <c r="J5448" s="132"/>
      <c r="K5448" s="131"/>
    </row>
    <row r="5449" spans="7:11" x14ac:dyDescent="0.2">
      <c r="G5449" s="131"/>
      <c r="H5449" s="131"/>
      <c r="I5449" s="131"/>
      <c r="J5449" s="132"/>
      <c r="K5449" s="131"/>
    </row>
    <row r="5450" spans="7:11" x14ac:dyDescent="0.2">
      <c r="G5450" s="131"/>
      <c r="H5450" s="131"/>
      <c r="I5450" s="131"/>
      <c r="J5450" s="132"/>
      <c r="K5450" s="131"/>
    </row>
    <row r="5451" spans="7:11" x14ac:dyDescent="0.2">
      <c r="G5451" s="131"/>
      <c r="H5451" s="131"/>
      <c r="I5451" s="131"/>
      <c r="J5451" s="132"/>
      <c r="K5451" s="131"/>
    </row>
    <row r="5452" spans="7:11" x14ac:dyDescent="0.2">
      <c r="G5452" s="131"/>
      <c r="H5452" s="131"/>
      <c r="I5452" s="131"/>
      <c r="J5452" s="132"/>
      <c r="K5452" s="131"/>
    </row>
    <row r="5453" spans="7:11" x14ac:dyDescent="0.2">
      <c r="G5453" s="131"/>
      <c r="H5453" s="131"/>
      <c r="I5453" s="131"/>
      <c r="J5453" s="132"/>
      <c r="K5453" s="131"/>
    </row>
    <row r="5454" spans="7:11" x14ac:dyDescent="0.2">
      <c r="G5454" s="131"/>
      <c r="H5454" s="131"/>
      <c r="I5454" s="131"/>
      <c r="J5454" s="132"/>
      <c r="K5454" s="131"/>
    </row>
    <row r="5455" spans="7:11" x14ac:dyDescent="0.2">
      <c r="G5455" s="131"/>
      <c r="H5455" s="131"/>
      <c r="I5455" s="131"/>
      <c r="J5455" s="132"/>
      <c r="K5455" s="131"/>
    </row>
    <row r="5456" spans="7:11" x14ac:dyDescent="0.2">
      <c r="G5456" s="131"/>
      <c r="H5456" s="131"/>
      <c r="I5456" s="131"/>
      <c r="J5456" s="132"/>
      <c r="K5456" s="131"/>
    </row>
    <row r="5457" spans="7:11" x14ac:dyDescent="0.2">
      <c r="G5457" s="131"/>
      <c r="H5457" s="131"/>
      <c r="I5457" s="131"/>
      <c r="J5457" s="132"/>
      <c r="K5457" s="131"/>
    </row>
    <row r="5458" spans="7:11" x14ac:dyDescent="0.2">
      <c r="G5458" s="131"/>
      <c r="H5458" s="131"/>
      <c r="I5458" s="131"/>
      <c r="J5458" s="132"/>
      <c r="K5458" s="131"/>
    </row>
    <row r="5459" spans="7:11" x14ac:dyDescent="0.2">
      <c r="G5459" s="131"/>
      <c r="H5459" s="131"/>
      <c r="I5459" s="131"/>
      <c r="J5459" s="132"/>
      <c r="K5459" s="131"/>
    </row>
    <row r="5460" spans="7:11" x14ac:dyDescent="0.2">
      <c r="G5460" s="131"/>
      <c r="H5460" s="131"/>
      <c r="I5460" s="131"/>
      <c r="J5460" s="132"/>
      <c r="K5460" s="131"/>
    </row>
    <row r="5461" spans="7:11" x14ac:dyDescent="0.2">
      <c r="G5461" s="131"/>
      <c r="H5461" s="131"/>
      <c r="I5461" s="131"/>
      <c r="J5461" s="132"/>
      <c r="K5461" s="131"/>
    </row>
    <row r="5462" spans="7:11" x14ac:dyDescent="0.2">
      <c r="G5462" s="131"/>
      <c r="H5462" s="131"/>
      <c r="I5462" s="131"/>
      <c r="J5462" s="132"/>
      <c r="K5462" s="131"/>
    </row>
    <row r="5463" spans="7:11" x14ac:dyDescent="0.2">
      <c r="G5463" s="131"/>
      <c r="H5463" s="131"/>
      <c r="I5463" s="131"/>
      <c r="J5463" s="132"/>
      <c r="K5463" s="131"/>
    </row>
    <row r="5464" spans="7:11" x14ac:dyDescent="0.2">
      <c r="G5464" s="131"/>
      <c r="H5464" s="131"/>
      <c r="I5464" s="131"/>
      <c r="J5464" s="132"/>
      <c r="K5464" s="131"/>
    </row>
    <row r="5465" spans="7:11" x14ac:dyDescent="0.2">
      <c r="G5465" s="131"/>
      <c r="H5465" s="131"/>
      <c r="I5465" s="131"/>
      <c r="J5465" s="132"/>
      <c r="K5465" s="131"/>
    </row>
    <row r="5466" spans="7:11" x14ac:dyDescent="0.2">
      <c r="G5466" s="131"/>
      <c r="H5466" s="131"/>
      <c r="I5466" s="131"/>
      <c r="J5466" s="132"/>
      <c r="K5466" s="131"/>
    </row>
    <row r="5467" spans="7:11" x14ac:dyDescent="0.2">
      <c r="G5467" s="131"/>
      <c r="H5467" s="131"/>
      <c r="I5467" s="131"/>
      <c r="J5467" s="132"/>
      <c r="K5467" s="131"/>
    </row>
    <row r="5468" spans="7:11" x14ac:dyDescent="0.2">
      <c r="G5468" s="131"/>
      <c r="H5468" s="131"/>
      <c r="I5468" s="131"/>
      <c r="J5468" s="132"/>
      <c r="K5468" s="131"/>
    </row>
    <row r="5469" spans="7:11" x14ac:dyDescent="0.2">
      <c r="G5469" s="131"/>
      <c r="H5469" s="131"/>
      <c r="I5469" s="131"/>
      <c r="J5469" s="132"/>
      <c r="K5469" s="131"/>
    </row>
    <row r="5470" spans="7:11" x14ac:dyDescent="0.2">
      <c r="G5470" s="131"/>
      <c r="H5470" s="131"/>
      <c r="I5470" s="131"/>
      <c r="J5470" s="132"/>
      <c r="K5470" s="131"/>
    </row>
    <row r="5471" spans="7:11" x14ac:dyDescent="0.2">
      <c r="G5471" s="131"/>
      <c r="H5471" s="131"/>
      <c r="I5471" s="131"/>
      <c r="J5471" s="132"/>
      <c r="K5471" s="131"/>
    </row>
    <row r="5472" spans="7:11" x14ac:dyDescent="0.2">
      <c r="G5472" s="131"/>
      <c r="H5472" s="131"/>
      <c r="I5472" s="131"/>
      <c r="J5472" s="132"/>
      <c r="K5472" s="131"/>
    </row>
    <row r="5473" spans="7:11" x14ac:dyDescent="0.2">
      <c r="G5473" s="131"/>
      <c r="H5473" s="131"/>
      <c r="I5473" s="131"/>
      <c r="J5473" s="132"/>
      <c r="K5473" s="131"/>
    </row>
    <row r="5474" spans="7:11" x14ac:dyDescent="0.2">
      <c r="G5474" s="131"/>
      <c r="H5474" s="131"/>
      <c r="I5474" s="131"/>
      <c r="J5474" s="132"/>
      <c r="K5474" s="131"/>
    </row>
    <row r="5475" spans="7:11" x14ac:dyDescent="0.2">
      <c r="G5475" s="131"/>
      <c r="H5475" s="131"/>
      <c r="I5475" s="131"/>
      <c r="J5475" s="132"/>
      <c r="K5475" s="131"/>
    </row>
    <row r="5476" spans="7:11" x14ac:dyDescent="0.2">
      <c r="G5476" s="131"/>
      <c r="H5476" s="131"/>
      <c r="I5476" s="131"/>
      <c r="J5476" s="132"/>
      <c r="K5476" s="131"/>
    </row>
    <row r="5477" spans="7:11" x14ac:dyDescent="0.2">
      <c r="G5477" s="131"/>
      <c r="H5477" s="131"/>
      <c r="I5477" s="131"/>
      <c r="J5477" s="132"/>
      <c r="K5477" s="131"/>
    </row>
    <row r="5478" spans="7:11" x14ac:dyDescent="0.2">
      <c r="G5478" s="131"/>
      <c r="H5478" s="131"/>
      <c r="I5478" s="131"/>
      <c r="J5478" s="132"/>
      <c r="K5478" s="131"/>
    </row>
    <row r="5479" spans="7:11" x14ac:dyDescent="0.2">
      <c r="G5479" s="131"/>
      <c r="H5479" s="131"/>
      <c r="I5479" s="131"/>
      <c r="J5479" s="132"/>
      <c r="K5479" s="131"/>
    </row>
    <row r="5480" spans="7:11" x14ac:dyDescent="0.2">
      <c r="G5480" s="131"/>
      <c r="H5480" s="131"/>
      <c r="I5480" s="131"/>
      <c r="J5480" s="132"/>
      <c r="K5480" s="131"/>
    </row>
    <row r="5481" spans="7:11" x14ac:dyDescent="0.2">
      <c r="G5481" s="131"/>
      <c r="H5481" s="131"/>
      <c r="I5481" s="131"/>
      <c r="J5481" s="132"/>
      <c r="K5481" s="131"/>
    </row>
    <row r="5482" spans="7:11" x14ac:dyDescent="0.2">
      <c r="G5482" s="131"/>
      <c r="H5482" s="131"/>
      <c r="I5482" s="131"/>
      <c r="J5482" s="132"/>
      <c r="K5482" s="131"/>
    </row>
    <row r="5483" spans="7:11" x14ac:dyDescent="0.2">
      <c r="G5483" s="131"/>
      <c r="H5483" s="131"/>
      <c r="I5483" s="131"/>
      <c r="J5483" s="132"/>
      <c r="K5483" s="131"/>
    </row>
    <row r="5484" spans="7:11" x14ac:dyDescent="0.2">
      <c r="G5484" s="131"/>
      <c r="H5484" s="131"/>
      <c r="I5484" s="131"/>
      <c r="J5484" s="132"/>
      <c r="K5484" s="131"/>
    </row>
    <row r="5485" spans="7:11" x14ac:dyDescent="0.2">
      <c r="G5485" s="131"/>
      <c r="H5485" s="131"/>
      <c r="I5485" s="131"/>
      <c r="J5485" s="132"/>
      <c r="K5485" s="131"/>
    </row>
    <row r="5486" spans="7:11" x14ac:dyDescent="0.2">
      <c r="G5486" s="131"/>
      <c r="H5486" s="131"/>
      <c r="I5486" s="131"/>
      <c r="J5486" s="132"/>
      <c r="K5486" s="131"/>
    </row>
    <row r="5487" spans="7:11" x14ac:dyDescent="0.2">
      <c r="G5487" s="131"/>
      <c r="H5487" s="131"/>
      <c r="I5487" s="131"/>
      <c r="J5487" s="132"/>
      <c r="K5487" s="131"/>
    </row>
    <row r="5488" spans="7:11" x14ac:dyDescent="0.2">
      <c r="G5488" s="131"/>
      <c r="H5488" s="131"/>
      <c r="I5488" s="131"/>
      <c r="J5488" s="132"/>
      <c r="K5488" s="131"/>
    </row>
    <row r="5489" spans="7:11" x14ac:dyDescent="0.2">
      <c r="G5489" s="131"/>
      <c r="H5489" s="131"/>
      <c r="I5489" s="131"/>
      <c r="J5489" s="132"/>
      <c r="K5489" s="131"/>
    </row>
    <row r="5490" spans="7:11" x14ac:dyDescent="0.2">
      <c r="G5490" s="131"/>
      <c r="H5490" s="131"/>
      <c r="I5490" s="131"/>
      <c r="J5490" s="132"/>
      <c r="K5490" s="131"/>
    </row>
    <row r="5491" spans="7:11" x14ac:dyDescent="0.2">
      <c r="G5491" s="131"/>
      <c r="H5491" s="131"/>
      <c r="I5491" s="131"/>
      <c r="J5491" s="132"/>
      <c r="K5491" s="131"/>
    </row>
    <row r="5492" spans="7:11" x14ac:dyDescent="0.2">
      <c r="G5492" s="131"/>
      <c r="H5492" s="131"/>
      <c r="I5492" s="131"/>
      <c r="J5492" s="132"/>
      <c r="K5492" s="131"/>
    </row>
    <row r="5493" spans="7:11" x14ac:dyDescent="0.2">
      <c r="G5493" s="131"/>
      <c r="H5493" s="131"/>
      <c r="I5493" s="131"/>
      <c r="J5493" s="132"/>
      <c r="K5493" s="131"/>
    </row>
    <row r="5494" spans="7:11" x14ac:dyDescent="0.2">
      <c r="G5494" s="131"/>
      <c r="H5494" s="131"/>
      <c r="I5494" s="131"/>
      <c r="J5494" s="132"/>
      <c r="K5494" s="131"/>
    </row>
    <row r="5495" spans="7:11" x14ac:dyDescent="0.2">
      <c r="G5495" s="131"/>
      <c r="H5495" s="131"/>
      <c r="I5495" s="131"/>
      <c r="J5495" s="132"/>
      <c r="K5495" s="131"/>
    </row>
    <row r="5496" spans="7:11" x14ac:dyDescent="0.2">
      <c r="G5496" s="131"/>
      <c r="H5496" s="131"/>
      <c r="I5496" s="131"/>
      <c r="J5496" s="132"/>
      <c r="K5496" s="131"/>
    </row>
    <row r="5497" spans="7:11" x14ac:dyDescent="0.2">
      <c r="G5497" s="131"/>
      <c r="H5497" s="131"/>
      <c r="I5497" s="131"/>
      <c r="J5497" s="132"/>
      <c r="K5497" s="131"/>
    </row>
    <row r="5498" spans="7:11" x14ac:dyDescent="0.2">
      <c r="G5498" s="131"/>
      <c r="H5498" s="131"/>
      <c r="I5498" s="131"/>
      <c r="J5498" s="132"/>
      <c r="K5498" s="131"/>
    </row>
    <row r="5499" spans="7:11" x14ac:dyDescent="0.2">
      <c r="G5499" s="131"/>
      <c r="H5499" s="131"/>
      <c r="I5499" s="131"/>
      <c r="J5499" s="132"/>
      <c r="K5499" s="131"/>
    </row>
    <row r="5500" spans="7:11" x14ac:dyDescent="0.2">
      <c r="G5500" s="131"/>
      <c r="H5500" s="131"/>
      <c r="I5500" s="131"/>
      <c r="J5500" s="132"/>
      <c r="K5500" s="131"/>
    </row>
    <row r="5501" spans="7:11" x14ac:dyDescent="0.2">
      <c r="G5501" s="131"/>
      <c r="H5501" s="131"/>
      <c r="I5501" s="131"/>
      <c r="J5501" s="132"/>
      <c r="K5501" s="131"/>
    </row>
    <row r="5502" spans="7:11" x14ac:dyDescent="0.2">
      <c r="G5502" s="131"/>
      <c r="H5502" s="131"/>
      <c r="I5502" s="131"/>
      <c r="J5502" s="132"/>
      <c r="K5502" s="131"/>
    </row>
    <row r="5503" spans="7:11" x14ac:dyDescent="0.2">
      <c r="G5503" s="131"/>
      <c r="H5503" s="131"/>
      <c r="I5503" s="131"/>
      <c r="J5503" s="132"/>
      <c r="K5503" s="131"/>
    </row>
    <row r="5504" spans="7:11" x14ac:dyDescent="0.2">
      <c r="G5504" s="131"/>
      <c r="H5504" s="131"/>
      <c r="I5504" s="131"/>
      <c r="J5504" s="132"/>
      <c r="K5504" s="131"/>
    </row>
    <row r="5505" spans="7:11" x14ac:dyDescent="0.2">
      <c r="G5505" s="131"/>
      <c r="H5505" s="131"/>
      <c r="I5505" s="131"/>
      <c r="J5505" s="132"/>
      <c r="K5505" s="131"/>
    </row>
    <row r="5506" spans="7:11" x14ac:dyDescent="0.2">
      <c r="G5506" s="131"/>
      <c r="H5506" s="131"/>
      <c r="I5506" s="131"/>
      <c r="J5506" s="132"/>
      <c r="K5506" s="131"/>
    </row>
    <row r="5507" spans="7:11" x14ac:dyDescent="0.2">
      <c r="G5507" s="131"/>
      <c r="H5507" s="131"/>
      <c r="I5507" s="131"/>
      <c r="J5507" s="132"/>
      <c r="K5507" s="131"/>
    </row>
    <row r="5508" spans="7:11" x14ac:dyDescent="0.2">
      <c r="G5508" s="131"/>
      <c r="H5508" s="131"/>
      <c r="I5508" s="131"/>
      <c r="J5508" s="132"/>
      <c r="K5508" s="131"/>
    </row>
    <row r="5509" spans="7:11" x14ac:dyDescent="0.2">
      <c r="G5509" s="131"/>
      <c r="H5509" s="131"/>
      <c r="I5509" s="131"/>
      <c r="J5509" s="132"/>
      <c r="K5509" s="131"/>
    </row>
    <row r="5510" spans="7:11" x14ac:dyDescent="0.2">
      <c r="G5510" s="131"/>
      <c r="H5510" s="131"/>
      <c r="I5510" s="131"/>
      <c r="J5510" s="132"/>
      <c r="K5510" s="131"/>
    </row>
    <row r="5511" spans="7:11" x14ac:dyDescent="0.2">
      <c r="G5511" s="131"/>
      <c r="H5511" s="131"/>
      <c r="I5511" s="131"/>
      <c r="J5511" s="132"/>
      <c r="K5511" s="131"/>
    </row>
    <row r="5512" spans="7:11" x14ac:dyDescent="0.2">
      <c r="G5512" s="131"/>
      <c r="H5512" s="131"/>
      <c r="I5512" s="131"/>
      <c r="J5512" s="132"/>
      <c r="K5512" s="131"/>
    </row>
    <row r="5513" spans="7:11" x14ac:dyDescent="0.2">
      <c r="G5513" s="131"/>
      <c r="H5513" s="131"/>
      <c r="I5513" s="131"/>
      <c r="J5513" s="132"/>
      <c r="K5513" s="131"/>
    </row>
    <row r="5514" spans="7:11" x14ac:dyDescent="0.2">
      <c r="G5514" s="131"/>
      <c r="H5514" s="131"/>
      <c r="I5514" s="131"/>
      <c r="J5514" s="132"/>
      <c r="K5514" s="131"/>
    </row>
    <row r="5515" spans="7:11" x14ac:dyDescent="0.2">
      <c r="G5515" s="131"/>
      <c r="H5515" s="131"/>
      <c r="I5515" s="131"/>
      <c r="J5515" s="132"/>
      <c r="K5515" s="131"/>
    </row>
    <row r="5516" spans="7:11" x14ac:dyDescent="0.2">
      <c r="G5516" s="131"/>
      <c r="H5516" s="131"/>
      <c r="I5516" s="131"/>
      <c r="J5516" s="132"/>
      <c r="K5516" s="131"/>
    </row>
    <row r="5517" spans="7:11" x14ac:dyDescent="0.2">
      <c r="G5517" s="131"/>
      <c r="H5517" s="131"/>
      <c r="I5517" s="131"/>
      <c r="J5517" s="132"/>
      <c r="K5517" s="131"/>
    </row>
    <row r="5518" spans="7:11" x14ac:dyDescent="0.2">
      <c r="G5518" s="131"/>
      <c r="H5518" s="131"/>
      <c r="I5518" s="131"/>
      <c r="J5518" s="132"/>
      <c r="K5518" s="131"/>
    </row>
    <row r="5519" spans="7:11" x14ac:dyDescent="0.2">
      <c r="G5519" s="131"/>
      <c r="H5519" s="131"/>
      <c r="I5519" s="131"/>
      <c r="J5519" s="132"/>
      <c r="K5519" s="131"/>
    </row>
    <row r="5520" spans="7:11" x14ac:dyDescent="0.2">
      <c r="G5520" s="131"/>
      <c r="H5520" s="131"/>
      <c r="I5520" s="131"/>
      <c r="J5520" s="132"/>
      <c r="K5520" s="131"/>
    </row>
    <row r="5521" spans="7:11" x14ac:dyDescent="0.2">
      <c r="G5521" s="131"/>
      <c r="H5521" s="131"/>
      <c r="I5521" s="131"/>
      <c r="J5521" s="132"/>
      <c r="K5521" s="131"/>
    </row>
    <row r="5522" spans="7:11" x14ac:dyDescent="0.2">
      <c r="G5522" s="131"/>
      <c r="H5522" s="131"/>
      <c r="I5522" s="131"/>
      <c r="J5522" s="132"/>
      <c r="K5522" s="131"/>
    </row>
    <row r="5523" spans="7:11" x14ac:dyDescent="0.2">
      <c r="G5523" s="131"/>
      <c r="H5523" s="131"/>
      <c r="I5523" s="131"/>
      <c r="J5523" s="132"/>
      <c r="K5523" s="131"/>
    </row>
    <row r="5524" spans="7:11" x14ac:dyDescent="0.2">
      <c r="G5524" s="131"/>
      <c r="H5524" s="131"/>
      <c r="I5524" s="131"/>
      <c r="J5524" s="132"/>
      <c r="K5524" s="131"/>
    </row>
    <row r="5525" spans="7:11" x14ac:dyDescent="0.2">
      <c r="G5525" s="131"/>
      <c r="H5525" s="131"/>
      <c r="I5525" s="131"/>
      <c r="J5525" s="132"/>
      <c r="K5525" s="131"/>
    </row>
    <row r="5526" spans="7:11" x14ac:dyDescent="0.2">
      <c r="G5526" s="131"/>
      <c r="H5526" s="131"/>
      <c r="I5526" s="131"/>
      <c r="J5526" s="132"/>
      <c r="K5526" s="131"/>
    </row>
    <row r="5527" spans="7:11" x14ac:dyDescent="0.2">
      <c r="G5527" s="131"/>
      <c r="H5527" s="131"/>
      <c r="I5527" s="131"/>
      <c r="J5527" s="132"/>
      <c r="K5527" s="131"/>
    </row>
    <row r="5528" spans="7:11" x14ac:dyDescent="0.2">
      <c r="G5528" s="131"/>
      <c r="H5528" s="131"/>
      <c r="I5528" s="131"/>
      <c r="J5528" s="132"/>
      <c r="K5528" s="131"/>
    </row>
    <row r="5529" spans="7:11" x14ac:dyDescent="0.2">
      <c r="G5529" s="131"/>
      <c r="H5529" s="131"/>
      <c r="I5529" s="131"/>
      <c r="J5529" s="132"/>
      <c r="K5529" s="131"/>
    </row>
    <row r="5530" spans="7:11" x14ac:dyDescent="0.2">
      <c r="G5530" s="131"/>
      <c r="H5530" s="131"/>
      <c r="I5530" s="131"/>
      <c r="J5530" s="132"/>
      <c r="K5530" s="131"/>
    </row>
    <row r="5531" spans="7:11" x14ac:dyDescent="0.2">
      <c r="G5531" s="131"/>
      <c r="H5531" s="131"/>
      <c r="I5531" s="131"/>
      <c r="J5531" s="132"/>
      <c r="K5531" s="131"/>
    </row>
    <row r="5532" spans="7:11" x14ac:dyDescent="0.2">
      <c r="G5532" s="131"/>
      <c r="H5532" s="131"/>
      <c r="I5532" s="131"/>
      <c r="J5532" s="132"/>
      <c r="K5532" s="131"/>
    </row>
    <row r="5533" spans="7:11" x14ac:dyDescent="0.2">
      <c r="G5533" s="131"/>
      <c r="H5533" s="131"/>
      <c r="I5533" s="131"/>
      <c r="J5533" s="132"/>
      <c r="K5533" s="131"/>
    </row>
    <row r="5534" spans="7:11" x14ac:dyDescent="0.2">
      <c r="G5534" s="131"/>
      <c r="H5534" s="131"/>
      <c r="I5534" s="131"/>
      <c r="J5534" s="132"/>
      <c r="K5534" s="131"/>
    </row>
    <row r="5535" spans="7:11" x14ac:dyDescent="0.2">
      <c r="G5535" s="131"/>
      <c r="H5535" s="131"/>
      <c r="I5535" s="131"/>
      <c r="J5535" s="132"/>
      <c r="K5535" s="131"/>
    </row>
    <row r="5536" spans="7:11" x14ac:dyDescent="0.2">
      <c r="G5536" s="131"/>
      <c r="H5536" s="131"/>
      <c r="I5536" s="131"/>
      <c r="J5536" s="132"/>
      <c r="K5536" s="131"/>
    </row>
    <row r="5537" spans="7:11" x14ac:dyDescent="0.2">
      <c r="G5537" s="131"/>
      <c r="H5537" s="131"/>
      <c r="I5537" s="131"/>
      <c r="J5537" s="132"/>
      <c r="K5537" s="131"/>
    </row>
    <row r="5538" spans="7:11" x14ac:dyDescent="0.2">
      <c r="G5538" s="131"/>
      <c r="H5538" s="131"/>
      <c r="I5538" s="131"/>
      <c r="J5538" s="132"/>
      <c r="K5538" s="131"/>
    </row>
    <row r="5539" spans="7:11" x14ac:dyDescent="0.2">
      <c r="G5539" s="131"/>
      <c r="H5539" s="131"/>
      <c r="I5539" s="131"/>
      <c r="J5539" s="132"/>
      <c r="K5539" s="131"/>
    </row>
    <row r="5540" spans="7:11" x14ac:dyDescent="0.2">
      <c r="G5540" s="131"/>
      <c r="H5540" s="131"/>
      <c r="I5540" s="131"/>
      <c r="J5540" s="132"/>
      <c r="K5540" s="131"/>
    </row>
    <row r="5541" spans="7:11" x14ac:dyDescent="0.2">
      <c r="G5541" s="131"/>
      <c r="H5541" s="131"/>
      <c r="I5541" s="131"/>
      <c r="J5541" s="132"/>
      <c r="K5541" s="131"/>
    </row>
    <row r="5542" spans="7:11" x14ac:dyDescent="0.2">
      <c r="G5542" s="131"/>
      <c r="H5542" s="131"/>
      <c r="I5542" s="131"/>
      <c r="J5542" s="132"/>
      <c r="K5542" s="131"/>
    </row>
    <row r="5543" spans="7:11" x14ac:dyDescent="0.2">
      <c r="G5543" s="131"/>
      <c r="H5543" s="131"/>
      <c r="I5543" s="131"/>
      <c r="J5543" s="132"/>
      <c r="K5543" s="131"/>
    </row>
    <row r="5544" spans="7:11" x14ac:dyDescent="0.2">
      <c r="G5544" s="131"/>
      <c r="H5544" s="131"/>
      <c r="I5544" s="131"/>
      <c r="J5544" s="132"/>
      <c r="K5544" s="131"/>
    </row>
    <row r="5545" spans="7:11" x14ac:dyDescent="0.2">
      <c r="G5545" s="131"/>
      <c r="H5545" s="131"/>
      <c r="I5545" s="131"/>
      <c r="J5545" s="132"/>
      <c r="K5545" s="131"/>
    </row>
    <row r="5546" spans="7:11" x14ac:dyDescent="0.2">
      <c r="G5546" s="131"/>
      <c r="H5546" s="131"/>
      <c r="I5546" s="131"/>
      <c r="J5546" s="132"/>
      <c r="K5546" s="131"/>
    </row>
    <row r="5547" spans="7:11" x14ac:dyDescent="0.2">
      <c r="G5547" s="131"/>
      <c r="H5547" s="131"/>
      <c r="I5547" s="131"/>
      <c r="J5547" s="132"/>
      <c r="K5547" s="131"/>
    </row>
    <row r="5548" spans="7:11" x14ac:dyDescent="0.2">
      <c r="G5548" s="131"/>
      <c r="H5548" s="131"/>
      <c r="I5548" s="131"/>
      <c r="J5548" s="132"/>
      <c r="K5548" s="131"/>
    </row>
    <row r="5549" spans="7:11" x14ac:dyDescent="0.2">
      <c r="G5549" s="131"/>
      <c r="H5549" s="131"/>
      <c r="I5549" s="131"/>
      <c r="J5549" s="132"/>
      <c r="K5549" s="131"/>
    </row>
    <row r="5550" spans="7:11" x14ac:dyDescent="0.2">
      <c r="G5550" s="131"/>
      <c r="H5550" s="131"/>
      <c r="I5550" s="131"/>
      <c r="J5550" s="132"/>
      <c r="K5550" s="131"/>
    </row>
    <row r="5551" spans="7:11" x14ac:dyDescent="0.2">
      <c r="G5551" s="131"/>
      <c r="H5551" s="131"/>
      <c r="I5551" s="131"/>
      <c r="J5551" s="132"/>
      <c r="K5551" s="131"/>
    </row>
    <row r="5552" spans="7:11" x14ac:dyDescent="0.2">
      <c r="G5552" s="131"/>
      <c r="H5552" s="131"/>
      <c r="I5552" s="131"/>
      <c r="J5552" s="132"/>
      <c r="K5552" s="131"/>
    </row>
    <row r="5553" spans="7:11" x14ac:dyDescent="0.2">
      <c r="G5553" s="131"/>
      <c r="H5553" s="131"/>
      <c r="I5553" s="131"/>
      <c r="J5553" s="132"/>
      <c r="K5553" s="131"/>
    </row>
    <row r="5554" spans="7:11" x14ac:dyDescent="0.2">
      <c r="G5554" s="131"/>
      <c r="H5554" s="131"/>
      <c r="I5554" s="131"/>
      <c r="J5554" s="132"/>
      <c r="K5554" s="131"/>
    </row>
    <row r="5555" spans="7:11" x14ac:dyDescent="0.2">
      <c r="G5555" s="131"/>
      <c r="H5555" s="131"/>
      <c r="I5555" s="131"/>
      <c r="J5555" s="132"/>
      <c r="K5555" s="131"/>
    </row>
    <row r="5556" spans="7:11" x14ac:dyDescent="0.2">
      <c r="G5556" s="131"/>
      <c r="H5556" s="131"/>
      <c r="I5556" s="131"/>
      <c r="J5556" s="132"/>
      <c r="K5556" s="131"/>
    </row>
    <row r="5557" spans="7:11" x14ac:dyDescent="0.2">
      <c r="G5557" s="131"/>
      <c r="H5557" s="131"/>
      <c r="I5557" s="131"/>
      <c r="J5557" s="132"/>
      <c r="K5557" s="131"/>
    </row>
    <row r="5558" spans="7:11" x14ac:dyDescent="0.2">
      <c r="G5558" s="131"/>
      <c r="H5558" s="131"/>
      <c r="I5558" s="131"/>
      <c r="J5558" s="132"/>
      <c r="K5558" s="131"/>
    </row>
    <row r="5559" spans="7:11" x14ac:dyDescent="0.2">
      <c r="G5559" s="131"/>
      <c r="H5559" s="131"/>
      <c r="I5559" s="131"/>
      <c r="J5559" s="132"/>
      <c r="K5559" s="131"/>
    </row>
    <row r="5560" spans="7:11" x14ac:dyDescent="0.2">
      <c r="G5560" s="131"/>
      <c r="H5560" s="131"/>
      <c r="I5560" s="131"/>
      <c r="J5560" s="132"/>
      <c r="K5560" s="131"/>
    </row>
    <row r="5561" spans="7:11" x14ac:dyDescent="0.2">
      <c r="G5561" s="131"/>
      <c r="H5561" s="131"/>
      <c r="I5561" s="131"/>
      <c r="J5561" s="132"/>
      <c r="K5561" s="131"/>
    </row>
    <row r="5562" spans="7:11" x14ac:dyDescent="0.2">
      <c r="G5562" s="131"/>
      <c r="H5562" s="131"/>
      <c r="I5562" s="131"/>
      <c r="J5562" s="132"/>
      <c r="K5562" s="131"/>
    </row>
    <row r="5563" spans="7:11" x14ac:dyDescent="0.2">
      <c r="G5563" s="131"/>
      <c r="H5563" s="131"/>
      <c r="I5563" s="131"/>
      <c r="J5563" s="132"/>
      <c r="K5563" s="131"/>
    </row>
    <row r="5564" spans="7:11" x14ac:dyDescent="0.2">
      <c r="G5564" s="131"/>
      <c r="H5564" s="131"/>
      <c r="I5564" s="131"/>
      <c r="J5564" s="132"/>
      <c r="K5564" s="131"/>
    </row>
    <row r="5565" spans="7:11" x14ac:dyDescent="0.2">
      <c r="G5565" s="131"/>
      <c r="H5565" s="131"/>
      <c r="I5565" s="131"/>
      <c r="J5565" s="132"/>
      <c r="K5565" s="131"/>
    </row>
    <row r="5566" spans="7:11" x14ac:dyDescent="0.2">
      <c r="G5566" s="131"/>
      <c r="H5566" s="131"/>
      <c r="I5566" s="131"/>
      <c r="J5566" s="132"/>
      <c r="K5566" s="131"/>
    </row>
    <row r="5567" spans="7:11" x14ac:dyDescent="0.2">
      <c r="G5567" s="131"/>
      <c r="H5567" s="131"/>
      <c r="I5567" s="131"/>
      <c r="J5567" s="132"/>
      <c r="K5567" s="131"/>
    </row>
    <row r="5568" spans="7:11" x14ac:dyDescent="0.2">
      <c r="G5568" s="131"/>
      <c r="H5568" s="131"/>
      <c r="I5568" s="131"/>
      <c r="J5568" s="132"/>
      <c r="K5568" s="131"/>
    </row>
    <row r="5569" spans="7:11" x14ac:dyDescent="0.2">
      <c r="G5569" s="131"/>
      <c r="H5569" s="131"/>
      <c r="I5569" s="131"/>
      <c r="J5569" s="132"/>
      <c r="K5569" s="131"/>
    </row>
    <row r="5570" spans="7:11" x14ac:dyDescent="0.2">
      <c r="G5570" s="131"/>
      <c r="H5570" s="131"/>
      <c r="I5570" s="131"/>
      <c r="J5570" s="132"/>
      <c r="K5570" s="131"/>
    </row>
    <row r="5571" spans="7:11" x14ac:dyDescent="0.2">
      <c r="G5571" s="131"/>
      <c r="H5571" s="131"/>
      <c r="I5571" s="131"/>
      <c r="J5571" s="132"/>
      <c r="K5571" s="131"/>
    </row>
    <row r="5572" spans="7:11" x14ac:dyDescent="0.2">
      <c r="G5572" s="131"/>
      <c r="H5572" s="131"/>
      <c r="I5572" s="131"/>
      <c r="J5572" s="132"/>
      <c r="K5572" s="131"/>
    </row>
    <row r="5573" spans="7:11" x14ac:dyDescent="0.2">
      <c r="G5573" s="131"/>
      <c r="H5573" s="131"/>
      <c r="I5573" s="131"/>
      <c r="J5573" s="132"/>
      <c r="K5573" s="131"/>
    </row>
    <row r="5574" spans="7:11" x14ac:dyDescent="0.2">
      <c r="G5574" s="131"/>
      <c r="H5574" s="131"/>
      <c r="I5574" s="131"/>
      <c r="J5574" s="132"/>
      <c r="K5574" s="131"/>
    </row>
    <row r="5575" spans="7:11" x14ac:dyDescent="0.2">
      <c r="G5575" s="131"/>
      <c r="H5575" s="131"/>
      <c r="I5575" s="131"/>
      <c r="J5575" s="132"/>
      <c r="K5575" s="131"/>
    </row>
    <row r="5576" spans="7:11" x14ac:dyDescent="0.2">
      <c r="G5576" s="131"/>
      <c r="H5576" s="131"/>
      <c r="I5576" s="131"/>
      <c r="J5576" s="132"/>
      <c r="K5576" s="131"/>
    </row>
    <row r="5577" spans="7:11" x14ac:dyDescent="0.2">
      <c r="G5577" s="131"/>
      <c r="H5577" s="131"/>
      <c r="I5577" s="131"/>
      <c r="J5577" s="132"/>
      <c r="K5577" s="131"/>
    </row>
    <row r="5578" spans="7:11" x14ac:dyDescent="0.2">
      <c r="G5578" s="131"/>
      <c r="H5578" s="131"/>
      <c r="I5578" s="131"/>
      <c r="J5578" s="132"/>
      <c r="K5578" s="131"/>
    </row>
    <row r="5579" spans="7:11" x14ac:dyDescent="0.2">
      <c r="G5579" s="131"/>
      <c r="H5579" s="131"/>
      <c r="I5579" s="131"/>
      <c r="J5579" s="132"/>
      <c r="K5579" s="131"/>
    </row>
    <row r="5580" spans="7:11" x14ac:dyDescent="0.2">
      <c r="G5580" s="131"/>
      <c r="H5580" s="131"/>
      <c r="I5580" s="131"/>
      <c r="J5580" s="132"/>
      <c r="K5580" s="131"/>
    </row>
    <row r="5581" spans="7:11" x14ac:dyDescent="0.2">
      <c r="G5581" s="131"/>
      <c r="H5581" s="131"/>
      <c r="I5581" s="131"/>
      <c r="J5581" s="132"/>
      <c r="K5581" s="131"/>
    </row>
    <row r="5582" spans="7:11" x14ac:dyDescent="0.2">
      <c r="G5582" s="131"/>
      <c r="H5582" s="131"/>
      <c r="I5582" s="131"/>
      <c r="J5582" s="132"/>
      <c r="K5582" s="131"/>
    </row>
    <row r="5583" spans="7:11" x14ac:dyDescent="0.2">
      <c r="G5583" s="131"/>
      <c r="H5583" s="131"/>
      <c r="I5583" s="131"/>
      <c r="J5583" s="132"/>
      <c r="K5583" s="131"/>
    </row>
    <row r="5584" spans="7:11" x14ac:dyDescent="0.2">
      <c r="G5584" s="131"/>
      <c r="H5584" s="131"/>
      <c r="I5584" s="131"/>
      <c r="J5584" s="132"/>
      <c r="K5584" s="131"/>
    </row>
    <row r="5585" spans="7:11" x14ac:dyDescent="0.2">
      <c r="G5585" s="131"/>
      <c r="H5585" s="131"/>
      <c r="I5585" s="131"/>
      <c r="J5585" s="132"/>
      <c r="K5585" s="131"/>
    </row>
    <row r="5586" spans="7:11" x14ac:dyDescent="0.2">
      <c r="G5586" s="131"/>
      <c r="H5586" s="131"/>
      <c r="I5586" s="131"/>
      <c r="J5586" s="132"/>
      <c r="K5586" s="131"/>
    </row>
    <row r="5587" spans="7:11" x14ac:dyDescent="0.2">
      <c r="G5587" s="131"/>
      <c r="H5587" s="131"/>
      <c r="I5587" s="131"/>
      <c r="J5587" s="132"/>
      <c r="K5587" s="131"/>
    </row>
    <row r="5588" spans="7:11" x14ac:dyDescent="0.2">
      <c r="G5588" s="131"/>
      <c r="H5588" s="131"/>
      <c r="I5588" s="131"/>
      <c r="J5588" s="132"/>
      <c r="K5588" s="131"/>
    </row>
    <row r="5589" spans="7:11" x14ac:dyDescent="0.2">
      <c r="G5589" s="131"/>
      <c r="H5589" s="131"/>
      <c r="I5589" s="131"/>
      <c r="J5589" s="132"/>
      <c r="K5589" s="131"/>
    </row>
    <row r="5590" spans="7:11" x14ac:dyDescent="0.2">
      <c r="G5590" s="131"/>
      <c r="H5590" s="131"/>
      <c r="I5590" s="131"/>
      <c r="J5590" s="132"/>
      <c r="K5590" s="131"/>
    </row>
    <row r="5591" spans="7:11" x14ac:dyDescent="0.2">
      <c r="G5591" s="131"/>
      <c r="H5591" s="131"/>
      <c r="I5591" s="131"/>
      <c r="J5591" s="132"/>
      <c r="K5591" s="131"/>
    </row>
    <row r="5592" spans="7:11" x14ac:dyDescent="0.2">
      <c r="G5592" s="131"/>
      <c r="H5592" s="131"/>
      <c r="I5592" s="131"/>
      <c r="J5592" s="132"/>
      <c r="K5592" s="131"/>
    </row>
    <row r="5593" spans="7:11" x14ac:dyDescent="0.2">
      <c r="G5593" s="131"/>
      <c r="H5593" s="131"/>
      <c r="I5593" s="131"/>
      <c r="J5593" s="132"/>
      <c r="K5593" s="131"/>
    </row>
    <row r="5594" spans="7:11" x14ac:dyDescent="0.2">
      <c r="G5594" s="131"/>
      <c r="H5594" s="131"/>
      <c r="I5594" s="131"/>
      <c r="J5594" s="132"/>
      <c r="K5594" s="131"/>
    </row>
    <row r="5595" spans="7:11" x14ac:dyDescent="0.2">
      <c r="G5595" s="131"/>
      <c r="H5595" s="131"/>
      <c r="I5595" s="131"/>
      <c r="J5595" s="132"/>
      <c r="K5595" s="131"/>
    </row>
    <row r="5596" spans="7:11" x14ac:dyDescent="0.2">
      <c r="G5596" s="131"/>
      <c r="H5596" s="131"/>
      <c r="I5596" s="131"/>
      <c r="J5596" s="132"/>
      <c r="K5596" s="131"/>
    </row>
    <row r="5597" spans="7:11" x14ac:dyDescent="0.2">
      <c r="G5597" s="131"/>
      <c r="H5597" s="131"/>
      <c r="I5597" s="131"/>
      <c r="J5597" s="132"/>
      <c r="K5597" s="131"/>
    </row>
    <row r="5598" spans="7:11" x14ac:dyDescent="0.2">
      <c r="G5598" s="131"/>
      <c r="H5598" s="131"/>
      <c r="I5598" s="131"/>
      <c r="J5598" s="132"/>
      <c r="K5598" s="131"/>
    </row>
    <row r="5599" spans="7:11" x14ac:dyDescent="0.2">
      <c r="G5599" s="131"/>
      <c r="H5599" s="131"/>
      <c r="I5599" s="131"/>
      <c r="J5599" s="132"/>
      <c r="K5599" s="131"/>
    </row>
    <row r="5600" spans="7:11" x14ac:dyDescent="0.2">
      <c r="G5600" s="131"/>
      <c r="H5600" s="131"/>
      <c r="I5600" s="131"/>
      <c r="J5600" s="132"/>
      <c r="K5600" s="131"/>
    </row>
    <row r="5601" spans="7:11" x14ac:dyDescent="0.2">
      <c r="G5601" s="131"/>
      <c r="H5601" s="131"/>
      <c r="I5601" s="131"/>
      <c r="J5601" s="132"/>
      <c r="K5601" s="131"/>
    </row>
    <row r="5602" spans="7:11" x14ac:dyDescent="0.2">
      <c r="G5602" s="131"/>
      <c r="H5602" s="131"/>
      <c r="I5602" s="131"/>
      <c r="J5602" s="132"/>
      <c r="K5602" s="131"/>
    </row>
    <row r="5603" spans="7:11" x14ac:dyDescent="0.2">
      <c r="G5603" s="131"/>
      <c r="H5603" s="131"/>
      <c r="I5603" s="131"/>
      <c r="J5603" s="132"/>
      <c r="K5603" s="131"/>
    </row>
    <row r="5604" spans="7:11" x14ac:dyDescent="0.2">
      <c r="G5604" s="131"/>
      <c r="H5604" s="131"/>
      <c r="I5604" s="131"/>
      <c r="J5604" s="132"/>
      <c r="K5604" s="131"/>
    </row>
    <row r="5605" spans="7:11" x14ac:dyDescent="0.2">
      <c r="G5605" s="131"/>
      <c r="H5605" s="131"/>
      <c r="I5605" s="131"/>
      <c r="J5605" s="132"/>
      <c r="K5605" s="131"/>
    </row>
    <row r="5606" spans="7:11" x14ac:dyDescent="0.2">
      <c r="G5606" s="131"/>
      <c r="H5606" s="131"/>
      <c r="I5606" s="131"/>
      <c r="J5606" s="132"/>
      <c r="K5606" s="131"/>
    </row>
    <row r="5607" spans="7:11" x14ac:dyDescent="0.2">
      <c r="G5607" s="131"/>
      <c r="H5607" s="131"/>
      <c r="I5607" s="131"/>
      <c r="J5607" s="132"/>
      <c r="K5607" s="131"/>
    </row>
    <row r="5608" spans="7:11" x14ac:dyDescent="0.2">
      <c r="G5608" s="131"/>
      <c r="H5608" s="131"/>
      <c r="I5608" s="131"/>
      <c r="J5608" s="132"/>
      <c r="K5608" s="131"/>
    </row>
    <row r="5609" spans="7:11" x14ac:dyDescent="0.2">
      <c r="G5609" s="131"/>
      <c r="H5609" s="131"/>
      <c r="I5609" s="131"/>
      <c r="J5609" s="132"/>
      <c r="K5609" s="131"/>
    </row>
    <row r="5610" spans="7:11" x14ac:dyDescent="0.2">
      <c r="G5610" s="131"/>
      <c r="H5610" s="131"/>
      <c r="I5610" s="131"/>
      <c r="J5610" s="132"/>
      <c r="K5610" s="131"/>
    </row>
    <row r="5611" spans="7:11" x14ac:dyDescent="0.2">
      <c r="G5611" s="131"/>
      <c r="H5611" s="131"/>
      <c r="I5611" s="131"/>
      <c r="J5611" s="132"/>
      <c r="K5611" s="131"/>
    </row>
    <row r="5612" spans="7:11" x14ac:dyDescent="0.2">
      <c r="G5612" s="131"/>
      <c r="H5612" s="131"/>
      <c r="I5612" s="131"/>
      <c r="J5612" s="132"/>
      <c r="K5612" s="131"/>
    </row>
    <row r="5613" spans="7:11" x14ac:dyDescent="0.2">
      <c r="G5613" s="131"/>
      <c r="H5613" s="131"/>
      <c r="I5613" s="131"/>
      <c r="J5613" s="132"/>
      <c r="K5613" s="131"/>
    </row>
    <row r="5614" spans="7:11" x14ac:dyDescent="0.2">
      <c r="G5614" s="131"/>
      <c r="H5614" s="131"/>
      <c r="I5614" s="131"/>
      <c r="J5614" s="132"/>
      <c r="K5614" s="131"/>
    </row>
    <row r="5615" spans="7:11" x14ac:dyDescent="0.2">
      <c r="G5615" s="131"/>
      <c r="H5615" s="131"/>
      <c r="I5615" s="131"/>
      <c r="J5615" s="132"/>
      <c r="K5615" s="131"/>
    </row>
    <row r="5616" spans="7:11" x14ac:dyDescent="0.2">
      <c r="G5616" s="131"/>
      <c r="H5616" s="131"/>
      <c r="I5616" s="131"/>
      <c r="J5616" s="132"/>
      <c r="K5616" s="131"/>
    </row>
    <row r="5617" spans="7:11" x14ac:dyDescent="0.2">
      <c r="G5617" s="131"/>
      <c r="H5617" s="131"/>
      <c r="I5617" s="131"/>
      <c r="J5617" s="132"/>
      <c r="K5617" s="131"/>
    </row>
    <row r="5618" spans="7:11" x14ac:dyDescent="0.2">
      <c r="G5618" s="131"/>
      <c r="H5618" s="131"/>
      <c r="I5618" s="131"/>
      <c r="J5618" s="132"/>
      <c r="K5618" s="131"/>
    </row>
    <row r="5619" spans="7:11" x14ac:dyDescent="0.2">
      <c r="G5619" s="131"/>
      <c r="H5619" s="131"/>
      <c r="I5619" s="131"/>
      <c r="J5619" s="132"/>
      <c r="K5619" s="131"/>
    </row>
    <row r="5620" spans="7:11" x14ac:dyDescent="0.2">
      <c r="G5620" s="131"/>
      <c r="H5620" s="131"/>
      <c r="I5620" s="131"/>
      <c r="J5620" s="132"/>
      <c r="K5620" s="131"/>
    </row>
    <row r="5621" spans="7:11" x14ac:dyDescent="0.2">
      <c r="G5621" s="131"/>
      <c r="H5621" s="131"/>
      <c r="I5621" s="131"/>
      <c r="J5621" s="132"/>
      <c r="K5621" s="131"/>
    </row>
    <row r="5622" spans="7:11" x14ac:dyDescent="0.2">
      <c r="G5622" s="131"/>
      <c r="H5622" s="131"/>
      <c r="I5622" s="131"/>
      <c r="J5622" s="132"/>
      <c r="K5622" s="131"/>
    </row>
    <row r="5623" spans="7:11" x14ac:dyDescent="0.2">
      <c r="G5623" s="131"/>
      <c r="H5623" s="131"/>
      <c r="I5623" s="131"/>
      <c r="J5623" s="132"/>
      <c r="K5623" s="131"/>
    </row>
    <row r="5624" spans="7:11" x14ac:dyDescent="0.2">
      <c r="G5624" s="131"/>
      <c r="H5624" s="131"/>
      <c r="I5624" s="131"/>
      <c r="J5624" s="132"/>
      <c r="K5624" s="131"/>
    </row>
    <row r="5625" spans="7:11" x14ac:dyDescent="0.2">
      <c r="G5625" s="131"/>
      <c r="H5625" s="131"/>
      <c r="I5625" s="131"/>
      <c r="J5625" s="132"/>
      <c r="K5625" s="131"/>
    </row>
    <row r="5626" spans="7:11" x14ac:dyDescent="0.2">
      <c r="G5626" s="131"/>
      <c r="H5626" s="131"/>
      <c r="I5626" s="131"/>
      <c r="J5626" s="132"/>
      <c r="K5626" s="131"/>
    </row>
    <row r="5627" spans="7:11" x14ac:dyDescent="0.2">
      <c r="G5627" s="131"/>
      <c r="H5627" s="131"/>
      <c r="I5627" s="131"/>
      <c r="J5627" s="132"/>
      <c r="K5627" s="131"/>
    </row>
    <row r="5628" spans="7:11" x14ac:dyDescent="0.2">
      <c r="G5628" s="131"/>
      <c r="H5628" s="131"/>
      <c r="I5628" s="131"/>
      <c r="J5628" s="132"/>
      <c r="K5628" s="131"/>
    </row>
    <row r="5629" spans="7:11" x14ac:dyDescent="0.2">
      <c r="G5629" s="131"/>
      <c r="H5629" s="131"/>
      <c r="I5629" s="131"/>
      <c r="J5629" s="132"/>
      <c r="K5629" s="131"/>
    </row>
    <row r="5630" spans="7:11" x14ac:dyDescent="0.2">
      <c r="G5630" s="131"/>
      <c r="H5630" s="131"/>
      <c r="I5630" s="131"/>
      <c r="J5630" s="132"/>
      <c r="K5630" s="131"/>
    </row>
    <row r="5631" spans="7:11" x14ac:dyDescent="0.2">
      <c r="G5631" s="131"/>
      <c r="H5631" s="131"/>
      <c r="I5631" s="131"/>
      <c r="J5631" s="132"/>
      <c r="K5631" s="131"/>
    </row>
    <row r="5632" spans="7:11" x14ac:dyDescent="0.2">
      <c r="G5632" s="131"/>
      <c r="H5632" s="131"/>
      <c r="I5632" s="131"/>
      <c r="J5632" s="132"/>
      <c r="K5632" s="131"/>
    </row>
    <row r="5633" spans="7:11" x14ac:dyDescent="0.2">
      <c r="G5633" s="131"/>
      <c r="H5633" s="131"/>
      <c r="I5633" s="131"/>
      <c r="J5633" s="132"/>
      <c r="K5633" s="131"/>
    </row>
    <row r="5634" spans="7:11" x14ac:dyDescent="0.2">
      <c r="G5634" s="131"/>
      <c r="H5634" s="131"/>
      <c r="I5634" s="131"/>
      <c r="J5634" s="132"/>
      <c r="K5634" s="131"/>
    </row>
    <row r="5635" spans="7:11" x14ac:dyDescent="0.2">
      <c r="G5635" s="131"/>
      <c r="H5635" s="131"/>
      <c r="I5635" s="131"/>
      <c r="J5635" s="132"/>
      <c r="K5635" s="131"/>
    </row>
    <row r="5636" spans="7:11" x14ac:dyDescent="0.2">
      <c r="G5636" s="131"/>
      <c r="H5636" s="131"/>
      <c r="I5636" s="131"/>
      <c r="J5636" s="132"/>
      <c r="K5636" s="131"/>
    </row>
    <row r="5637" spans="7:11" x14ac:dyDescent="0.2">
      <c r="G5637" s="131"/>
      <c r="H5637" s="131"/>
      <c r="I5637" s="131"/>
      <c r="J5637" s="132"/>
      <c r="K5637" s="131"/>
    </row>
    <row r="5638" spans="7:11" x14ac:dyDescent="0.2">
      <c r="G5638" s="131"/>
      <c r="H5638" s="131"/>
      <c r="I5638" s="131"/>
      <c r="J5638" s="132"/>
      <c r="K5638" s="131"/>
    </row>
    <row r="5639" spans="7:11" x14ac:dyDescent="0.2">
      <c r="G5639" s="131"/>
      <c r="H5639" s="131"/>
      <c r="I5639" s="131"/>
      <c r="J5639" s="132"/>
      <c r="K5639" s="131"/>
    </row>
    <row r="5640" spans="7:11" x14ac:dyDescent="0.2">
      <c r="G5640" s="131"/>
      <c r="H5640" s="131"/>
      <c r="I5640" s="131"/>
      <c r="J5640" s="132"/>
      <c r="K5640" s="131"/>
    </row>
    <row r="5641" spans="7:11" x14ac:dyDescent="0.2">
      <c r="G5641" s="131"/>
      <c r="H5641" s="131"/>
      <c r="I5641" s="131"/>
      <c r="J5641" s="132"/>
      <c r="K5641" s="131"/>
    </row>
    <row r="5642" spans="7:11" x14ac:dyDescent="0.2">
      <c r="G5642" s="131"/>
      <c r="H5642" s="131"/>
      <c r="I5642" s="131"/>
      <c r="J5642" s="132"/>
      <c r="K5642" s="131"/>
    </row>
    <row r="5643" spans="7:11" x14ac:dyDescent="0.2">
      <c r="G5643" s="131"/>
      <c r="H5643" s="131"/>
      <c r="I5643" s="131"/>
      <c r="J5643" s="132"/>
      <c r="K5643" s="131"/>
    </row>
    <row r="5644" spans="7:11" x14ac:dyDescent="0.2">
      <c r="G5644" s="131"/>
      <c r="H5644" s="131"/>
      <c r="I5644" s="131"/>
      <c r="J5644" s="132"/>
      <c r="K5644" s="131"/>
    </row>
    <row r="5645" spans="7:11" x14ac:dyDescent="0.2">
      <c r="G5645" s="131"/>
      <c r="H5645" s="131"/>
      <c r="I5645" s="131"/>
      <c r="J5645" s="132"/>
      <c r="K5645" s="131"/>
    </row>
    <row r="5646" spans="7:11" x14ac:dyDescent="0.2">
      <c r="G5646" s="131"/>
      <c r="H5646" s="131"/>
      <c r="I5646" s="131"/>
      <c r="J5646" s="132"/>
      <c r="K5646" s="131"/>
    </row>
    <row r="5647" spans="7:11" x14ac:dyDescent="0.2">
      <c r="G5647" s="131"/>
      <c r="H5647" s="131"/>
      <c r="I5647" s="131"/>
      <c r="J5647" s="132"/>
      <c r="K5647" s="131"/>
    </row>
    <row r="5648" spans="7:11" x14ac:dyDescent="0.2">
      <c r="G5648" s="131"/>
      <c r="H5648" s="131"/>
      <c r="I5648" s="131"/>
      <c r="J5648" s="132"/>
      <c r="K5648" s="131"/>
    </row>
    <row r="5649" spans="7:11" x14ac:dyDescent="0.2">
      <c r="G5649" s="131"/>
      <c r="H5649" s="131"/>
      <c r="I5649" s="131"/>
      <c r="J5649" s="132"/>
      <c r="K5649" s="131"/>
    </row>
    <row r="5650" spans="7:11" x14ac:dyDescent="0.2">
      <c r="G5650" s="131"/>
      <c r="H5650" s="131"/>
      <c r="I5650" s="131"/>
      <c r="J5650" s="132"/>
      <c r="K5650" s="131"/>
    </row>
    <row r="5651" spans="7:11" x14ac:dyDescent="0.2">
      <c r="G5651" s="131"/>
      <c r="H5651" s="131"/>
      <c r="I5651" s="131"/>
      <c r="J5651" s="132"/>
      <c r="K5651" s="131"/>
    </row>
    <row r="5652" spans="7:11" x14ac:dyDescent="0.2">
      <c r="G5652" s="131"/>
      <c r="H5652" s="131"/>
      <c r="I5652" s="131"/>
      <c r="J5652" s="132"/>
      <c r="K5652" s="131"/>
    </row>
    <row r="5653" spans="7:11" x14ac:dyDescent="0.2">
      <c r="G5653" s="131"/>
      <c r="H5653" s="131"/>
      <c r="I5653" s="131"/>
      <c r="J5653" s="132"/>
      <c r="K5653" s="131"/>
    </row>
    <row r="5654" spans="7:11" x14ac:dyDescent="0.2">
      <c r="G5654" s="131"/>
      <c r="H5654" s="131"/>
      <c r="I5654" s="131"/>
      <c r="J5654" s="132"/>
      <c r="K5654" s="131"/>
    </row>
    <row r="5655" spans="7:11" x14ac:dyDescent="0.2">
      <c r="G5655" s="131"/>
      <c r="H5655" s="131"/>
      <c r="I5655" s="131"/>
      <c r="J5655" s="132"/>
      <c r="K5655" s="131"/>
    </row>
    <row r="5656" spans="7:11" x14ac:dyDescent="0.2">
      <c r="G5656" s="131"/>
      <c r="H5656" s="131"/>
      <c r="I5656" s="131"/>
      <c r="J5656" s="132"/>
      <c r="K5656" s="131"/>
    </row>
    <row r="5657" spans="7:11" x14ac:dyDescent="0.2">
      <c r="G5657" s="131"/>
      <c r="H5657" s="131"/>
      <c r="I5657" s="131"/>
      <c r="J5657" s="132"/>
      <c r="K5657" s="131"/>
    </row>
    <row r="5658" spans="7:11" x14ac:dyDescent="0.2">
      <c r="G5658" s="131"/>
      <c r="H5658" s="131"/>
      <c r="I5658" s="131"/>
      <c r="J5658" s="132"/>
      <c r="K5658" s="131"/>
    </row>
    <row r="5659" spans="7:11" x14ac:dyDescent="0.2">
      <c r="G5659" s="131"/>
      <c r="H5659" s="131"/>
      <c r="I5659" s="131"/>
      <c r="J5659" s="132"/>
      <c r="K5659" s="131"/>
    </row>
    <row r="5660" spans="7:11" x14ac:dyDescent="0.2">
      <c r="G5660" s="131"/>
      <c r="H5660" s="131"/>
      <c r="I5660" s="131"/>
      <c r="J5660" s="132"/>
      <c r="K5660" s="131"/>
    </row>
    <row r="5661" spans="7:11" x14ac:dyDescent="0.2">
      <c r="G5661" s="131"/>
      <c r="H5661" s="131"/>
      <c r="I5661" s="131"/>
      <c r="J5661" s="132"/>
      <c r="K5661" s="131"/>
    </row>
    <row r="5662" spans="7:11" x14ac:dyDescent="0.2">
      <c r="G5662" s="131"/>
      <c r="H5662" s="131"/>
      <c r="I5662" s="131"/>
      <c r="J5662" s="132"/>
      <c r="K5662" s="131"/>
    </row>
    <row r="5663" spans="7:11" x14ac:dyDescent="0.2">
      <c r="G5663" s="131"/>
      <c r="H5663" s="131"/>
      <c r="I5663" s="131"/>
      <c r="J5663" s="132"/>
      <c r="K5663" s="131"/>
    </row>
    <row r="5664" spans="7:11" x14ac:dyDescent="0.2">
      <c r="G5664" s="131"/>
      <c r="H5664" s="131"/>
      <c r="I5664" s="131"/>
      <c r="J5664" s="132"/>
      <c r="K5664" s="131"/>
    </row>
    <row r="5665" spans="7:11" x14ac:dyDescent="0.2">
      <c r="G5665" s="131"/>
      <c r="H5665" s="131"/>
      <c r="I5665" s="131"/>
      <c r="J5665" s="132"/>
      <c r="K5665" s="131"/>
    </row>
    <row r="5666" spans="7:11" x14ac:dyDescent="0.2">
      <c r="G5666" s="131"/>
      <c r="H5666" s="131"/>
      <c r="I5666" s="131"/>
      <c r="J5666" s="132"/>
      <c r="K5666" s="131"/>
    </row>
    <row r="5667" spans="7:11" x14ac:dyDescent="0.2">
      <c r="G5667" s="131"/>
      <c r="H5667" s="131"/>
      <c r="I5667" s="131"/>
      <c r="J5667" s="132"/>
      <c r="K5667" s="131"/>
    </row>
    <row r="5668" spans="7:11" x14ac:dyDescent="0.2">
      <c r="G5668" s="131"/>
      <c r="H5668" s="131"/>
      <c r="I5668" s="131"/>
      <c r="J5668" s="132"/>
      <c r="K5668" s="131"/>
    </row>
    <row r="5669" spans="7:11" x14ac:dyDescent="0.2">
      <c r="G5669" s="131"/>
      <c r="H5669" s="131"/>
      <c r="I5669" s="131"/>
      <c r="J5669" s="132"/>
      <c r="K5669" s="131"/>
    </row>
    <row r="5670" spans="7:11" x14ac:dyDescent="0.2">
      <c r="G5670" s="131"/>
      <c r="H5670" s="131"/>
      <c r="I5670" s="131"/>
      <c r="J5670" s="132"/>
      <c r="K5670" s="131"/>
    </row>
    <row r="5671" spans="7:11" x14ac:dyDescent="0.2">
      <c r="G5671" s="131"/>
      <c r="H5671" s="131"/>
      <c r="I5671" s="131"/>
      <c r="J5671" s="132"/>
      <c r="K5671" s="131"/>
    </row>
    <row r="5672" spans="7:11" x14ac:dyDescent="0.2">
      <c r="G5672" s="131"/>
      <c r="H5672" s="131"/>
      <c r="I5672" s="131"/>
      <c r="J5672" s="132"/>
      <c r="K5672" s="131"/>
    </row>
    <row r="5673" spans="7:11" x14ac:dyDescent="0.2">
      <c r="G5673" s="131"/>
      <c r="H5673" s="131"/>
      <c r="I5673" s="131"/>
      <c r="J5673" s="132"/>
      <c r="K5673" s="131"/>
    </row>
    <row r="5674" spans="7:11" x14ac:dyDescent="0.2">
      <c r="G5674" s="131"/>
      <c r="H5674" s="131"/>
      <c r="I5674" s="131"/>
      <c r="J5674" s="132"/>
      <c r="K5674" s="131"/>
    </row>
    <row r="5675" spans="7:11" x14ac:dyDescent="0.2">
      <c r="G5675" s="131"/>
      <c r="H5675" s="131"/>
      <c r="I5675" s="131"/>
      <c r="J5675" s="132"/>
      <c r="K5675" s="131"/>
    </row>
    <row r="5676" spans="7:11" x14ac:dyDescent="0.2">
      <c r="G5676" s="131"/>
      <c r="H5676" s="131"/>
      <c r="I5676" s="131"/>
      <c r="J5676" s="132"/>
      <c r="K5676" s="131"/>
    </row>
    <row r="5677" spans="7:11" x14ac:dyDescent="0.2">
      <c r="G5677" s="131"/>
      <c r="H5677" s="131"/>
      <c r="I5677" s="131"/>
      <c r="J5677" s="132"/>
      <c r="K5677" s="131"/>
    </row>
    <row r="5678" spans="7:11" x14ac:dyDescent="0.2">
      <c r="G5678" s="131"/>
      <c r="H5678" s="131"/>
      <c r="I5678" s="131"/>
      <c r="J5678" s="132"/>
      <c r="K5678" s="131"/>
    </row>
    <row r="5679" spans="7:11" x14ac:dyDescent="0.2">
      <c r="G5679" s="131"/>
      <c r="H5679" s="131"/>
      <c r="I5679" s="131"/>
      <c r="J5679" s="132"/>
      <c r="K5679" s="131"/>
    </row>
    <row r="5680" spans="7:11" x14ac:dyDescent="0.2">
      <c r="G5680" s="131"/>
      <c r="H5680" s="131"/>
      <c r="I5680" s="131"/>
      <c r="J5680" s="132"/>
      <c r="K5680" s="131"/>
    </row>
    <row r="5681" spans="7:11" x14ac:dyDescent="0.2">
      <c r="G5681" s="131"/>
      <c r="H5681" s="131"/>
      <c r="I5681" s="131"/>
      <c r="J5681" s="132"/>
      <c r="K5681" s="131"/>
    </row>
    <row r="5682" spans="7:11" x14ac:dyDescent="0.2">
      <c r="G5682" s="131"/>
      <c r="H5682" s="131"/>
      <c r="I5682" s="131"/>
      <c r="J5682" s="132"/>
      <c r="K5682" s="131"/>
    </row>
    <row r="5683" spans="7:11" x14ac:dyDescent="0.2">
      <c r="G5683" s="131"/>
      <c r="H5683" s="131"/>
      <c r="I5683" s="131"/>
      <c r="J5683" s="132"/>
      <c r="K5683" s="131"/>
    </row>
    <row r="5684" spans="7:11" x14ac:dyDescent="0.2">
      <c r="G5684" s="131"/>
      <c r="H5684" s="131"/>
      <c r="I5684" s="131"/>
      <c r="J5684" s="132"/>
      <c r="K5684" s="131"/>
    </row>
    <row r="5685" spans="7:11" x14ac:dyDescent="0.2">
      <c r="G5685" s="131"/>
      <c r="H5685" s="131"/>
      <c r="I5685" s="131"/>
      <c r="J5685" s="132"/>
      <c r="K5685" s="131"/>
    </row>
    <row r="5686" spans="7:11" x14ac:dyDescent="0.2">
      <c r="G5686" s="131"/>
      <c r="H5686" s="131"/>
      <c r="I5686" s="131"/>
      <c r="J5686" s="132"/>
      <c r="K5686" s="131"/>
    </row>
    <row r="5687" spans="7:11" x14ac:dyDescent="0.2">
      <c r="G5687" s="131"/>
      <c r="H5687" s="131"/>
      <c r="I5687" s="131"/>
      <c r="J5687" s="132"/>
      <c r="K5687" s="131"/>
    </row>
    <row r="5688" spans="7:11" x14ac:dyDescent="0.2">
      <c r="G5688" s="131"/>
      <c r="H5688" s="131"/>
      <c r="I5688" s="131"/>
      <c r="J5688" s="132"/>
      <c r="K5688" s="131"/>
    </row>
    <row r="5689" spans="7:11" x14ac:dyDescent="0.2">
      <c r="G5689" s="131"/>
      <c r="H5689" s="131"/>
      <c r="I5689" s="131"/>
      <c r="J5689" s="132"/>
      <c r="K5689" s="131"/>
    </row>
    <row r="5690" spans="7:11" x14ac:dyDescent="0.2">
      <c r="G5690" s="131"/>
      <c r="H5690" s="131"/>
      <c r="I5690" s="131"/>
      <c r="J5690" s="132"/>
      <c r="K5690" s="131"/>
    </row>
    <row r="5691" spans="7:11" x14ac:dyDescent="0.2">
      <c r="G5691" s="131"/>
      <c r="H5691" s="131"/>
      <c r="I5691" s="131"/>
      <c r="J5691" s="132"/>
      <c r="K5691" s="131"/>
    </row>
    <row r="5692" spans="7:11" x14ac:dyDescent="0.2">
      <c r="G5692" s="131"/>
      <c r="H5692" s="131"/>
      <c r="I5692" s="131"/>
      <c r="J5692" s="132"/>
      <c r="K5692" s="131"/>
    </row>
    <row r="5693" spans="7:11" x14ac:dyDescent="0.2">
      <c r="G5693" s="131"/>
      <c r="H5693" s="131"/>
      <c r="I5693" s="131"/>
      <c r="J5693" s="132"/>
      <c r="K5693" s="131"/>
    </row>
    <row r="5694" spans="7:11" x14ac:dyDescent="0.2">
      <c r="G5694" s="131"/>
      <c r="H5694" s="131"/>
      <c r="I5694" s="131"/>
      <c r="J5694" s="132"/>
      <c r="K5694" s="131"/>
    </row>
    <row r="5695" spans="7:11" x14ac:dyDescent="0.2">
      <c r="G5695" s="131"/>
      <c r="H5695" s="131"/>
      <c r="I5695" s="131"/>
      <c r="J5695" s="132"/>
      <c r="K5695" s="131"/>
    </row>
    <row r="5696" spans="7:11" x14ac:dyDescent="0.2">
      <c r="G5696" s="131"/>
      <c r="H5696" s="131"/>
      <c r="I5696" s="131"/>
      <c r="J5696" s="132"/>
      <c r="K5696" s="131"/>
    </row>
    <row r="5697" spans="7:11" x14ac:dyDescent="0.2">
      <c r="G5697" s="131"/>
      <c r="H5697" s="131"/>
      <c r="I5697" s="131"/>
      <c r="J5697" s="132"/>
      <c r="K5697" s="131"/>
    </row>
    <row r="5698" spans="7:11" x14ac:dyDescent="0.2">
      <c r="G5698" s="131"/>
      <c r="H5698" s="131"/>
      <c r="I5698" s="131"/>
      <c r="J5698" s="132"/>
      <c r="K5698" s="131"/>
    </row>
    <row r="5699" spans="7:11" x14ac:dyDescent="0.2">
      <c r="G5699" s="131"/>
      <c r="H5699" s="131"/>
      <c r="I5699" s="131"/>
      <c r="J5699" s="132"/>
      <c r="K5699" s="131"/>
    </row>
    <row r="5700" spans="7:11" x14ac:dyDescent="0.2">
      <c r="G5700" s="131"/>
      <c r="H5700" s="131"/>
      <c r="I5700" s="131"/>
      <c r="J5700" s="132"/>
      <c r="K5700" s="131"/>
    </row>
    <row r="5701" spans="7:11" x14ac:dyDescent="0.2">
      <c r="G5701" s="131"/>
      <c r="H5701" s="131"/>
      <c r="I5701" s="131"/>
      <c r="J5701" s="132"/>
      <c r="K5701" s="131"/>
    </row>
    <row r="5702" spans="7:11" x14ac:dyDescent="0.2">
      <c r="G5702" s="131"/>
      <c r="H5702" s="131"/>
      <c r="I5702" s="131"/>
      <c r="J5702" s="132"/>
      <c r="K5702" s="131"/>
    </row>
    <row r="5703" spans="7:11" x14ac:dyDescent="0.2">
      <c r="G5703" s="131"/>
      <c r="H5703" s="131"/>
      <c r="I5703" s="131"/>
      <c r="J5703" s="132"/>
      <c r="K5703" s="131"/>
    </row>
    <row r="5704" spans="7:11" x14ac:dyDescent="0.2">
      <c r="G5704" s="131"/>
      <c r="H5704" s="131"/>
      <c r="I5704" s="131"/>
      <c r="J5704" s="132"/>
      <c r="K5704" s="131"/>
    </row>
    <row r="5705" spans="7:11" x14ac:dyDescent="0.2">
      <c r="G5705" s="131"/>
      <c r="H5705" s="131"/>
      <c r="I5705" s="131"/>
      <c r="J5705" s="132"/>
      <c r="K5705" s="131"/>
    </row>
    <row r="5706" spans="7:11" x14ac:dyDescent="0.2">
      <c r="G5706" s="131"/>
      <c r="H5706" s="131"/>
      <c r="I5706" s="131"/>
      <c r="J5706" s="132"/>
      <c r="K5706" s="131"/>
    </row>
    <row r="5707" spans="7:11" x14ac:dyDescent="0.2">
      <c r="G5707" s="131"/>
      <c r="H5707" s="131"/>
      <c r="I5707" s="131"/>
      <c r="J5707" s="132"/>
      <c r="K5707" s="131"/>
    </row>
    <row r="5708" spans="7:11" x14ac:dyDescent="0.2">
      <c r="G5708" s="131"/>
      <c r="H5708" s="131"/>
      <c r="I5708" s="131"/>
      <c r="J5708" s="132"/>
      <c r="K5708" s="131"/>
    </row>
    <row r="5709" spans="7:11" x14ac:dyDescent="0.2">
      <c r="G5709" s="131"/>
      <c r="H5709" s="131"/>
      <c r="I5709" s="131"/>
      <c r="J5709" s="132"/>
      <c r="K5709" s="131"/>
    </row>
    <row r="5710" spans="7:11" x14ac:dyDescent="0.2">
      <c r="G5710" s="131"/>
      <c r="H5710" s="131"/>
      <c r="I5710" s="131"/>
      <c r="J5710" s="132"/>
      <c r="K5710" s="131"/>
    </row>
    <row r="5711" spans="7:11" x14ac:dyDescent="0.2">
      <c r="G5711" s="131"/>
      <c r="H5711" s="131"/>
      <c r="I5711" s="131"/>
      <c r="J5711" s="132"/>
      <c r="K5711" s="131"/>
    </row>
    <row r="5712" spans="7:11" x14ac:dyDescent="0.2">
      <c r="G5712" s="131"/>
      <c r="H5712" s="131"/>
      <c r="I5712" s="131"/>
      <c r="J5712" s="132"/>
      <c r="K5712" s="131"/>
    </row>
    <row r="5713" spans="7:11" x14ac:dyDescent="0.2">
      <c r="G5713" s="131"/>
      <c r="H5713" s="131"/>
      <c r="I5713" s="131"/>
      <c r="J5713" s="132"/>
      <c r="K5713" s="131"/>
    </row>
    <row r="5714" spans="7:11" x14ac:dyDescent="0.2">
      <c r="G5714" s="131"/>
      <c r="H5714" s="131"/>
      <c r="I5714" s="131"/>
      <c r="J5714" s="132"/>
      <c r="K5714" s="131"/>
    </row>
    <row r="5715" spans="7:11" x14ac:dyDescent="0.2">
      <c r="G5715" s="131"/>
      <c r="H5715" s="131"/>
      <c r="I5715" s="131"/>
      <c r="J5715" s="132"/>
      <c r="K5715" s="131"/>
    </row>
    <row r="5716" spans="7:11" x14ac:dyDescent="0.2">
      <c r="G5716" s="131"/>
      <c r="H5716" s="131"/>
      <c r="I5716" s="131"/>
      <c r="J5716" s="132"/>
      <c r="K5716" s="131"/>
    </row>
    <row r="5717" spans="7:11" x14ac:dyDescent="0.2">
      <c r="G5717" s="131"/>
      <c r="H5717" s="131"/>
      <c r="I5717" s="131"/>
      <c r="J5717" s="132"/>
      <c r="K5717" s="131"/>
    </row>
    <row r="5718" spans="7:11" x14ac:dyDescent="0.2">
      <c r="G5718" s="131"/>
      <c r="H5718" s="131"/>
      <c r="I5718" s="131"/>
      <c r="J5718" s="132"/>
      <c r="K5718" s="131"/>
    </row>
    <row r="5719" spans="7:11" x14ac:dyDescent="0.2">
      <c r="G5719" s="131"/>
      <c r="H5719" s="131"/>
      <c r="I5719" s="131"/>
      <c r="J5719" s="132"/>
      <c r="K5719" s="131"/>
    </row>
    <row r="5720" spans="7:11" x14ac:dyDescent="0.2">
      <c r="G5720" s="131"/>
      <c r="H5720" s="131"/>
      <c r="I5720" s="131"/>
      <c r="J5720" s="132"/>
      <c r="K5720" s="131"/>
    </row>
    <row r="5721" spans="7:11" x14ac:dyDescent="0.2">
      <c r="G5721" s="131"/>
      <c r="H5721" s="131"/>
      <c r="I5721" s="131"/>
      <c r="J5721" s="132"/>
      <c r="K5721" s="131"/>
    </row>
    <row r="5722" spans="7:11" x14ac:dyDescent="0.2">
      <c r="G5722" s="131"/>
      <c r="H5722" s="131"/>
      <c r="I5722" s="131"/>
      <c r="J5722" s="132"/>
      <c r="K5722" s="131"/>
    </row>
    <row r="5723" spans="7:11" x14ac:dyDescent="0.2">
      <c r="G5723" s="131"/>
      <c r="H5723" s="131"/>
      <c r="I5723" s="131"/>
      <c r="J5723" s="132"/>
      <c r="K5723" s="131"/>
    </row>
    <row r="5724" spans="7:11" x14ac:dyDescent="0.2">
      <c r="G5724" s="131"/>
      <c r="H5724" s="131"/>
      <c r="I5724" s="131"/>
      <c r="J5724" s="132"/>
      <c r="K5724" s="131"/>
    </row>
    <row r="5725" spans="7:11" x14ac:dyDescent="0.2">
      <c r="G5725" s="131"/>
      <c r="H5725" s="131"/>
      <c r="I5725" s="131"/>
      <c r="J5725" s="132"/>
      <c r="K5725" s="131"/>
    </row>
    <row r="5726" spans="7:11" x14ac:dyDescent="0.2">
      <c r="G5726" s="131"/>
      <c r="H5726" s="131"/>
      <c r="I5726" s="131"/>
      <c r="J5726" s="132"/>
      <c r="K5726" s="131"/>
    </row>
    <row r="5727" spans="7:11" x14ac:dyDescent="0.2">
      <c r="G5727" s="131"/>
      <c r="H5727" s="131"/>
      <c r="I5727" s="131"/>
      <c r="J5727" s="132"/>
      <c r="K5727" s="131"/>
    </row>
    <row r="5728" spans="7:11" x14ac:dyDescent="0.2">
      <c r="G5728" s="131"/>
      <c r="H5728" s="131"/>
      <c r="I5728" s="131"/>
      <c r="J5728" s="132"/>
      <c r="K5728" s="131"/>
    </row>
    <row r="5729" spans="7:11" x14ac:dyDescent="0.2">
      <c r="G5729" s="131"/>
      <c r="H5729" s="131"/>
      <c r="I5729" s="131"/>
      <c r="J5729" s="132"/>
      <c r="K5729" s="131"/>
    </row>
    <row r="5730" spans="7:11" x14ac:dyDescent="0.2">
      <c r="G5730" s="131"/>
      <c r="H5730" s="131"/>
      <c r="I5730" s="131"/>
      <c r="J5730" s="132"/>
      <c r="K5730" s="131"/>
    </row>
    <row r="5731" spans="7:11" x14ac:dyDescent="0.2">
      <c r="G5731" s="131"/>
      <c r="H5731" s="131"/>
      <c r="I5731" s="131"/>
      <c r="J5731" s="132"/>
      <c r="K5731" s="131"/>
    </row>
    <row r="5732" spans="7:11" x14ac:dyDescent="0.2">
      <c r="G5732" s="131"/>
      <c r="H5732" s="131"/>
      <c r="I5732" s="131"/>
      <c r="J5732" s="132"/>
      <c r="K5732" s="131"/>
    </row>
    <row r="5733" spans="7:11" x14ac:dyDescent="0.2">
      <c r="G5733" s="131"/>
      <c r="H5733" s="131"/>
      <c r="I5733" s="131"/>
      <c r="J5733" s="132"/>
      <c r="K5733" s="131"/>
    </row>
    <row r="5734" spans="7:11" x14ac:dyDescent="0.2">
      <c r="G5734" s="131"/>
      <c r="H5734" s="131"/>
      <c r="I5734" s="131"/>
      <c r="J5734" s="132"/>
      <c r="K5734" s="131"/>
    </row>
    <row r="5735" spans="7:11" x14ac:dyDescent="0.2">
      <c r="G5735" s="131"/>
      <c r="H5735" s="131"/>
      <c r="I5735" s="131"/>
      <c r="J5735" s="132"/>
      <c r="K5735" s="131"/>
    </row>
    <row r="5736" spans="7:11" x14ac:dyDescent="0.2">
      <c r="G5736" s="131"/>
      <c r="H5736" s="131"/>
      <c r="I5736" s="131"/>
      <c r="J5736" s="132"/>
      <c r="K5736" s="131"/>
    </row>
    <row r="5737" spans="7:11" x14ac:dyDescent="0.2">
      <c r="G5737" s="131"/>
      <c r="H5737" s="131"/>
      <c r="I5737" s="131"/>
      <c r="J5737" s="132"/>
      <c r="K5737" s="131"/>
    </row>
    <row r="5738" spans="7:11" x14ac:dyDescent="0.2">
      <c r="G5738" s="131"/>
      <c r="H5738" s="131"/>
      <c r="I5738" s="131"/>
      <c r="J5738" s="132"/>
      <c r="K5738" s="131"/>
    </row>
    <row r="5739" spans="7:11" x14ac:dyDescent="0.2">
      <c r="G5739" s="131"/>
      <c r="H5739" s="131"/>
      <c r="I5739" s="131"/>
      <c r="J5739" s="132"/>
      <c r="K5739" s="131"/>
    </row>
    <row r="5740" spans="7:11" x14ac:dyDescent="0.2">
      <c r="G5740" s="131"/>
      <c r="H5740" s="131"/>
      <c r="I5740" s="131"/>
      <c r="J5740" s="132"/>
      <c r="K5740" s="131"/>
    </row>
    <row r="5741" spans="7:11" x14ac:dyDescent="0.2">
      <c r="G5741" s="131"/>
      <c r="H5741" s="131"/>
      <c r="I5741" s="131"/>
      <c r="J5741" s="132"/>
      <c r="K5741" s="131"/>
    </row>
    <row r="5742" spans="7:11" x14ac:dyDescent="0.2">
      <c r="G5742" s="131"/>
      <c r="H5742" s="131"/>
      <c r="I5742" s="131"/>
      <c r="J5742" s="132"/>
      <c r="K5742" s="131"/>
    </row>
    <row r="5743" spans="7:11" x14ac:dyDescent="0.2">
      <c r="G5743" s="131"/>
      <c r="H5743" s="131"/>
      <c r="I5743" s="131"/>
      <c r="J5743" s="132"/>
      <c r="K5743" s="131"/>
    </row>
    <row r="5744" spans="7:11" x14ac:dyDescent="0.2">
      <c r="G5744" s="131"/>
      <c r="H5744" s="131"/>
      <c r="I5744" s="131"/>
      <c r="J5744" s="132"/>
      <c r="K5744" s="131"/>
    </row>
    <row r="5745" spans="7:11" x14ac:dyDescent="0.2">
      <c r="G5745" s="131"/>
      <c r="H5745" s="131"/>
      <c r="I5745" s="131"/>
      <c r="J5745" s="132"/>
      <c r="K5745" s="131"/>
    </row>
    <row r="5746" spans="7:11" x14ac:dyDescent="0.2">
      <c r="G5746" s="131"/>
      <c r="H5746" s="131"/>
      <c r="I5746" s="131"/>
      <c r="J5746" s="132"/>
      <c r="K5746" s="131"/>
    </row>
    <row r="5747" spans="7:11" x14ac:dyDescent="0.2">
      <c r="G5747" s="131"/>
      <c r="H5747" s="131"/>
      <c r="I5747" s="131"/>
      <c r="J5747" s="132"/>
      <c r="K5747" s="131"/>
    </row>
    <row r="5748" spans="7:11" x14ac:dyDescent="0.2">
      <c r="G5748" s="131"/>
      <c r="H5748" s="131"/>
      <c r="I5748" s="131"/>
      <c r="J5748" s="132"/>
      <c r="K5748" s="131"/>
    </row>
    <row r="5749" spans="7:11" x14ac:dyDescent="0.2">
      <c r="G5749" s="131"/>
      <c r="H5749" s="131"/>
      <c r="I5749" s="131"/>
      <c r="J5749" s="132"/>
      <c r="K5749" s="131"/>
    </row>
    <row r="5750" spans="7:11" x14ac:dyDescent="0.2">
      <c r="G5750" s="131"/>
      <c r="H5750" s="131"/>
      <c r="I5750" s="131"/>
      <c r="J5750" s="132"/>
      <c r="K5750" s="131"/>
    </row>
    <row r="5751" spans="7:11" x14ac:dyDescent="0.2">
      <c r="G5751" s="131"/>
      <c r="H5751" s="131"/>
      <c r="I5751" s="131"/>
      <c r="J5751" s="132"/>
      <c r="K5751" s="131"/>
    </row>
    <row r="5752" spans="7:11" x14ac:dyDescent="0.2">
      <c r="G5752" s="131"/>
      <c r="H5752" s="131"/>
      <c r="I5752" s="131"/>
      <c r="J5752" s="132"/>
      <c r="K5752" s="131"/>
    </row>
    <row r="5753" spans="7:11" x14ac:dyDescent="0.2">
      <c r="G5753" s="131"/>
      <c r="H5753" s="131"/>
      <c r="I5753" s="131"/>
      <c r="J5753" s="132"/>
      <c r="K5753" s="131"/>
    </row>
    <row r="5754" spans="7:11" x14ac:dyDescent="0.2">
      <c r="G5754" s="131"/>
      <c r="H5754" s="131"/>
      <c r="I5754" s="131"/>
      <c r="J5754" s="132"/>
      <c r="K5754" s="131"/>
    </row>
    <row r="5755" spans="7:11" x14ac:dyDescent="0.2">
      <c r="G5755" s="131"/>
      <c r="H5755" s="131"/>
      <c r="I5755" s="131"/>
      <c r="J5755" s="132"/>
      <c r="K5755" s="131"/>
    </row>
    <row r="5756" spans="7:11" x14ac:dyDescent="0.2">
      <c r="G5756" s="131"/>
      <c r="H5756" s="131"/>
      <c r="I5756" s="131"/>
      <c r="J5756" s="132"/>
      <c r="K5756" s="131"/>
    </row>
    <row r="5757" spans="7:11" x14ac:dyDescent="0.2">
      <c r="G5757" s="131"/>
      <c r="H5757" s="131"/>
      <c r="I5757" s="131"/>
      <c r="J5757" s="132"/>
      <c r="K5757" s="131"/>
    </row>
    <row r="5758" spans="7:11" x14ac:dyDescent="0.2">
      <c r="G5758" s="131"/>
      <c r="H5758" s="131"/>
      <c r="I5758" s="131"/>
      <c r="J5758" s="132"/>
      <c r="K5758" s="131"/>
    </row>
    <row r="5759" spans="7:11" x14ac:dyDescent="0.2">
      <c r="G5759" s="131"/>
      <c r="H5759" s="131"/>
      <c r="I5759" s="131"/>
      <c r="J5759" s="132"/>
      <c r="K5759" s="131"/>
    </row>
    <row r="5760" spans="7:11" x14ac:dyDescent="0.2">
      <c r="G5760" s="131"/>
      <c r="H5760" s="131"/>
      <c r="I5760" s="131"/>
      <c r="J5760" s="132"/>
      <c r="K5760" s="131"/>
    </row>
    <row r="5761" spans="7:11" x14ac:dyDescent="0.2">
      <c r="G5761" s="131"/>
      <c r="H5761" s="131"/>
      <c r="I5761" s="131"/>
      <c r="J5761" s="132"/>
      <c r="K5761" s="131"/>
    </row>
    <row r="5762" spans="7:11" x14ac:dyDescent="0.2">
      <c r="G5762" s="131"/>
      <c r="H5762" s="131"/>
      <c r="I5762" s="131"/>
      <c r="J5762" s="132"/>
      <c r="K5762" s="131"/>
    </row>
    <row r="5763" spans="7:11" x14ac:dyDescent="0.2">
      <c r="G5763" s="131"/>
      <c r="H5763" s="131"/>
      <c r="I5763" s="131"/>
      <c r="J5763" s="132"/>
      <c r="K5763" s="131"/>
    </row>
    <row r="5764" spans="7:11" x14ac:dyDescent="0.2">
      <c r="G5764" s="131"/>
      <c r="H5764" s="131"/>
      <c r="I5764" s="131"/>
      <c r="J5764" s="132"/>
      <c r="K5764" s="131"/>
    </row>
    <row r="5765" spans="7:11" x14ac:dyDescent="0.2">
      <c r="G5765" s="131"/>
      <c r="H5765" s="131"/>
      <c r="I5765" s="131"/>
      <c r="J5765" s="132"/>
      <c r="K5765" s="131"/>
    </row>
    <row r="5766" spans="7:11" x14ac:dyDescent="0.2">
      <c r="G5766" s="131"/>
      <c r="H5766" s="131"/>
      <c r="I5766" s="131"/>
      <c r="J5766" s="132"/>
      <c r="K5766" s="131"/>
    </row>
    <row r="5767" spans="7:11" x14ac:dyDescent="0.2">
      <c r="G5767" s="131"/>
      <c r="H5767" s="131"/>
      <c r="I5767" s="131"/>
      <c r="J5767" s="132"/>
      <c r="K5767" s="131"/>
    </row>
    <row r="5768" spans="7:11" x14ac:dyDescent="0.2">
      <c r="G5768" s="131"/>
      <c r="H5768" s="131"/>
      <c r="I5768" s="131"/>
      <c r="J5768" s="132"/>
      <c r="K5768" s="131"/>
    </row>
    <row r="5769" spans="7:11" x14ac:dyDescent="0.2">
      <c r="G5769" s="131"/>
      <c r="H5769" s="131"/>
      <c r="I5769" s="131"/>
      <c r="J5769" s="132"/>
      <c r="K5769" s="131"/>
    </row>
    <row r="5770" spans="7:11" x14ac:dyDescent="0.2">
      <c r="G5770" s="131"/>
      <c r="H5770" s="131"/>
      <c r="I5770" s="131"/>
      <c r="J5770" s="132"/>
      <c r="K5770" s="131"/>
    </row>
    <row r="5771" spans="7:11" x14ac:dyDescent="0.2">
      <c r="G5771" s="131"/>
      <c r="H5771" s="131"/>
      <c r="I5771" s="131"/>
      <c r="J5771" s="132"/>
      <c r="K5771" s="131"/>
    </row>
    <row r="5772" spans="7:11" x14ac:dyDescent="0.2">
      <c r="G5772" s="131"/>
      <c r="H5772" s="131"/>
      <c r="I5772" s="131"/>
      <c r="J5772" s="132"/>
      <c r="K5772" s="131"/>
    </row>
    <row r="5773" spans="7:11" x14ac:dyDescent="0.2">
      <c r="G5773" s="131"/>
      <c r="H5773" s="131"/>
      <c r="I5773" s="131"/>
      <c r="J5773" s="132"/>
      <c r="K5773" s="131"/>
    </row>
    <row r="5774" spans="7:11" x14ac:dyDescent="0.2">
      <c r="G5774" s="131"/>
      <c r="H5774" s="131"/>
      <c r="I5774" s="131"/>
      <c r="J5774" s="132"/>
      <c r="K5774" s="131"/>
    </row>
    <row r="5775" spans="7:11" x14ac:dyDescent="0.2">
      <c r="G5775" s="131"/>
      <c r="H5775" s="131"/>
      <c r="I5775" s="131"/>
      <c r="J5775" s="132"/>
      <c r="K5775" s="131"/>
    </row>
    <row r="5776" spans="7:11" x14ac:dyDescent="0.2">
      <c r="G5776" s="131"/>
      <c r="H5776" s="131"/>
      <c r="I5776" s="131"/>
      <c r="J5776" s="132"/>
      <c r="K5776" s="131"/>
    </row>
    <row r="5777" spans="7:11" x14ac:dyDescent="0.2">
      <c r="G5777" s="131"/>
      <c r="H5777" s="131"/>
      <c r="I5777" s="131"/>
      <c r="J5777" s="132"/>
      <c r="K5777" s="131"/>
    </row>
    <row r="5778" spans="7:11" x14ac:dyDescent="0.2">
      <c r="G5778" s="131"/>
      <c r="H5778" s="131"/>
      <c r="I5778" s="131"/>
      <c r="J5778" s="132"/>
      <c r="K5778" s="131"/>
    </row>
    <row r="5779" spans="7:11" x14ac:dyDescent="0.2">
      <c r="G5779" s="131"/>
      <c r="H5779" s="131"/>
      <c r="I5779" s="131"/>
      <c r="J5779" s="132"/>
      <c r="K5779" s="131"/>
    </row>
    <row r="5780" spans="7:11" x14ac:dyDescent="0.2">
      <c r="G5780" s="131"/>
      <c r="H5780" s="131"/>
      <c r="I5780" s="131"/>
      <c r="J5780" s="132"/>
      <c r="K5780" s="131"/>
    </row>
    <row r="5781" spans="7:11" x14ac:dyDescent="0.2">
      <c r="G5781" s="131"/>
      <c r="H5781" s="131"/>
      <c r="I5781" s="131"/>
      <c r="J5781" s="132"/>
      <c r="K5781" s="131"/>
    </row>
    <row r="5782" spans="7:11" x14ac:dyDescent="0.2">
      <c r="G5782" s="131"/>
      <c r="H5782" s="131"/>
      <c r="I5782" s="131"/>
      <c r="J5782" s="132"/>
      <c r="K5782" s="131"/>
    </row>
    <row r="5783" spans="7:11" x14ac:dyDescent="0.2">
      <c r="G5783" s="131"/>
      <c r="H5783" s="131"/>
      <c r="I5783" s="131"/>
      <c r="J5783" s="132"/>
      <c r="K5783" s="131"/>
    </row>
    <row r="5784" spans="7:11" x14ac:dyDescent="0.2">
      <c r="G5784" s="131"/>
      <c r="H5784" s="131"/>
      <c r="I5784" s="131"/>
      <c r="J5784" s="132"/>
      <c r="K5784" s="131"/>
    </row>
    <row r="5785" spans="7:11" x14ac:dyDescent="0.2">
      <c r="G5785" s="131"/>
      <c r="H5785" s="131"/>
      <c r="I5785" s="131"/>
      <c r="J5785" s="132"/>
      <c r="K5785" s="131"/>
    </row>
    <row r="5786" spans="7:11" x14ac:dyDescent="0.2">
      <c r="G5786" s="131"/>
      <c r="H5786" s="131"/>
      <c r="I5786" s="131"/>
      <c r="J5786" s="132"/>
      <c r="K5786" s="131"/>
    </row>
    <row r="5787" spans="7:11" x14ac:dyDescent="0.2">
      <c r="G5787" s="131"/>
      <c r="H5787" s="131"/>
      <c r="I5787" s="131"/>
      <c r="J5787" s="132"/>
      <c r="K5787" s="131"/>
    </row>
    <row r="5788" spans="7:11" x14ac:dyDescent="0.2">
      <c r="G5788" s="131"/>
      <c r="H5788" s="131"/>
      <c r="I5788" s="131"/>
      <c r="J5788" s="132"/>
      <c r="K5788" s="131"/>
    </row>
    <row r="5789" spans="7:11" x14ac:dyDescent="0.2">
      <c r="G5789" s="131"/>
      <c r="H5789" s="131"/>
      <c r="I5789" s="131"/>
      <c r="J5789" s="132"/>
      <c r="K5789" s="131"/>
    </row>
    <row r="5790" spans="7:11" x14ac:dyDescent="0.2">
      <c r="G5790" s="131"/>
      <c r="H5790" s="131"/>
      <c r="I5790" s="131"/>
      <c r="J5790" s="132"/>
      <c r="K5790" s="131"/>
    </row>
    <row r="5791" spans="7:11" x14ac:dyDescent="0.2">
      <c r="G5791" s="131"/>
      <c r="H5791" s="131"/>
      <c r="I5791" s="131"/>
      <c r="J5791" s="132"/>
      <c r="K5791" s="131"/>
    </row>
    <row r="5792" spans="7:11" x14ac:dyDescent="0.2">
      <c r="G5792" s="131"/>
      <c r="H5792" s="131"/>
      <c r="I5792" s="131"/>
      <c r="J5792" s="132"/>
      <c r="K5792" s="131"/>
    </row>
    <row r="5793" spans="7:11" x14ac:dyDescent="0.2">
      <c r="G5793" s="131"/>
      <c r="H5793" s="131"/>
      <c r="I5793" s="131"/>
      <c r="J5793" s="132"/>
      <c r="K5793" s="131"/>
    </row>
    <row r="5794" spans="7:11" x14ac:dyDescent="0.2">
      <c r="G5794" s="131"/>
      <c r="H5794" s="131"/>
      <c r="I5794" s="131"/>
      <c r="J5794" s="132"/>
      <c r="K5794" s="131"/>
    </row>
    <row r="5795" spans="7:11" x14ac:dyDescent="0.2">
      <c r="G5795" s="131"/>
      <c r="H5795" s="131"/>
      <c r="I5795" s="131"/>
      <c r="J5795" s="132"/>
      <c r="K5795" s="131"/>
    </row>
    <row r="5796" spans="7:11" x14ac:dyDescent="0.2">
      <c r="G5796" s="131"/>
      <c r="H5796" s="131"/>
      <c r="I5796" s="131"/>
      <c r="J5796" s="132"/>
      <c r="K5796" s="131"/>
    </row>
    <row r="5797" spans="7:11" x14ac:dyDescent="0.2">
      <c r="G5797" s="131"/>
      <c r="H5797" s="131"/>
      <c r="I5797" s="131"/>
      <c r="J5797" s="132"/>
      <c r="K5797" s="131"/>
    </row>
    <row r="5798" spans="7:11" x14ac:dyDescent="0.2">
      <c r="G5798" s="131"/>
      <c r="H5798" s="131"/>
      <c r="I5798" s="131"/>
      <c r="J5798" s="132"/>
      <c r="K5798" s="131"/>
    </row>
    <row r="5799" spans="7:11" x14ac:dyDescent="0.2">
      <c r="G5799" s="131"/>
      <c r="H5799" s="131"/>
      <c r="I5799" s="131"/>
      <c r="J5799" s="132"/>
      <c r="K5799" s="131"/>
    </row>
    <row r="5800" spans="7:11" x14ac:dyDescent="0.2">
      <c r="G5800" s="131"/>
      <c r="H5800" s="131"/>
      <c r="I5800" s="131"/>
      <c r="J5800" s="132"/>
      <c r="K5800" s="131"/>
    </row>
    <row r="5801" spans="7:11" x14ac:dyDescent="0.2">
      <c r="G5801" s="131"/>
      <c r="H5801" s="131"/>
      <c r="I5801" s="131"/>
      <c r="J5801" s="132"/>
      <c r="K5801" s="131"/>
    </row>
    <row r="5802" spans="7:11" x14ac:dyDescent="0.2">
      <c r="G5802" s="131"/>
      <c r="H5802" s="131"/>
      <c r="I5802" s="131"/>
      <c r="J5802" s="132"/>
      <c r="K5802" s="131"/>
    </row>
    <row r="5803" spans="7:11" x14ac:dyDescent="0.2">
      <c r="G5803" s="131"/>
      <c r="H5803" s="131"/>
      <c r="I5803" s="131"/>
      <c r="J5803" s="132"/>
      <c r="K5803" s="131"/>
    </row>
    <row r="5804" spans="7:11" x14ac:dyDescent="0.2">
      <c r="G5804" s="131"/>
      <c r="H5804" s="131"/>
      <c r="I5804" s="131"/>
      <c r="J5804" s="132"/>
      <c r="K5804" s="131"/>
    </row>
    <row r="5805" spans="7:11" x14ac:dyDescent="0.2">
      <c r="G5805" s="131"/>
      <c r="H5805" s="131"/>
      <c r="I5805" s="131"/>
      <c r="J5805" s="132"/>
      <c r="K5805" s="131"/>
    </row>
    <row r="5806" spans="7:11" x14ac:dyDescent="0.2">
      <c r="G5806" s="131"/>
      <c r="H5806" s="131"/>
      <c r="I5806" s="131"/>
      <c r="J5806" s="132"/>
      <c r="K5806" s="131"/>
    </row>
    <row r="5807" spans="7:11" x14ac:dyDescent="0.2">
      <c r="G5807" s="131"/>
      <c r="H5807" s="131"/>
      <c r="I5807" s="131"/>
      <c r="J5807" s="132"/>
      <c r="K5807" s="131"/>
    </row>
    <row r="5808" spans="7:11" x14ac:dyDescent="0.2">
      <c r="G5808" s="131"/>
      <c r="H5808" s="131"/>
      <c r="I5808" s="131"/>
      <c r="J5808" s="132"/>
      <c r="K5808" s="131"/>
    </row>
    <row r="5809" spans="7:11" x14ac:dyDescent="0.2">
      <c r="G5809" s="131"/>
      <c r="H5809" s="131"/>
      <c r="I5809" s="131"/>
      <c r="J5809" s="132"/>
      <c r="K5809" s="131"/>
    </row>
    <row r="5810" spans="7:11" x14ac:dyDescent="0.2">
      <c r="G5810" s="131"/>
      <c r="H5810" s="131"/>
      <c r="I5810" s="131"/>
      <c r="J5810" s="132"/>
      <c r="K5810" s="131"/>
    </row>
    <row r="5811" spans="7:11" x14ac:dyDescent="0.2">
      <c r="G5811" s="131"/>
      <c r="H5811" s="131"/>
      <c r="I5811" s="131"/>
      <c r="J5811" s="132"/>
      <c r="K5811" s="131"/>
    </row>
    <row r="5812" spans="7:11" x14ac:dyDescent="0.2">
      <c r="G5812" s="131"/>
      <c r="H5812" s="131"/>
      <c r="I5812" s="131"/>
      <c r="J5812" s="132"/>
      <c r="K5812" s="131"/>
    </row>
    <row r="5813" spans="7:11" x14ac:dyDescent="0.2">
      <c r="G5813" s="131"/>
      <c r="H5813" s="131"/>
      <c r="I5813" s="131"/>
      <c r="J5813" s="132"/>
      <c r="K5813" s="131"/>
    </row>
    <row r="5814" spans="7:11" x14ac:dyDescent="0.2">
      <c r="G5814" s="131"/>
      <c r="H5814" s="131"/>
      <c r="I5814" s="131"/>
      <c r="J5814" s="132"/>
      <c r="K5814" s="131"/>
    </row>
    <row r="5815" spans="7:11" x14ac:dyDescent="0.2">
      <c r="G5815" s="131"/>
      <c r="H5815" s="131"/>
      <c r="I5815" s="131"/>
      <c r="J5815" s="132"/>
      <c r="K5815" s="131"/>
    </row>
    <row r="5816" spans="7:11" x14ac:dyDescent="0.2">
      <c r="G5816" s="131"/>
      <c r="H5816" s="131"/>
      <c r="I5816" s="131"/>
      <c r="J5816" s="132"/>
      <c r="K5816" s="131"/>
    </row>
    <row r="5817" spans="7:11" x14ac:dyDescent="0.2">
      <c r="G5817" s="131"/>
      <c r="H5817" s="131"/>
      <c r="I5817" s="131"/>
      <c r="J5817" s="132"/>
      <c r="K5817" s="131"/>
    </row>
    <row r="5818" spans="7:11" x14ac:dyDescent="0.2">
      <c r="G5818" s="131"/>
      <c r="H5818" s="131"/>
      <c r="I5818" s="131"/>
      <c r="J5818" s="132"/>
      <c r="K5818" s="131"/>
    </row>
    <row r="5819" spans="7:11" x14ac:dyDescent="0.2">
      <c r="G5819" s="131"/>
      <c r="H5819" s="131"/>
      <c r="I5819" s="131"/>
      <c r="J5819" s="132"/>
      <c r="K5819" s="131"/>
    </row>
    <row r="5820" spans="7:11" x14ac:dyDescent="0.2">
      <c r="G5820" s="131"/>
      <c r="H5820" s="131"/>
      <c r="I5820" s="131"/>
      <c r="J5820" s="132"/>
      <c r="K5820" s="131"/>
    </row>
    <row r="5821" spans="7:11" x14ac:dyDescent="0.2">
      <c r="G5821" s="131"/>
      <c r="H5821" s="131"/>
      <c r="I5821" s="131"/>
      <c r="J5821" s="132"/>
      <c r="K5821" s="131"/>
    </row>
    <row r="5822" spans="7:11" x14ac:dyDescent="0.2">
      <c r="G5822" s="131"/>
      <c r="H5822" s="131"/>
      <c r="I5822" s="131"/>
      <c r="J5822" s="132"/>
      <c r="K5822" s="131"/>
    </row>
    <row r="5823" spans="7:11" x14ac:dyDescent="0.2">
      <c r="G5823" s="131"/>
      <c r="H5823" s="131"/>
      <c r="I5823" s="131"/>
      <c r="J5823" s="132"/>
      <c r="K5823" s="131"/>
    </row>
    <row r="5824" spans="7:11" x14ac:dyDescent="0.2">
      <c r="G5824" s="131"/>
      <c r="H5824" s="131"/>
      <c r="I5824" s="131"/>
      <c r="J5824" s="132"/>
      <c r="K5824" s="131"/>
    </row>
    <row r="5825" spans="7:11" x14ac:dyDescent="0.2">
      <c r="G5825" s="131"/>
      <c r="H5825" s="131"/>
      <c r="I5825" s="131"/>
      <c r="J5825" s="132"/>
      <c r="K5825" s="131"/>
    </row>
    <row r="5826" spans="7:11" x14ac:dyDescent="0.2">
      <c r="G5826" s="131"/>
      <c r="H5826" s="131"/>
      <c r="I5826" s="131"/>
      <c r="J5826" s="132"/>
      <c r="K5826" s="131"/>
    </row>
    <row r="5827" spans="7:11" x14ac:dyDescent="0.2">
      <c r="G5827" s="131"/>
      <c r="H5827" s="131"/>
      <c r="I5827" s="131"/>
      <c r="J5827" s="132"/>
      <c r="K5827" s="131"/>
    </row>
    <row r="5828" spans="7:11" x14ac:dyDescent="0.2">
      <c r="G5828" s="131"/>
      <c r="H5828" s="131"/>
      <c r="I5828" s="131"/>
      <c r="J5828" s="132"/>
      <c r="K5828" s="131"/>
    </row>
    <row r="5829" spans="7:11" x14ac:dyDescent="0.2">
      <c r="G5829" s="131"/>
      <c r="H5829" s="131"/>
      <c r="I5829" s="131"/>
      <c r="J5829" s="132"/>
      <c r="K5829" s="131"/>
    </row>
    <row r="5830" spans="7:11" x14ac:dyDescent="0.2">
      <c r="G5830" s="131"/>
      <c r="H5830" s="131"/>
      <c r="I5830" s="131"/>
      <c r="J5830" s="132"/>
      <c r="K5830" s="131"/>
    </row>
    <row r="5831" spans="7:11" x14ac:dyDescent="0.2">
      <c r="G5831" s="131"/>
      <c r="H5831" s="131"/>
      <c r="I5831" s="131"/>
      <c r="J5831" s="132"/>
      <c r="K5831" s="131"/>
    </row>
    <row r="5832" spans="7:11" x14ac:dyDescent="0.2">
      <c r="G5832" s="131"/>
      <c r="H5832" s="131"/>
      <c r="I5832" s="131"/>
      <c r="J5832" s="132"/>
      <c r="K5832" s="131"/>
    </row>
    <row r="5833" spans="7:11" x14ac:dyDescent="0.2">
      <c r="G5833" s="131"/>
      <c r="H5833" s="131"/>
      <c r="I5833" s="131"/>
      <c r="J5833" s="132"/>
      <c r="K5833" s="131"/>
    </row>
    <row r="5834" spans="7:11" x14ac:dyDescent="0.2">
      <c r="G5834" s="131"/>
      <c r="H5834" s="131"/>
      <c r="I5834" s="131"/>
      <c r="J5834" s="132"/>
      <c r="K5834" s="131"/>
    </row>
    <row r="5835" spans="7:11" x14ac:dyDescent="0.2">
      <c r="G5835" s="131"/>
      <c r="H5835" s="131"/>
      <c r="I5835" s="131"/>
      <c r="J5835" s="132"/>
      <c r="K5835" s="131"/>
    </row>
    <row r="5836" spans="7:11" x14ac:dyDescent="0.2">
      <c r="G5836" s="131"/>
      <c r="H5836" s="131"/>
      <c r="I5836" s="131"/>
      <c r="J5836" s="132"/>
      <c r="K5836" s="131"/>
    </row>
    <row r="5837" spans="7:11" x14ac:dyDescent="0.2">
      <c r="G5837" s="131"/>
      <c r="H5837" s="131"/>
      <c r="I5837" s="131"/>
      <c r="J5837" s="132"/>
      <c r="K5837" s="131"/>
    </row>
    <row r="5838" spans="7:11" x14ac:dyDescent="0.2">
      <c r="G5838" s="131"/>
      <c r="H5838" s="131"/>
      <c r="I5838" s="131"/>
      <c r="J5838" s="132"/>
      <c r="K5838" s="131"/>
    </row>
    <row r="5839" spans="7:11" x14ac:dyDescent="0.2">
      <c r="G5839" s="131"/>
      <c r="H5839" s="131"/>
      <c r="I5839" s="131"/>
      <c r="J5839" s="132"/>
      <c r="K5839" s="131"/>
    </row>
    <row r="5840" spans="7:11" x14ac:dyDescent="0.2">
      <c r="G5840" s="131"/>
      <c r="H5840" s="131"/>
      <c r="I5840" s="131"/>
      <c r="J5840" s="132"/>
      <c r="K5840" s="131"/>
    </row>
    <row r="5841" spans="7:11" x14ac:dyDescent="0.2">
      <c r="G5841" s="131"/>
      <c r="H5841" s="131"/>
      <c r="I5841" s="131"/>
      <c r="J5841" s="132"/>
      <c r="K5841" s="131"/>
    </row>
    <row r="5842" spans="7:11" x14ac:dyDescent="0.2">
      <c r="G5842" s="131"/>
      <c r="H5842" s="131"/>
      <c r="I5842" s="131"/>
      <c r="J5842" s="132"/>
      <c r="K5842" s="131"/>
    </row>
    <row r="5843" spans="7:11" x14ac:dyDescent="0.2">
      <c r="G5843" s="131"/>
      <c r="H5843" s="131"/>
      <c r="I5843" s="131"/>
      <c r="J5843" s="132"/>
      <c r="K5843" s="131"/>
    </row>
    <row r="5844" spans="7:11" x14ac:dyDescent="0.2">
      <c r="G5844" s="131"/>
      <c r="H5844" s="131"/>
      <c r="I5844" s="131"/>
      <c r="J5844" s="132"/>
      <c r="K5844" s="131"/>
    </row>
    <row r="5845" spans="7:11" x14ac:dyDescent="0.2">
      <c r="G5845" s="131"/>
      <c r="H5845" s="131"/>
      <c r="I5845" s="131"/>
      <c r="J5845" s="132"/>
      <c r="K5845" s="131"/>
    </row>
    <row r="5846" spans="7:11" x14ac:dyDescent="0.2">
      <c r="G5846" s="131"/>
      <c r="H5846" s="131"/>
      <c r="I5846" s="131"/>
      <c r="J5846" s="132"/>
      <c r="K5846" s="131"/>
    </row>
    <row r="5847" spans="7:11" x14ac:dyDescent="0.2">
      <c r="G5847" s="131"/>
      <c r="H5847" s="131"/>
      <c r="I5847" s="131"/>
      <c r="J5847" s="132"/>
      <c r="K5847" s="131"/>
    </row>
    <row r="5848" spans="7:11" x14ac:dyDescent="0.2">
      <c r="G5848" s="131"/>
      <c r="H5848" s="131"/>
      <c r="I5848" s="131"/>
      <c r="J5848" s="132"/>
      <c r="K5848" s="131"/>
    </row>
    <row r="5849" spans="7:11" x14ac:dyDescent="0.2">
      <c r="G5849" s="131"/>
      <c r="H5849" s="131"/>
      <c r="I5849" s="131"/>
      <c r="J5849" s="132"/>
      <c r="K5849" s="131"/>
    </row>
    <row r="5850" spans="7:11" x14ac:dyDescent="0.2">
      <c r="G5850" s="131"/>
      <c r="H5850" s="131"/>
      <c r="I5850" s="131"/>
      <c r="J5850" s="132"/>
      <c r="K5850" s="131"/>
    </row>
    <row r="5851" spans="7:11" x14ac:dyDescent="0.2">
      <c r="G5851" s="131"/>
      <c r="H5851" s="131"/>
      <c r="I5851" s="131"/>
      <c r="J5851" s="132"/>
      <c r="K5851" s="131"/>
    </row>
    <row r="5852" spans="7:11" x14ac:dyDescent="0.2">
      <c r="G5852" s="131"/>
      <c r="H5852" s="131"/>
      <c r="I5852" s="131"/>
      <c r="J5852" s="132"/>
      <c r="K5852" s="131"/>
    </row>
    <row r="5853" spans="7:11" x14ac:dyDescent="0.2">
      <c r="G5853" s="131"/>
      <c r="H5853" s="131"/>
      <c r="I5853" s="131"/>
      <c r="J5853" s="132"/>
      <c r="K5853" s="131"/>
    </row>
    <row r="5854" spans="7:11" x14ac:dyDescent="0.2">
      <c r="G5854" s="131"/>
      <c r="H5854" s="131"/>
      <c r="I5854" s="131"/>
      <c r="J5854" s="132"/>
      <c r="K5854" s="131"/>
    </row>
    <row r="5855" spans="7:11" x14ac:dyDescent="0.2">
      <c r="G5855" s="131"/>
      <c r="H5855" s="131"/>
      <c r="I5855" s="131"/>
      <c r="J5855" s="132"/>
      <c r="K5855" s="131"/>
    </row>
    <row r="5856" spans="7:11" x14ac:dyDescent="0.2">
      <c r="G5856" s="131"/>
      <c r="H5856" s="131"/>
      <c r="I5856" s="131"/>
      <c r="J5856" s="132"/>
      <c r="K5856" s="131"/>
    </row>
    <row r="5857" spans="7:11" x14ac:dyDescent="0.2">
      <c r="G5857" s="131"/>
      <c r="H5857" s="131"/>
      <c r="I5857" s="131"/>
      <c r="J5857" s="132"/>
      <c r="K5857" s="131"/>
    </row>
    <row r="5858" spans="7:11" x14ac:dyDescent="0.2">
      <c r="G5858" s="131"/>
      <c r="H5858" s="131"/>
      <c r="I5858" s="131"/>
      <c r="J5858" s="132"/>
      <c r="K5858" s="131"/>
    </row>
    <row r="5859" spans="7:11" x14ac:dyDescent="0.2">
      <c r="G5859" s="131"/>
      <c r="H5859" s="131"/>
      <c r="I5859" s="131"/>
      <c r="J5859" s="132"/>
      <c r="K5859" s="131"/>
    </row>
    <row r="5860" spans="7:11" x14ac:dyDescent="0.2">
      <c r="G5860" s="131"/>
      <c r="H5860" s="131"/>
      <c r="I5860" s="131"/>
      <c r="J5860" s="132"/>
      <c r="K5860" s="131"/>
    </row>
    <row r="5861" spans="7:11" x14ac:dyDescent="0.2">
      <c r="G5861" s="131"/>
      <c r="H5861" s="131"/>
      <c r="I5861" s="131"/>
      <c r="J5861" s="132"/>
      <c r="K5861" s="131"/>
    </row>
    <row r="5862" spans="7:11" x14ac:dyDescent="0.2">
      <c r="G5862" s="131"/>
      <c r="H5862" s="131"/>
      <c r="I5862" s="131"/>
      <c r="J5862" s="132"/>
      <c r="K5862" s="131"/>
    </row>
    <row r="5863" spans="7:11" x14ac:dyDescent="0.2">
      <c r="G5863" s="131"/>
      <c r="H5863" s="131"/>
      <c r="I5863" s="131"/>
      <c r="J5863" s="132"/>
      <c r="K5863" s="131"/>
    </row>
    <row r="5864" spans="7:11" x14ac:dyDescent="0.2">
      <c r="G5864" s="131"/>
      <c r="H5864" s="131"/>
      <c r="I5864" s="131"/>
      <c r="J5864" s="132"/>
      <c r="K5864" s="131"/>
    </row>
    <row r="5865" spans="7:11" x14ac:dyDescent="0.2">
      <c r="G5865" s="131"/>
      <c r="H5865" s="131"/>
      <c r="I5865" s="131"/>
      <c r="J5865" s="132"/>
      <c r="K5865" s="131"/>
    </row>
    <row r="5866" spans="7:11" x14ac:dyDescent="0.2">
      <c r="G5866" s="131"/>
      <c r="H5866" s="131"/>
      <c r="I5866" s="131"/>
      <c r="J5866" s="132"/>
      <c r="K5866" s="131"/>
    </row>
    <row r="5867" spans="7:11" x14ac:dyDescent="0.2">
      <c r="G5867" s="131"/>
      <c r="H5867" s="131"/>
      <c r="I5867" s="131"/>
      <c r="J5867" s="132"/>
      <c r="K5867" s="131"/>
    </row>
    <row r="5868" spans="7:11" x14ac:dyDescent="0.2">
      <c r="G5868" s="131"/>
      <c r="H5868" s="131"/>
      <c r="I5868" s="131"/>
      <c r="J5868" s="132"/>
      <c r="K5868" s="131"/>
    </row>
    <row r="5869" spans="7:11" x14ac:dyDescent="0.2">
      <c r="G5869" s="131"/>
      <c r="H5869" s="131"/>
      <c r="I5869" s="131"/>
      <c r="J5869" s="132"/>
      <c r="K5869" s="131"/>
    </row>
    <row r="5870" spans="7:11" x14ac:dyDescent="0.2">
      <c r="G5870" s="131"/>
      <c r="H5870" s="131"/>
      <c r="I5870" s="131"/>
      <c r="J5870" s="132"/>
      <c r="K5870" s="131"/>
    </row>
    <row r="5871" spans="7:11" x14ac:dyDescent="0.2">
      <c r="G5871" s="131"/>
      <c r="H5871" s="131"/>
      <c r="I5871" s="131"/>
      <c r="J5871" s="132"/>
      <c r="K5871" s="131"/>
    </row>
    <row r="5872" spans="7:11" x14ac:dyDescent="0.2">
      <c r="G5872" s="131"/>
      <c r="H5872" s="131"/>
      <c r="I5872" s="131"/>
      <c r="J5872" s="132"/>
      <c r="K5872" s="131"/>
    </row>
    <row r="5873" spans="7:11" x14ac:dyDescent="0.2">
      <c r="G5873" s="131"/>
      <c r="H5873" s="131"/>
      <c r="I5873" s="131"/>
      <c r="J5873" s="132"/>
      <c r="K5873" s="131"/>
    </row>
    <row r="5874" spans="7:11" x14ac:dyDescent="0.2">
      <c r="G5874" s="131"/>
      <c r="H5874" s="131"/>
      <c r="I5874" s="131"/>
      <c r="J5874" s="132"/>
      <c r="K5874" s="131"/>
    </row>
    <row r="5875" spans="7:11" x14ac:dyDescent="0.2">
      <c r="G5875" s="131"/>
      <c r="H5875" s="131"/>
      <c r="I5875" s="131"/>
      <c r="J5875" s="132"/>
      <c r="K5875" s="131"/>
    </row>
    <row r="5876" spans="7:11" x14ac:dyDescent="0.2">
      <c r="G5876" s="131"/>
      <c r="H5876" s="131"/>
      <c r="I5876" s="131"/>
      <c r="J5876" s="132"/>
      <c r="K5876" s="131"/>
    </row>
    <row r="5877" spans="7:11" x14ac:dyDescent="0.2">
      <c r="G5877" s="131"/>
      <c r="H5877" s="131"/>
      <c r="I5877" s="131"/>
      <c r="J5877" s="132"/>
      <c r="K5877" s="131"/>
    </row>
    <row r="5878" spans="7:11" x14ac:dyDescent="0.2">
      <c r="G5878" s="131"/>
      <c r="H5878" s="131"/>
      <c r="I5878" s="131"/>
      <c r="J5878" s="132"/>
      <c r="K5878" s="131"/>
    </row>
    <row r="5879" spans="7:11" x14ac:dyDescent="0.2">
      <c r="G5879" s="131"/>
      <c r="H5879" s="131"/>
      <c r="I5879" s="131"/>
      <c r="J5879" s="132"/>
      <c r="K5879" s="131"/>
    </row>
    <row r="5880" spans="7:11" x14ac:dyDescent="0.2">
      <c r="G5880" s="131"/>
      <c r="H5880" s="131"/>
      <c r="I5880" s="131"/>
      <c r="J5880" s="132"/>
      <c r="K5880" s="131"/>
    </row>
    <row r="5881" spans="7:11" x14ac:dyDescent="0.2">
      <c r="G5881" s="131"/>
      <c r="H5881" s="131"/>
      <c r="I5881" s="131"/>
      <c r="J5881" s="132"/>
      <c r="K5881" s="131"/>
    </row>
    <row r="5882" spans="7:11" x14ac:dyDescent="0.2">
      <c r="G5882" s="131"/>
      <c r="H5882" s="131"/>
      <c r="I5882" s="131"/>
      <c r="J5882" s="132"/>
      <c r="K5882" s="131"/>
    </row>
    <row r="5883" spans="7:11" x14ac:dyDescent="0.2">
      <c r="G5883" s="131"/>
      <c r="H5883" s="131"/>
      <c r="I5883" s="131"/>
      <c r="J5883" s="132"/>
      <c r="K5883" s="131"/>
    </row>
    <row r="5884" spans="7:11" x14ac:dyDescent="0.2">
      <c r="G5884" s="131"/>
      <c r="H5884" s="131"/>
      <c r="I5884" s="131"/>
      <c r="J5884" s="132"/>
      <c r="K5884" s="131"/>
    </row>
    <row r="5885" spans="7:11" x14ac:dyDescent="0.2">
      <c r="G5885" s="131"/>
      <c r="H5885" s="131"/>
      <c r="I5885" s="131"/>
      <c r="J5885" s="132"/>
      <c r="K5885" s="131"/>
    </row>
    <row r="5886" spans="7:11" x14ac:dyDescent="0.2">
      <c r="G5886" s="131"/>
      <c r="H5886" s="131"/>
      <c r="I5886" s="131"/>
      <c r="J5886" s="132"/>
      <c r="K5886" s="131"/>
    </row>
    <row r="5887" spans="7:11" x14ac:dyDescent="0.2">
      <c r="G5887" s="131"/>
      <c r="H5887" s="131"/>
      <c r="I5887" s="131"/>
      <c r="J5887" s="132"/>
      <c r="K5887" s="131"/>
    </row>
    <row r="5888" spans="7:11" x14ac:dyDescent="0.2">
      <c r="G5888" s="131"/>
      <c r="H5888" s="131"/>
      <c r="I5888" s="131"/>
      <c r="J5888" s="132"/>
      <c r="K5888" s="131"/>
    </row>
    <row r="5889" spans="7:11" x14ac:dyDescent="0.2">
      <c r="G5889" s="131"/>
      <c r="H5889" s="131"/>
      <c r="I5889" s="131"/>
      <c r="J5889" s="132"/>
      <c r="K5889" s="131"/>
    </row>
    <row r="5890" spans="7:11" x14ac:dyDescent="0.2">
      <c r="G5890" s="131"/>
      <c r="H5890" s="131"/>
      <c r="I5890" s="131"/>
      <c r="J5890" s="132"/>
      <c r="K5890" s="131"/>
    </row>
    <row r="5891" spans="7:11" x14ac:dyDescent="0.2">
      <c r="G5891" s="131"/>
      <c r="H5891" s="131"/>
      <c r="I5891" s="131"/>
      <c r="J5891" s="132"/>
      <c r="K5891" s="131"/>
    </row>
    <row r="5892" spans="7:11" x14ac:dyDescent="0.2">
      <c r="G5892" s="131"/>
      <c r="H5892" s="131"/>
      <c r="I5892" s="131"/>
      <c r="J5892" s="132"/>
      <c r="K5892" s="131"/>
    </row>
    <row r="5893" spans="7:11" x14ac:dyDescent="0.2">
      <c r="G5893" s="131"/>
      <c r="H5893" s="131"/>
      <c r="I5893" s="131"/>
      <c r="J5893" s="132"/>
      <c r="K5893" s="131"/>
    </row>
    <row r="5894" spans="7:11" x14ac:dyDescent="0.2">
      <c r="G5894" s="131"/>
      <c r="H5894" s="131"/>
      <c r="I5894" s="131"/>
      <c r="J5894" s="132"/>
      <c r="K5894" s="131"/>
    </row>
    <row r="5895" spans="7:11" x14ac:dyDescent="0.2">
      <c r="G5895" s="131"/>
      <c r="H5895" s="131"/>
      <c r="I5895" s="131"/>
      <c r="J5895" s="132"/>
      <c r="K5895" s="131"/>
    </row>
    <row r="5896" spans="7:11" x14ac:dyDescent="0.2">
      <c r="G5896" s="131"/>
      <c r="H5896" s="131"/>
      <c r="I5896" s="131"/>
      <c r="J5896" s="132"/>
      <c r="K5896" s="131"/>
    </row>
    <row r="5897" spans="7:11" x14ac:dyDescent="0.2">
      <c r="G5897" s="131"/>
      <c r="H5897" s="131"/>
      <c r="I5897" s="131"/>
      <c r="J5897" s="132"/>
      <c r="K5897" s="131"/>
    </row>
    <row r="5898" spans="7:11" x14ac:dyDescent="0.2">
      <c r="G5898" s="131"/>
      <c r="H5898" s="131"/>
      <c r="I5898" s="131"/>
      <c r="J5898" s="132"/>
      <c r="K5898" s="131"/>
    </row>
    <row r="5899" spans="7:11" x14ac:dyDescent="0.2">
      <c r="G5899" s="131"/>
      <c r="H5899" s="131"/>
      <c r="I5899" s="131"/>
      <c r="J5899" s="132"/>
      <c r="K5899" s="131"/>
    </row>
    <row r="5900" spans="7:11" x14ac:dyDescent="0.2">
      <c r="G5900" s="131"/>
      <c r="H5900" s="131"/>
      <c r="I5900" s="131"/>
      <c r="J5900" s="132"/>
      <c r="K5900" s="131"/>
    </row>
    <row r="5901" spans="7:11" x14ac:dyDescent="0.2">
      <c r="G5901" s="131"/>
      <c r="H5901" s="131"/>
      <c r="I5901" s="131"/>
      <c r="J5901" s="132"/>
      <c r="K5901" s="131"/>
    </row>
    <row r="5902" spans="7:11" x14ac:dyDescent="0.2">
      <c r="G5902" s="131"/>
      <c r="H5902" s="131"/>
      <c r="I5902" s="131"/>
      <c r="J5902" s="132"/>
      <c r="K5902" s="131"/>
    </row>
    <row r="5903" spans="7:11" x14ac:dyDescent="0.2">
      <c r="G5903" s="131"/>
      <c r="H5903" s="131"/>
      <c r="I5903" s="131"/>
      <c r="J5903" s="132"/>
      <c r="K5903" s="131"/>
    </row>
    <row r="5904" spans="7:11" x14ac:dyDescent="0.2">
      <c r="G5904" s="131"/>
      <c r="H5904" s="131"/>
      <c r="I5904" s="131"/>
      <c r="J5904" s="132"/>
      <c r="K5904" s="131"/>
    </row>
    <row r="5905" spans="7:11" x14ac:dyDescent="0.2">
      <c r="G5905" s="131"/>
      <c r="H5905" s="131"/>
      <c r="I5905" s="131"/>
      <c r="J5905" s="132"/>
      <c r="K5905" s="131"/>
    </row>
    <row r="5906" spans="7:11" x14ac:dyDescent="0.2">
      <c r="G5906" s="131"/>
      <c r="H5906" s="131"/>
      <c r="I5906" s="131"/>
      <c r="J5906" s="132"/>
      <c r="K5906" s="131"/>
    </row>
    <row r="5907" spans="7:11" x14ac:dyDescent="0.2">
      <c r="G5907" s="131"/>
      <c r="H5907" s="131"/>
      <c r="I5907" s="131"/>
      <c r="J5907" s="132"/>
      <c r="K5907" s="131"/>
    </row>
    <row r="5908" spans="7:11" x14ac:dyDescent="0.2">
      <c r="G5908" s="131"/>
      <c r="H5908" s="131"/>
      <c r="I5908" s="131"/>
      <c r="J5908" s="132"/>
      <c r="K5908" s="131"/>
    </row>
    <row r="5909" spans="7:11" x14ac:dyDescent="0.2">
      <c r="G5909" s="131"/>
      <c r="H5909" s="131"/>
      <c r="I5909" s="131"/>
      <c r="J5909" s="132"/>
      <c r="K5909" s="131"/>
    </row>
    <row r="5910" spans="7:11" x14ac:dyDescent="0.2">
      <c r="G5910" s="131"/>
      <c r="H5910" s="131"/>
      <c r="I5910" s="131"/>
      <c r="J5910" s="132"/>
      <c r="K5910" s="131"/>
    </row>
    <row r="5911" spans="7:11" x14ac:dyDescent="0.2">
      <c r="G5911" s="131"/>
      <c r="H5911" s="131"/>
      <c r="I5911" s="131"/>
      <c r="J5911" s="132"/>
      <c r="K5911" s="131"/>
    </row>
    <row r="5912" spans="7:11" x14ac:dyDescent="0.2">
      <c r="G5912" s="131"/>
      <c r="H5912" s="131"/>
      <c r="I5912" s="131"/>
      <c r="J5912" s="132"/>
      <c r="K5912" s="131"/>
    </row>
    <row r="5913" spans="7:11" x14ac:dyDescent="0.2">
      <c r="G5913" s="131"/>
      <c r="H5913" s="131"/>
      <c r="I5913" s="131"/>
      <c r="J5913" s="132"/>
      <c r="K5913" s="131"/>
    </row>
    <row r="5914" spans="7:11" x14ac:dyDescent="0.2">
      <c r="G5914" s="131"/>
      <c r="H5914" s="131"/>
      <c r="I5914" s="131"/>
      <c r="J5914" s="132"/>
      <c r="K5914" s="131"/>
    </row>
    <row r="5915" spans="7:11" x14ac:dyDescent="0.2">
      <c r="G5915" s="131"/>
      <c r="H5915" s="131"/>
      <c r="I5915" s="131"/>
      <c r="J5915" s="132"/>
      <c r="K5915" s="131"/>
    </row>
    <row r="5916" spans="7:11" x14ac:dyDescent="0.2">
      <c r="G5916" s="131"/>
      <c r="H5916" s="131"/>
      <c r="I5916" s="131"/>
      <c r="J5916" s="132"/>
      <c r="K5916" s="131"/>
    </row>
    <row r="5917" spans="7:11" x14ac:dyDescent="0.2">
      <c r="G5917" s="131"/>
      <c r="H5917" s="131"/>
      <c r="I5917" s="131"/>
      <c r="J5917" s="132"/>
      <c r="K5917" s="131"/>
    </row>
    <row r="5918" spans="7:11" x14ac:dyDescent="0.2">
      <c r="G5918" s="131"/>
      <c r="H5918" s="131"/>
      <c r="I5918" s="131"/>
      <c r="J5918" s="132"/>
      <c r="K5918" s="131"/>
    </row>
    <row r="5919" spans="7:11" x14ac:dyDescent="0.2">
      <c r="G5919" s="131"/>
      <c r="H5919" s="131"/>
      <c r="I5919" s="131"/>
      <c r="J5919" s="132"/>
      <c r="K5919" s="131"/>
    </row>
    <row r="5920" spans="7:11" x14ac:dyDescent="0.2">
      <c r="G5920" s="131"/>
      <c r="H5920" s="131"/>
      <c r="I5920" s="131"/>
      <c r="J5920" s="132"/>
      <c r="K5920" s="131"/>
    </row>
    <row r="5921" spans="7:11" x14ac:dyDescent="0.2">
      <c r="G5921" s="131"/>
      <c r="H5921" s="131"/>
      <c r="I5921" s="131"/>
      <c r="J5921" s="132"/>
      <c r="K5921" s="131"/>
    </row>
    <row r="5922" spans="7:11" x14ac:dyDescent="0.2">
      <c r="G5922" s="131"/>
      <c r="H5922" s="131"/>
      <c r="I5922" s="131"/>
      <c r="J5922" s="132"/>
      <c r="K5922" s="131"/>
    </row>
    <row r="5923" spans="7:11" x14ac:dyDescent="0.2">
      <c r="G5923" s="131"/>
      <c r="H5923" s="131"/>
      <c r="I5923" s="131"/>
      <c r="J5923" s="132"/>
      <c r="K5923" s="131"/>
    </row>
    <row r="5924" spans="7:11" x14ac:dyDescent="0.2">
      <c r="G5924" s="131"/>
      <c r="H5924" s="131"/>
      <c r="I5924" s="131"/>
      <c r="J5924" s="132"/>
      <c r="K5924" s="131"/>
    </row>
    <row r="5925" spans="7:11" x14ac:dyDescent="0.2">
      <c r="G5925" s="131"/>
      <c r="H5925" s="131"/>
      <c r="I5925" s="131"/>
      <c r="J5925" s="132"/>
      <c r="K5925" s="131"/>
    </row>
    <row r="5926" spans="7:11" x14ac:dyDescent="0.2">
      <c r="G5926" s="131"/>
      <c r="H5926" s="131"/>
      <c r="I5926" s="131"/>
      <c r="J5926" s="132"/>
      <c r="K5926" s="131"/>
    </row>
    <row r="5927" spans="7:11" x14ac:dyDescent="0.2">
      <c r="G5927" s="131"/>
      <c r="H5927" s="131"/>
      <c r="I5927" s="131"/>
      <c r="J5927" s="132"/>
      <c r="K5927" s="131"/>
    </row>
    <row r="5928" spans="7:11" x14ac:dyDescent="0.2">
      <c r="G5928" s="131"/>
      <c r="H5928" s="131"/>
      <c r="I5928" s="131"/>
      <c r="J5928" s="132"/>
      <c r="K5928" s="131"/>
    </row>
    <row r="5929" spans="7:11" x14ac:dyDescent="0.2">
      <c r="G5929" s="131"/>
      <c r="H5929" s="131"/>
      <c r="I5929" s="131"/>
      <c r="J5929" s="132"/>
      <c r="K5929" s="131"/>
    </row>
    <row r="5930" spans="7:11" x14ac:dyDescent="0.2">
      <c r="G5930" s="131"/>
      <c r="H5930" s="131"/>
      <c r="I5930" s="131"/>
      <c r="J5930" s="132"/>
      <c r="K5930" s="131"/>
    </row>
    <row r="5931" spans="7:11" x14ac:dyDescent="0.2">
      <c r="G5931" s="131"/>
      <c r="H5931" s="131"/>
      <c r="I5931" s="131"/>
      <c r="J5931" s="132"/>
      <c r="K5931" s="131"/>
    </row>
    <row r="5932" spans="7:11" x14ac:dyDescent="0.2">
      <c r="G5932" s="131"/>
      <c r="H5932" s="131"/>
      <c r="I5932" s="131"/>
      <c r="J5932" s="132"/>
      <c r="K5932" s="131"/>
    </row>
    <row r="5933" spans="7:11" x14ac:dyDescent="0.2">
      <c r="G5933" s="131"/>
      <c r="H5933" s="131"/>
      <c r="I5933" s="131"/>
      <c r="J5933" s="132"/>
      <c r="K5933" s="131"/>
    </row>
    <row r="5934" spans="7:11" x14ac:dyDescent="0.2">
      <c r="G5934" s="131"/>
      <c r="H5934" s="131"/>
      <c r="I5934" s="131"/>
      <c r="J5934" s="132"/>
      <c r="K5934" s="131"/>
    </row>
    <row r="5935" spans="7:11" x14ac:dyDescent="0.2">
      <c r="G5935" s="131"/>
      <c r="H5935" s="131"/>
      <c r="I5935" s="131"/>
      <c r="J5935" s="132"/>
      <c r="K5935" s="131"/>
    </row>
    <row r="5936" spans="7:11" x14ac:dyDescent="0.2">
      <c r="G5936" s="131"/>
      <c r="H5936" s="131"/>
      <c r="I5936" s="131"/>
      <c r="J5936" s="132"/>
      <c r="K5936" s="131"/>
    </row>
    <row r="5937" spans="7:11" x14ac:dyDescent="0.2">
      <c r="G5937" s="131"/>
      <c r="H5937" s="131"/>
      <c r="I5937" s="131"/>
      <c r="J5937" s="132"/>
      <c r="K5937" s="131"/>
    </row>
    <row r="5938" spans="7:11" x14ac:dyDescent="0.2">
      <c r="G5938" s="131"/>
      <c r="H5938" s="131"/>
      <c r="I5938" s="131"/>
      <c r="J5938" s="132"/>
      <c r="K5938" s="131"/>
    </row>
    <row r="5939" spans="7:11" x14ac:dyDescent="0.2">
      <c r="G5939" s="131"/>
      <c r="H5939" s="131"/>
      <c r="I5939" s="131"/>
      <c r="J5939" s="132"/>
      <c r="K5939" s="131"/>
    </row>
    <row r="5940" spans="7:11" x14ac:dyDescent="0.2">
      <c r="G5940" s="131"/>
      <c r="H5940" s="131"/>
      <c r="I5940" s="131"/>
      <c r="J5940" s="132"/>
      <c r="K5940" s="131"/>
    </row>
    <row r="5941" spans="7:11" x14ac:dyDescent="0.2">
      <c r="G5941" s="131"/>
      <c r="H5941" s="131"/>
      <c r="I5941" s="131"/>
      <c r="J5941" s="132"/>
      <c r="K5941" s="131"/>
    </row>
    <row r="5942" spans="7:11" x14ac:dyDescent="0.2">
      <c r="G5942" s="131"/>
      <c r="H5942" s="131"/>
      <c r="I5942" s="131"/>
      <c r="J5942" s="132"/>
      <c r="K5942" s="131"/>
    </row>
    <row r="5943" spans="7:11" x14ac:dyDescent="0.2">
      <c r="G5943" s="131"/>
      <c r="H5943" s="131"/>
      <c r="I5943" s="131"/>
      <c r="J5943" s="132"/>
      <c r="K5943" s="131"/>
    </row>
    <row r="5944" spans="7:11" x14ac:dyDescent="0.2">
      <c r="G5944" s="131"/>
      <c r="H5944" s="131"/>
      <c r="I5944" s="131"/>
      <c r="J5944" s="132"/>
      <c r="K5944" s="131"/>
    </row>
    <row r="5945" spans="7:11" x14ac:dyDescent="0.2">
      <c r="G5945" s="131"/>
      <c r="H5945" s="131"/>
      <c r="I5945" s="131"/>
      <c r="J5945" s="132"/>
      <c r="K5945" s="131"/>
    </row>
    <row r="5946" spans="7:11" x14ac:dyDescent="0.2">
      <c r="G5946" s="131"/>
      <c r="H5946" s="131"/>
      <c r="I5946" s="131"/>
      <c r="J5946" s="132"/>
      <c r="K5946" s="131"/>
    </row>
    <row r="5947" spans="7:11" x14ac:dyDescent="0.2">
      <c r="G5947" s="131"/>
      <c r="H5947" s="131"/>
      <c r="I5947" s="131"/>
      <c r="J5947" s="132"/>
      <c r="K5947" s="131"/>
    </row>
    <row r="5948" spans="7:11" x14ac:dyDescent="0.2">
      <c r="G5948" s="131"/>
      <c r="H5948" s="131"/>
      <c r="I5948" s="131"/>
      <c r="J5948" s="132"/>
      <c r="K5948" s="131"/>
    </row>
    <row r="5949" spans="7:11" x14ac:dyDescent="0.2">
      <c r="G5949" s="131"/>
      <c r="H5949" s="131"/>
      <c r="I5949" s="131"/>
      <c r="J5949" s="132"/>
      <c r="K5949" s="131"/>
    </row>
    <row r="5950" spans="7:11" x14ac:dyDescent="0.2">
      <c r="G5950" s="131"/>
      <c r="H5950" s="131"/>
      <c r="I5950" s="131"/>
      <c r="J5950" s="132"/>
      <c r="K5950" s="131"/>
    </row>
    <row r="5951" spans="7:11" x14ac:dyDescent="0.2">
      <c r="G5951" s="131"/>
      <c r="H5951" s="131"/>
      <c r="I5951" s="131"/>
      <c r="J5951" s="132"/>
      <c r="K5951" s="131"/>
    </row>
    <row r="5952" spans="7:11" x14ac:dyDescent="0.2">
      <c r="G5952" s="131"/>
      <c r="H5952" s="131"/>
      <c r="I5952" s="131"/>
      <c r="J5952" s="132"/>
      <c r="K5952" s="131"/>
    </row>
    <row r="5953" spans="7:11" x14ac:dyDescent="0.2">
      <c r="G5953" s="131"/>
      <c r="H5953" s="131"/>
      <c r="I5953" s="131"/>
      <c r="J5953" s="132"/>
      <c r="K5953" s="131"/>
    </row>
    <row r="5954" spans="7:11" x14ac:dyDescent="0.2">
      <c r="G5954" s="131"/>
      <c r="H5954" s="131"/>
      <c r="I5954" s="131"/>
      <c r="J5954" s="132"/>
      <c r="K5954" s="131"/>
    </row>
    <row r="5955" spans="7:11" x14ac:dyDescent="0.2">
      <c r="G5955" s="131"/>
      <c r="H5955" s="131"/>
      <c r="I5955" s="131"/>
      <c r="J5955" s="132"/>
      <c r="K5955" s="131"/>
    </row>
    <row r="5956" spans="7:11" x14ac:dyDescent="0.2">
      <c r="G5956" s="131"/>
      <c r="H5956" s="131"/>
      <c r="I5956" s="131"/>
      <c r="J5956" s="132"/>
      <c r="K5956" s="131"/>
    </row>
    <row r="5957" spans="7:11" x14ac:dyDescent="0.2">
      <c r="G5957" s="131"/>
      <c r="H5957" s="131"/>
      <c r="I5957" s="131"/>
      <c r="J5957" s="132"/>
      <c r="K5957" s="131"/>
    </row>
    <row r="5958" spans="7:11" x14ac:dyDescent="0.2">
      <c r="G5958" s="131"/>
      <c r="H5958" s="131"/>
      <c r="I5958" s="131"/>
      <c r="J5958" s="132"/>
      <c r="K5958" s="131"/>
    </row>
    <row r="5959" spans="7:11" x14ac:dyDescent="0.2">
      <c r="G5959" s="131"/>
      <c r="H5959" s="131"/>
      <c r="I5959" s="131"/>
      <c r="J5959" s="132"/>
      <c r="K5959" s="131"/>
    </row>
    <row r="5960" spans="7:11" x14ac:dyDescent="0.2">
      <c r="G5960" s="131"/>
      <c r="H5960" s="131"/>
      <c r="I5960" s="131"/>
      <c r="J5960" s="132"/>
      <c r="K5960" s="131"/>
    </row>
    <row r="5961" spans="7:11" x14ac:dyDescent="0.2">
      <c r="G5961" s="131"/>
      <c r="H5961" s="131"/>
      <c r="I5961" s="131"/>
      <c r="J5961" s="132"/>
      <c r="K5961" s="131"/>
    </row>
    <row r="5962" spans="7:11" x14ac:dyDescent="0.2">
      <c r="G5962" s="131"/>
      <c r="H5962" s="131"/>
      <c r="I5962" s="131"/>
      <c r="J5962" s="132"/>
      <c r="K5962" s="131"/>
    </row>
    <row r="5963" spans="7:11" x14ac:dyDescent="0.2">
      <c r="G5963" s="131"/>
      <c r="H5963" s="131"/>
      <c r="I5963" s="131"/>
      <c r="J5963" s="132"/>
      <c r="K5963" s="131"/>
    </row>
    <row r="5964" spans="7:11" x14ac:dyDescent="0.2">
      <c r="G5964" s="131"/>
      <c r="H5964" s="131"/>
      <c r="I5964" s="131"/>
      <c r="J5964" s="132"/>
      <c r="K5964" s="131"/>
    </row>
    <row r="5965" spans="7:11" x14ac:dyDescent="0.2">
      <c r="G5965" s="131"/>
      <c r="H5965" s="131"/>
      <c r="I5965" s="131"/>
      <c r="J5965" s="132"/>
      <c r="K5965" s="131"/>
    </row>
    <row r="5966" spans="7:11" x14ac:dyDescent="0.2">
      <c r="G5966" s="131"/>
      <c r="H5966" s="131"/>
      <c r="I5966" s="131"/>
      <c r="J5966" s="132"/>
      <c r="K5966" s="131"/>
    </row>
    <row r="5967" spans="7:11" x14ac:dyDescent="0.2">
      <c r="G5967" s="131"/>
      <c r="H5967" s="131"/>
      <c r="I5967" s="131"/>
      <c r="J5967" s="132"/>
      <c r="K5967" s="131"/>
    </row>
    <row r="5968" spans="7:11" x14ac:dyDescent="0.2">
      <c r="G5968" s="131"/>
      <c r="H5968" s="131"/>
      <c r="I5968" s="131"/>
      <c r="J5968" s="132"/>
      <c r="K5968" s="131"/>
    </row>
    <row r="5969" spans="7:11" x14ac:dyDescent="0.2">
      <c r="G5969" s="131"/>
      <c r="H5969" s="131"/>
      <c r="I5969" s="131"/>
      <c r="J5969" s="132"/>
      <c r="K5969" s="131"/>
    </row>
    <row r="5970" spans="7:11" x14ac:dyDescent="0.2">
      <c r="G5970" s="131"/>
      <c r="H5970" s="131"/>
      <c r="I5970" s="131"/>
      <c r="J5970" s="132"/>
      <c r="K5970" s="131"/>
    </row>
    <row r="5971" spans="7:11" x14ac:dyDescent="0.2">
      <c r="G5971" s="131"/>
      <c r="H5971" s="131"/>
      <c r="I5971" s="131"/>
      <c r="J5971" s="132"/>
      <c r="K5971" s="131"/>
    </row>
    <row r="5972" spans="7:11" x14ac:dyDescent="0.2">
      <c r="G5972" s="131"/>
      <c r="H5972" s="131"/>
      <c r="I5972" s="131"/>
      <c r="J5972" s="132"/>
      <c r="K5972" s="131"/>
    </row>
    <row r="5973" spans="7:11" x14ac:dyDescent="0.2">
      <c r="G5973" s="131"/>
      <c r="H5973" s="131"/>
      <c r="I5973" s="131"/>
      <c r="J5973" s="132"/>
      <c r="K5973" s="131"/>
    </row>
    <row r="5974" spans="7:11" x14ac:dyDescent="0.2">
      <c r="G5974" s="131"/>
      <c r="H5974" s="131"/>
      <c r="I5974" s="131"/>
      <c r="J5974" s="132"/>
      <c r="K5974" s="131"/>
    </row>
    <row r="5975" spans="7:11" x14ac:dyDescent="0.2">
      <c r="G5975" s="131"/>
      <c r="H5975" s="131"/>
      <c r="I5975" s="131"/>
      <c r="J5975" s="132"/>
      <c r="K5975" s="131"/>
    </row>
    <row r="5976" spans="7:11" x14ac:dyDescent="0.2">
      <c r="G5976" s="131"/>
      <c r="H5976" s="131"/>
      <c r="I5976" s="131"/>
      <c r="J5976" s="132"/>
      <c r="K5976" s="131"/>
    </row>
    <row r="5977" spans="7:11" x14ac:dyDescent="0.2">
      <c r="G5977" s="131"/>
      <c r="H5977" s="131"/>
      <c r="I5977" s="131"/>
      <c r="J5977" s="132"/>
      <c r="K5977" s="131"/>
    </row>
    <row r="5978" spans="7:11" x14ac:dyDescent="0.2">
      <c r="G5978" s="131"/>
      <c r="H5978" s="131"/>
      <c r="I5978" s="131"/>
      <c r="J5978" s="132"/>
      <c r="K5978" s="131"/>
    </row>
    <row r="5979" spans="7:11" x14ac:dyDescent="0.2">
      <c r="G5979" s="131"/>
      <c r="H5979" s="131"/>
      <c r="I5979" s="131"/>
      <c r="J5979" s="132"/>
      <c r="K5979" s="131"/>
    </row>
    <row r="5980" spans="7:11" x14ac:dyDescent="0.2">
      <c r="G5980" s="131"/>
      <c r="H5980" s="131"/>
      <c r="I5980" s="131"/>
      <c r="J5980" s="132"/>
      <c r="K5980" s="131"/>
    </row>
    <row r="5981" spans="7:11" x14ac:dyDescent="0.2">
      <c r="G5981" s="131"/>
      <c r="H5981" s="131"/>
      <c r="I5981" s="131"/>
      <c r="J5981" s="132"/>
      <c r="K5981" s="131"/>
    </row>
    <row r="5982" spans="7:11" x14ac:dyDescent="0.2">
      <c r="G5982" s="131"/>
      <c r="H5982" s="131"/>
      <c r="I5982" s="131"/>
      <c r="J5982" s="132"/>
      <c r="K5982" s="131"/>
    </row>
    <row r="5983" spans="7:11" x14ac:dyDescent="0.2">
      <c r="G5983" s="131"/>
      <c r="H5983" s="131"/>
      <c r="I5983" s="131"/>
      <c r="J5983" s="132"/>
      <c r="K5983" s="131"/>
    </row>
    <row r="5984" spans="7:11" x14ac:dyDescent="0.2">
      <c r="G5984" s="131"/>
      <c r="H5984" s="131"/>
      <c r="I5984" s="131"/>
      <c r="J5984" s="132"/>
      <c r="K5984" s="131"/>
    </row>
    <row r="5985" spans="7:11" x14ac:dyDescent="0.2">
      <c r="G5985" s="131"/>
      <c r="H5985" s="131"/>
      <c r="I5985" s="131"/>
      <c r="J5985" s="132"/>
      <c r="K5985" s="131"/>
    </row>
    <row r="5986" spans="7:11" x14ac:dyDescent="0.2">
      <c r="G5986" s="131"/>
      <c r="H5986" s="131"/>
      <c r="I5986" s="131"/>
      <c r="J5986" s="132"/>
      <c r="K5986" s="131"/>
    </row>
    <row r="5987" spans="7:11" x14ac:dyDescent="0.2">
      <c r="G5987" s="131"/>
      <c r="H5987" s="131"/>
      <c r="I5987" s="131"/>
      <c r="J5987" s="132"/>
      <c r="K5987" s="131"/>
    </row>
    <row r="5988" spans="7:11" x14ac:dyDescent="0.2">
      <c r="G5988" s="131"/>
      <c r="H5988" s="131"/>
      <c r="I5988" s="131"/>
      <c r="J5988" s="132"/>
      <c r="K5988" s="131"/>
    </row>
    <row r="5989" spans="7:11" x14ac:dyDescent="0.2">
      <c r="G5989" s="131"/>
      <c r="H5989" s="131"/>
      <c r="I5989" s="131"/>
      <c r="J5989" s="132"/>
      <c r="K5989" s="131"/>
    </row>
    <row r="5990" spans="7:11" x14ac:dyDescent="0.2">
      <c r="G5990" s="131"/>
      <c r="H5990" s="131"/>
      <c r="I5990" s="131"/>
      <c r="J5990" s="132"/>
      <c r="K5990" s="131"/>
    </row>
    <row r="5991" spans="7:11" x14ac:dyDescent="0.2">
      <c r="G5991" s="131"/>
      <c r="H5991" s="131"/>
      <c r="I5991" s="131"/>
      <c r="J5991" s="132"/>
      <c r="K5991" s="131"/>
    </row>
    <row r="5992" spans="7:11" x14ac:dyDescent="0.2">
      <c r="G5992" s="131"/>
      <c r="H5992" s="131"/>
      <c r="I5992" s="131"/>
      <c r="J5992" s="132"/>
      <c r="K5992" s="131"/>
    </row>
    <row r="5993" spans="7:11" x14ac:dyDescent="0.2">
      <c r="G5993" s="131"/>
      <c r="H5993" s="131"/>
      <c r="I5993" s="131"/>
      <c r="J5993" s="132"/>
      <c r="K5993" s="131"/>
    </row>
    <row r="5994" spans="7:11" x14ac:dyDescent="0.2">
      <c r="G5994" s="131"/>
      <c r="H5994" s="131"/>
      <c r="I5994" s="131"/>
      <c r="J5994" s="132"/>
      <c r="K5994" s="131"/>
    </row>
    <row r="5995" spans="7:11" x14ac:dyDescent="0.2">
      <c r="G5995" s="131"/>
      <c r="H5995" s="131"/>
      <c r="I5995" s="131"/>
      <c r="J5995" s="132"/>
      <c r="K5995" s="131"/>
    </row>
    <row r="5996" spans="7:11" x14ac:dyDescent="0.2">
      <c r="G5996" s="131"/>
      <c r="H5996" s="131"/>
      <c r="I5996" s="131"/>
      <c r="J5996" s="132"/>
      <c r="K5996" s="131"/>
    </row>
    <row r="5997" spans="7:11" x14ac:dyDescent="0.2">
      <c r="G5997" s="131"/>
      <c r="H5997" s="131"/>
      <c r="I5997" s="131"/>
      <c r="J5997" s="132"/>
      <c r="K5997" s="131"/>
    </row>
    <row r="5998" spans="7:11" x14ac:dyDescent="0.2">
      <c r="G5998" s="131"/>
      <c r="H5998" s="131"/>
      <c r="I5998" s="131"/>
      <c r="J5998" s="132"/>
      <c r="K5998" s="131"/>
    </row>
    <row r="5999" spans="7:11" x14ac:dyDescent="0.2">
      <c r="G5999" s="131"/>
      <c r="H5999" s="131"/>
      <c r="I5999" s="131"/>
      <c r="J5999" s="132"/>
      <c r="K5999" s="131"/>
    </row>
    <row r="6000" spans="7:11" x14ac:dyDescent="0.2">
      <c r="G6000" s="131"/>
      <c r="H6000" s="131"/>
      <c r="I6000" s="131"/>
      <c r="J6000" s="132"/>
      <c r="K6000" s="131"/>
    </row>
    <row r="6001" spans="7:11" x14ac:dyDescent="0.2">
      <c r="G6001" s="131"/>
      <c r="H6001" s="131"/>
      <c r="I6001" s="131"/>
      <c r="J6001" s="132"/>
      <c r="K6001" s="131"/>
    </row>
    <row r="6002" spans="7:11" x14ac:dyDescent="0.2">
      <c r="G6002" s="131"/>
      <c r="H6002" s="131"/>
      <c r="I6002" s="131"/>
      <c r="J6002" s="132"/>
      <c r="K6002" s="131"/>
    </row>
    <row r="6003" spans="7:11" x14ac:dyDescent="0.2">
      <c r="G6003" s="131"/>
      <c r="H6003" s="131"/>
      <c r="I6003" s="131"/>
      <c r="J6003" s="132"/>
      <c r="K6003" s="131"/>
    </row>
    <row r="6004" spans="7:11" x14ac:dyDescent="0.2">
      <c r="G6004" s="131"/>
      <c r="H6004" s="131"/>
      <c r="I6004" s="131"/>
      <c r="J6004" s="132"/>
      <c r="K6004" s="131"/>
    </row>
    <row r="6005" spans="7:11" x14ac:dyDescent="0.2">
      <c r="G6005" s="131"/>
      <c r="H6005" s="131"/>
      <c r="I6005" s="131"/>
      <c r="J6005" s="132"/>
      <c r="K6005" s="131"/>
    </row>
    <row r="6006" spans="7:11" x14ac:dyDescent="0.2">
      <c r="G6006" s="131"/>
      <c r="H6006" s="131"/>
      <c r="I6006" s="131"/>
      <c r="J6006" s="132"/>
      <c r="K6006" s="131"/>
    </row>
    <row r="6007" spans="7:11" x14ac:dyDescent="0.2">
      <c r="G6007" s="131"/>
      <c r="H6007" s="131"/>
      <c r="I6007" s="131"/>
      <c r="J6007" s="132"/>
      <c r="K6007" s="131"/>
    </row>
    <row r="6008" spans="7:11" x14ac:dyDescent="0.2">
      <c r="G6008" s="131"/>
      <c r="H6008" s="131"/>
      <c r="I6008" s="131"/>
      <c r="J6008" s="132"/>
      <c r="K6008" s="131"/>
    </row>
    <row r="6009" spans="7:11" x14ac:dyDescent="0.2">
      <c r="G6009" s="131"/>
      <c r="H6009" s="131"/>
      <c r="I6009" s="131"/>
      <c r="J6009" s="132"/>
      <c r="K6009" s="131"/>
    </row>
    <row r="6010" spans="7:11" x14ac:dyDescent="0.2">
      <c r="G6010" s="131"/>
      <c r="H6010" s="131"/>
      <c r="I6010" s="131"/>
      <c r="J6010" s="132"/>
      <c r="K6010" s="131"/>
    </row>
    <row r="6011" spans="7:11" x14ac:dyDescent="0.2">
      <c r="G6011" s="131"/>
      <c r="H6011" s="131"/>
      <c r="I6011" s="131"/>
      <c r="J6011" s="132"/>
      <c r="K6011" s="131"/>
    </row>
    <row r="6012" spans="7:11" x14ac:dyDescent="0.2">
      <c r="G6012" s="131"/>
      <c r="H6012" s="131"/>
      <c r="I6012" s="131"/>
      <c r="J6012" s="132"/>
      <c r="K6012" s="131"/>
    </row>
    <row r="6013" spans="7:11" x14ac:dyDescent="0.2">
      <c r="G6013" s="131"/>
      <c r="H6013" s="131"/>
      <c r="I6013" s="131"/>
      <c r="J6013" s="132"/>
      <c r="K6013" s="131"/>
    </row>
    <row r="6014" spans="7:11" x14ac:dyDescent="0.2">
      <c r="G6014" s="131"/>
      <c r="H6014" s="131"/>
      <c r="I6014" s="131"/>
      <c r="J6014" s="132"/>
      <c r="K6014" s="131"/>
    </row>
    <row r="6015" spans="7:11" x14ac:dyDescent="0.2">
      <c r="G6015" s="131"/>
      <c r="H6015" s="131"/>
      <c r="I6015" s="131"/>
      <c r="J6015" s="132"/>
      <c r="K6015" s="131"/>
    </row>
    <row r="6016" spans="7:11" x14ac:dyDescent="0.2">
      <c r="G6016" s="131"/>
      <c r="H6016" s="131"/>
      <c r="I6016" s="131"/>
      <c r="J6016" s="132"/>
      <c r="K6016" s="131"/>
    </row>
    <row r="6017" spans="7:11" x14ac:dyDescent="0.2">
      <c r="G6017" s="131"/>
      <c r="H6017" s="131"/>
      <c r="I6017" s="131"/>
      <c r="J6017" s="132"/>
      <c r="K6017" s="131"/>
    </row>
    <row r="6018" spans="7:11" x14ac:dyDescent="0.2">
      <c r="G6018" s="131"/>
      <c r="H6018" s="131"/>
      <c r="I6018" s="131"/>
      <c r="J6018" s="132"/>
      <c r="K6018" s="131"/>
    </row>
    <row r="6019" spans="7:11" x14ac:dyDescent="0.2">
      <c r="G6019" s="131"/>
      <c r="H6019" s="131"/>
      <c r="I6019" s="131"/>
      <c r="J6019" s="132"/>
      <c r="K6019" s="131"/>
    </row>
    <row r="6020" spans="7:11" x14ac:dyDescent="0.2">
      <c r="G6020" s="131"/>
      <c r="H6020" s="131"/>
      <c r="I6020" s="131"/>
      <c r="J6020" s="132"/>
      <c r="K6020" s="131"/>
    </row>
    <row r="6021" spans="7:11" x14ac:dyDescent="0.2">
      <c r="G6021" s="131"/>
      <c r="H6021" s="131"/>
      <c r="I6021" s="131"/>
      <c r="J6021" s="132"/>
      <c r="K6021" s="131"/>
    </row>
    <row r="6022" spans="7:11" x14ac:dyDescent="0.2">
      <c r="G6022" s="131"/>
      <c r="H6022" s="131"/>
      <c r="I6022" s="131"/>
      <c r="J6022" s="132"/>
      <c r="K6022" s="131"/>
    </row>
    <row r="6023" spans="7:11" x14ac:dyDescent="0.2">
      <c r="G6023" s="131"/>
      <c r="H6023" s="131"/>
      <c r="I6023" s="131"/>
      <c r="J6023" s="132"/>
      <c r="K6023" s="131"/>
    </row>
    <row r="6024" spans="7:11" x14ac:dyDescent="0.2">
      <c r="G6024" s="131"/>
      <c r="H6024" s="131"/>
      <c r="I6024" s="131"/>
      <c r="J6024" s="132"/>
      <c r="K6024" s="131"/>
    </row>
    <row r="6025" spans="7:11" x14ac:dyDescent="0.2">
      <c r="G6025" s="131"/>
      <c r="H6025" s="131"/>
      <c r="I6025" s="131"/>
      <c r="J6025" s="132"/>
      <c r="K6025" s="131"/>
    </row>
    <row r="6026" spans="7:11" x14ac:dyDescent="0.2">
      <c r="G6026" s="131"/>
      <c r="H6026" s="131"/>
      <c r="I6026" s="131"/>
      <c r="J6026" s="132"/>
      <c r="K6026" s="131"/>
    </row>
    <row r="6027" spans="7:11" x14ac:dyDescent="0.2">
      <c r="G6027" s="131"/>
      <c r="H6027" s="131"/>
      <c r="I6027" s="131"/>
      <c r="J6027" s="132"/>
      <c r="K6027" s="131"/>
    </row>
    <row r="6028" spans="7:11" x14ac:dyDescent="0.2">
      <c r="G6028" s="131"/>
      <c r="H6028" s="131"/>
      <c r="I6028" s="131"/>
      <c r="J6028" s="132"/>
      <c r="K6028" s="131"/>
    </row>
    <row r="6029" spans="7:11" x14ac:dyDescent="0.2">
      <c r="G6029" s="131"/>
      <c r="H6029" s="131"/>
      <c r="I6029" s="131"/>
      <c r="J6029" s="132"/>
      <c r="K6029" s="131"/>
    </row>
    <row r="6030" spans="7:11" x14ac:dyDescent="0.2">
      <c r="G6030" s="131"/>
      <c r="H6030" s="131"/>
      <c r="I6030" s="131"/>
      <c r="J6030" s="132"/>
      <c r="K6030" s="131"/>
    </row>
    <row r="6031" spans="7:11" x14ac:dyDescent="0.2">
      <c r="G6031" s="131"/>
      <c r="H6031" s="131"/>
      <c r="I6031" s="131"/>
      <c r="J6031" s="132"/>
      <c r="K6031" s="131"/>
    </row>
    <row r="6032" spans="7:11" x14ac:dyDescent="0.2">
      <c r="G6032" s="131"/>
      <c r="H6032" s="131"/>
      <c r="I6032" s="131"/>
      <c r="J6032" s="132"/>
      <c r="K6032" s="131"/>
    </row>
    <row r="6033" spans="7:11" x14ac:dyDescent="0.2">
      <c r="G6033" s="131"/>
      <c r="H6033" s="131"/>
      <c r="I6033" s="131"/>
      <c r="J6033" s="132"/>
      <c r="K6033" s="131"/>
    </row>
    <row r="6034" spans="7:11" x14ac:dyDescent="0.2">
      <c r="G6034" s="131"/>
      <c r="H6034" s="131"/>
      <c r="I6034" s="131"/>
      <c r="J6034" s="132"/>
      <c r="K6034" s="131"/>
    </row>
    <row r="6035" spans="7:11" x14ac:dyDescent="0.2">
      <c r="G6035" s="131"/>
      <c r="H6035" s="131"/>
      <c r="I6035" s="131"/>
      <c r="J6035" s="132"/>
      <c r="K6035" s="131"/>
    </row>
    <row r="6036" spans="7:11" x14ac:dyDescent="0.2">
      <c r="G6036" s="131"/>
      <c r="H6036" s="131"/>
      <c r="I6036" s="131"/>
      <c r="J6036" s="132"/>
      <c r="K6036" s="131"/>
    </row>
    <row r="6037" spans="7:11" x14ac:dyDescent="0.2">
      <c r="G6037" s="131"/>
      <c r="H6037" s="131"/>
      <c r="I6037" s="131"/>
      <c r="J6037" s="132"/>
      <c r="K6037" s="131"/>
    </row>
    <row r="6038" spans="7:11" x14ac:dyDescent="0.2">
      <c r="G6038" s="131"/>
      <c r="H6038" s="131"/>
      <c r="I6038" s="131"/>
      <c r="J6038" s="132"/>
      <c r="K6038" s="131"/>
    </row>
    <row r="6039" spans="7:11" x14ac:dyDescent="0.2">
      <c r="G6039" s="131"/>
      <c r="H6039" s="131"/>
      <c r="I6039" s="131"/>
      <c r="J6039" s="132"/>
      <c r="K6039" s="131"/>
    </row>
    <row r="6040" spans="7:11" x14ac:dyDescent="0.2">
      <c r="G6040" s="131"/>
      <c r="H6040" s="131"/>
      <c r="I6040" s="131"/>
      <c r="J6040" s="132"/>
      <c r="K6040" s="131"/>
    </row>
    <row r="6041" spans="7:11" x14ac:dyDescent="0.2">
      <c r="G6041" s="131"/>
      <c r="H6041" s="131"/>
      <c r="I6041" s="131"/>
      <c r="J6041" s="132"/>
      <c r="K6041" s="131"/>
    </row>
    <row r="6042" spans="7:11" x14ac:dyDescent="0.2">
      <c r="G6042" s="131"/>
      <c r="H6042" s="131"/>
      <c r="I6042" s="131"/>
      <c r="J6042" s="132"/>
      <c r="K6042" s="131"/>
    </row>
    <row r="6043" spans="7:11" x14ac:dyDescent="0.2">
      <c r="G6043" s="131"/>
      <c r="H6043" s="131"/>
      <c r="I6043" s="131"/>
      <c r="J6043" s="132"/>
      <c r="K6043" s="131"/>
    </row>
    <row r="6044" spans="7:11" x14ac:dyDescent="0.2">
      <c r="G6044" s="131"/>
      <c r="H6044" s="131"/>
      <c r="I6044" s="131"/>
      <c r="J6044" s="132"/>
      <c r="K6044" s="131"/>
    </row>
    <row r="6045" spans="7:11" x14ac:dyDescent="0.2">
      <c r="G6045" s="131"/>
      <c r="H6045" s="131"/>
      <c r="I6045" s="131"/>
      <c r="J6045" s="132"/>
      <c r="K6045" s="131"/>
    </row>
    <row r="6046" spans="7:11" x14ac:dyDescent="0.2">
      <c r="G6046" s="131"/>
      <c r="H6046" s="131"/>
      <c r="I6046" s="131"/>
      <c r="J6046" s="132"/>
      <c r="K6046" s="131"/>
    </row>
    <row r="6047" spans="7:11" x14ac:dyDescent="0.2">
      <c r="G6047" s="131"/>
      <c r="H6047" s="131"/>
      <c r="I6047" s="131"/>
      <c r="J6047" s="132"/>
      <c r="K6047" s="131"/>
    </row>
    <row r="6048" spans="7:11" x14ac:dyDescent="0.2">
      <c r="G6048" s="131"/>
      <c r="H6048" s="131"/>
      <c r="I6048" s="131"/>
      <c r="J6048" s="132"/>
      <c r="K6048" s="131"/>
    </row>
    <row r="6049" spans="7:11" x14ac:dyDescent="0.2">
      <c r="G6049" s="131"/>
      <c r="H6049" s="131"/>
      <c r="I6049" s="131"/>
      <c r="J6049" s="132"/>
      <c r="K6049" s="131"/>
    </row>
    <row r="6050" spans="7:11" x14ac:dyDescent="0.2">
      <c r="G6050" s="131"/>
      <c r="H6050" s="131"/>
      <c r="I6050" s="131"/>
      <c r="J6050" s="132"/>
      <c r="K6050" s="131"/>
    </row>
    <row r="6051" spans="7:11" x14ac:dyDescent="0.2">
      <c r="G6051" s="131"/>
      <c r="H6051" s="131"/>
      <c r="I6051" s="131"/>
      <c r="J6051" s="132"/>
      <c r="K6051" s="131"/>
    </row>
    <row r="6052" spans="7:11" x14ac:dyDescent="0.2">
      <c r="G6052" s="131"/>
      <c r="H6052" s="131"/>
      <c r="I6052" s="131"/>
      <c r="J6052" s="132"/>
      <c r="K6052" s="131"/>
    </row>
    <row r="6053" spans="7:11" x14ac:dyDescent="0.2">
      <c r="G6053" s="131"/>
      <c r="H6053" s="131"/>
      <c r="I6053" s="131"/>
      <c r="J6053" s="132"/>
      <c r="K6053" s="131"/>
    </row>
    <row r="6054" spans="7:11" x14ac:dyDescent="0.2">
      <c r="G6054" s="131"/>
      <c r="H6054" s="131"/>
      <c r="I6054" s="131"/>
      <c r="J6054" s="132"/>
      <c r="K6054" s="131"/>
    </row>
    <row r="6055" spans="7:11" x14ac:dyDescent="0.2">
      <c r="G6055" s="131"/>
      <c r="H6055" s="131"/>
      <c r="I6055" s="131"/>
      <c r="J6055" s="132"/>
      <c r="K6055" s="131"/>
    </row>
    <row r="6056" spans="7:11" x14ac:dyDescent="0.2">
      <c r="G6056" s="131"/>
      <c r="H6056" s="131"/>
      <c r="I6056" s="131"/>
      <c r="J6056" s="132"/>
      <c r="K6056" s="131"/>
    </row>
    <row r="6057" spans="7:11" x14ac:dyDescent="0.2">
      <c r="G6057" s="131"/>
      <c r="H6057" s="131"/>
      <c r="I6057" s="131"/>
      <c r="J6057" s="132"/>
      <c r="K6057" s="131"/>
    </row>
    <row r="6058" spans="7:11" x14ac:dyDescent="0.2">
      <c r="G6058" s="131"/>
      <c r="H6058" s="131"/>
      <c r="I6058" s="131"/>
      <c r="J6058" s="132"/>
      <c r="K6058" s="131"/>
    </row>
    <row r="6059" spans="7:11" x14ac:dyDescent="0.2">
      <c r="G6059" s="131"/>
      <c r="H6059" s="131"/>
      <c r="I6059" s="131"/>
      <c r="J6059" s="132"/>
      <c r="K6059" s="131"/>
    </row>
    <row r="6060" spans="7:11" x14ac:dyDescent="0.2">
      <c r="G6060" s="131"/>
      <c r="H6060" s="131"/>
      <c r="I6060" s="131"/>
      <c r="J6060" s="132"/>
      <c r="K6060" s="131"/>
    </row>
    <row r="6061" spans="7:11" x14ac:dyDescent="0.2">
      <c r="G6061" s="131"/>
      <c r="H6061" s="131"/>
      <c r="I6061" s="131"/>
      <c r="J6061" s="132"/>
      <c r="K6061" s="131"/>
    </row>
    <row r="6062" spans="7:11" x14ac:dyDescent="0.2">
      <c r="G6062" s="131"/>
      <c r="H6062" s="131"/>
      <c r="I6062" s="131"/>
      <c r="J6062" s="132"/>
      <c r="K6062" s="131"/>
    </row>
    <row r="6063" spans="7:11" x14ac:dyDescent="0.2">
      <c r="G6063" s="131"/>
      <c r="H6063" s="131"/>
      <c r="I6063" s="131"/>
      <c r="J6063" s="132"/>
      <c r="K6063" s="131"/>
    </row>
    <row r="6064" spans="7:11" x14ac:dyDescent="0.2">
      <c r="G6064" s="131"/>
      <c r="H6064" s="131"/>
      <c r="I6064" s="131"/>
      <c r="J6064" s="132"/>
      <c r="K6064" s="131"/>
    </row>
    <row r="6065" spans="7:11" x14ac:dyDescent="0.2">
      <c r="G6065" s="131"/>
      <c r="H6065" s="131"/>
      <c r="I6065" s="131"/>
      <c r="J6065" s="132"/>
      <c r="K6065" s="131"/>
    </row>
    <row r="6066" spans="7:11" x14ac:dyDescent="0.2">
      <c r="G6066" s="131"/>
      <c r="H6066" s="131"/>
      <c r="I6066" s="131"/>
      <c r="J6066" s="132"/>
      <c r="K6066" s="131"/>
    </row>
    <row r="6067" spans="7:11" x14ac:dyDescent="0.2">
      <c r="G6067" s="131"/>
      <c r="H6067" s="131"/>
      <c r="I6067" s="131"/>
      <c r="J6067" s="132"/>
      <c r="K6067" s="131"/>
    </row>
    <row r="6068" spans="7:11" x14ac:dyDescent="0.2">
      <c r="G6068" s="131"/>
      <c r="H6068" s="131"/>
      <c r="I6068" s="131"/>
      <c r="J6068" s="132"/>
      <c r="K6068" s="131"/>
    </row>
    <row r="6069" spans="7:11" x14ac:dyDescent="0.2">
      <c r="G6069" s="131"/>
      <c r="H6069" s="131"/>
      <c r="I6069" s="131"/>
      <c r="J6069" s="132"/>
      <c r="K6069" s="131"/>
    </row>
    <row r="6070" spans="7:11" x14ac:dyDescent="0.2">
      <c r="G6070" s="131"/>
      <c r="H6070" s="131"/>
      <c r="I6070" s="131"/>
      <c r="J6070" s="132"/>
      <c r="K6070" s="131"/>
    </row>
    <row r="6071" spans="7:11" x14ac:dyDescent="0.2">
      <c r="G6071" s="131"/>
      <c r="H6071" s="131"/>
      <c r="I6071" s="131"/>
      <c r="J6071" s="132"/>
      <c r="K6071" s="131"/>
    </row>
    <row r="6072" spans="7:11" x14ac:dyDescent="0.2">
      <c r="G6072" s="131"/>
      <c r="H6072" s="131"/>
      <c r="I6072" s="131"/>
      <c r="J6072" s="132"/>
      <c r="K6072" s="131"/>
    </row>
    <row r="6073" spans="7:11" x14ac:dyDescent="0.2">
      <c r="G6073" s="131"/>
      <c r="H6073" s="131"/>
      <c r="I6073" s="131"/>
      <c r="J6073" s="132"/>
      <c r="K6073" s="131"/>
    </row>
    <row r="6074" spans="7:11" x14ac:dyDescent="0.2">
      <c r="G6074" s="131"/>
      <c r="H6074" s="131"/>
      <c r="I6074" s="131"/>
      <c r="J6074" s="132"/>
      <c r="K6074" s="131"/>
    </row>
    <row r="6075" spans="7:11" x14ac:dyDescent="0.2">
      <c r="G6075" s="131"/>
      <c r="H6075" s="131"/>
      <c r="I6075" s="131"/>
      <c r="J6075" s="132"/>
      <c r="K6075" s="131"/>
    </row>
    <row r="6076" spans="7:11" x14ac:dyDescent="0.2">
      <c r="G6076" s="131"/>
      <c r="H6076" s="131"/>
      <c r="I6076" s="131"/>
      <c r="J6076" s="132"/>
      <c r="K6076" s="131"/>
    </row>
    <row r="6077" spans="7:11" x14ac:dyDescent="0.2">
      <c r="G6077" s="131"/>
      <c r="H6077" s="131"/>
      <c r="I6077" s="131"/>
      <c r="J6077" s="132"/>
      <c r="K6077" s="131"/>
    </row>
    <row r="6078" spans="7:11" x14ac:dyDescent="0.2">
      <c r="G6078" s="131"/>
      <c r="H6078" s="131"/>
      <c r="I6078" s="131"/>
      <c r="J6078" s="132"/>
      <c r="K6078" s="131"/>
    </row>
    <row r="6079" spans="7:11" x14ac:dyDescent="0.2">
      <c r="G6079" s="131"/>
      <c r="H6079" s="131"/>
      <c r="I6079" s="131"/>
      <c r="J6079" s="132"/>
      <c r="K6079" s="131"/>
    </row>
    <row r="6080" spans="7:11" x14ac:dyDescent="0.2">
      <c r="G6080" s="131"/>
      <c r="H6080" s="131"/>
      <c r="I6080" s="131"/>
      <c r="J6080" s="132"/>
      <c r="K6080" s="131"/>
    </row>
    <row r="6081" spans="7:11" x14ac:dyDescent="0.2">
      <c r="G6081" s="131"/>
      <c r="H6081" s="131"/>
      <c r="I6081" s="131"/>
      <c r="J6081" s="132"/>
      <c r="K6081" s="131"/>
    </row>
    <row r="6082" spans="7:11" x14ac:dyDescent="0.2">
      <c r="G6082" s="131"/>
      <c r="H6082" s="131"/>
      <c r="I6082" s="131"/>
      <c r="J6082" s="132"/>
      <c r="K6082" s="131"/>
    </row>
    <row r="6083" spans="7:11" x14ac:dyDescent="0.2">
      <c r="G6083" s="131"/>
      <c r="H6083" s="131"/>
      <c r="I6083" s="131"/>
      <c r="J6083" s="132"/>
      <c r="K6083" s="131"/>
    </row>
    <row r="6084" spans="7:11" x14ac:dyDescent="0.2">
      <c r="G6084" s="131"/>
      <c r="H6084" s="131"/>
      <c r="I6084" s="131"/>
      <c r="J6084" s="132"/>
      <c r="K6084" s="131"/>
    </row>
    <row r="6085" spans="7:11" x14ac:dyDescent="0.2">
      <c r="G6085" s="131"/>
      <c r="H6085" s="131"/>
      <c r="I6085" s="131"/>
      <c r="J6085" s="132"/>
      <c r="K6085" s="131"/>
    </row>
    <row r="6086" spans="7:11" x14ac:dyDescent="0.2">
      <c r="G6086" s="131"/>
      <c r="H6086" s="131"/>
      <c r="I6086" s="131"/>
      <c r="J6086" s="132"/>
      <c r="K6086" s="131"/>
    </row>
    <row r="6087" spans="7:11" x14ac:dyDescent="0.2">
      <c r="G6087" s="131"/>
      <c r="H6087" s="131"/>
      <c r="I6087" s="131"/>
      <c r="J6087" s="132"/>
      <c r="K6087" s="131"/>
    </row>
    <row r="6088" spans="7:11" x14ac:dyDescent="0.2">
      <c r="G6088" s="131"/>
      <c r="H6088" s="131"/>
      <c r="I6088" s="131"/>
      <c r="J6088" s="132"/>
      <c r="K6088" s="131"/>
    </row>
    <row r="6089" spans="7:11" x14ac:dyDescent="0.2">
      <c r="G6089" s="131"/>
      <c r="H6089" s="131"/>
      <c r="I6089" s="131"/>
      <c r="J6089" s="132"/>
      <c r="K6089" s="131"/>
    </row>
    <row r="6090" spans="7:11" x14ac:dyDescent="0.2">
      <c r="G6090" s="131"/>
      <c r="H6090" s="131"/>
      <c r="I6090" s="131"/>
      <c r="J6090" s="132"/>
      <c r="K6090" s="131"/>
    </row>
    <row r="6091" spans="7:11" x14ac:dyDescent="0.2">
      <c r="G6091" s="131"/>
      <c r="H6091" s="131"/>
      <c r="I6091" s="131"/>
      <c r="J6091" s="132"/>
      <c r="K6091" s="131"/>
    </row>
    <row r="6092" spans="7:11" x14ac:dyDescent="0.2">
      <c r="G6092" s="131"/>
      <c r="H6092" s="131"/>
      <c r="I6092" s="131"/>
      <c r="J6092" s="132"/>
      <c r="K6092" s="131"/>
    </row>
    <row r="6093" spans="7:11" x14ac:dyDescent="0.2">
      <c r="G6093" s="131"/>
      <c r="H6093" s="131"/>
      <c r="I6093" s="131"/>
      <c r="J6093" s="132"/>
      <c r="K6093" s="131"/>
    </row>
    <row r="6094" spans="7:11" x14ac:dyDescent="0.2">
      <c r="G6094" s="131"/>
      <c r="H6094" s="131"/>
      <c r="I6094" s="131"/>
      <c r="J6094" s="132"/>
      <c r="K6094" s="131"/>
    </row>
    <row r="6095" spans="7:11" x14ac:dyDescent="0.2">
      <c r="G6095" s="131"/>
      <c r="H6095" s="131"/>
      <c r="I6095" s="131"/>
      <c r="J6095" s="132"/>
      <c r="K6095" s="131"/>
    </row>
    <row r="6096" spans="7:11" x14ac:dyDescent="0.2">
      <c r="G6096" s="131"/>
      <c r="H6096" s="131"/>
      <c r="I6096" s="131"/>
      <c r="J6096" s="132"/>
      <c r="K6096" s="131"/>
    </row>
    <row r="6097" spans="7:11" x14ac:dyDescent="0.2">
      <c r="G6097" s="131"/>
      <c r="H6097" s="131"/>
      <c r="I6097" s="131"/>
      <c r="J6097" s="132"/>
      <c r="K6097" s="131"/>
    </row>
    <row r="6098" spans="7:11" x14ac:dyDescent="0.2">
      <c r="G6098" s="131"/>
      <c r="H6098" s="131"/>
      <c r="I6098" s="131"/>
      <c r="J6098" s="132"/>
      <c r="K6098" s="131"/>
    </row>
    <row r="6099" spans="7:11" x14ac:dyDescent="0.2">
      <c r="G6099" s="131"/>
      <c r="H6099" s="131"/>
      <c r="I6099" s="131"/>
      <c r="J6099" s="132"/>
      <c r="K6099" s="131"/>
    </row>
    <row r="6100" spans="7:11" x14ac:dyDescent="0.2">
      <c r="G6100" s="131"/>
      <c r="H6100" s="131"/>
      <c r="I6100" s="131"/>
      <c r="J6100" s="132"/>
      <c r="K6100" s="131"/>
    </row>
    <row r="6101" spans="7:11" x14ac:dyDescent="0.2">
      <c r="G6101" s="131"/>
      <c r="H6101" s="131"/>
      <c r="I6101" s="131"/>
      <c r="J6101" s="132"/>
      <c r="K6101" s="131"/>
    </row>
    <row r="6102" spans="7:11" x14ac:dyDescent="0.2">
      <c r="G6102" s="131"/>
      <c r="H6102" s="131"/>
      <c r="I6102" s="131"/>
      <c r="J6102" s="132"/>
      <c r="K6102" s="131"/>
    </row>
    <row r="6103" spans="7:11" x14ac:dyDescent="0.2">
      <c r="G6103" s="131"/>
      <c r="H6103" s="131"/>
      <c r="I6103" s="131"/>
      <c r="J6103" s="132"/>
      <c r="K6103" s="131"/>
    </row>
    <row r="6104" spans="7:11" x14ac:dyDescent="0.2">
      <c r="G6104" s="131"/>
      <c r="H6104" s="131"/>
      <c r="I6104" s="131"/>
      <c r="J6104" s="132"/>
      <c r="K6104" s="131"/>
    </row>
    <row r="6105" spans="7:11" x14ac:dyDescent="0.2">
      <c r="G6105" s="131"/>
      <c r="H6105" s="131"/>
      <c r="I6105" s="131"/>
      <c r="J6105" s="132"/>
      <c r="K6105" s="131"/>
    </row>
    <row r="6106" spans="7:11" x14ac:dyDescent="0.2">
      <c r="G6106" s="131"/>
      <c r="H6106" s="131"/>
      <c r="I6106" s="131"/>
      <c r="J6106" s="132"/>
      <c r="K6106" s="131"/>
    </row>
    <row r="6107" spans="7:11" x14ac:dyDescent="0.2">
      <c r="G6107" s="131"/>
      <c r="H6107" s="131"/>
      <c r="I6107" s="131"/>
      <c r="J6107" s="132"/>
      <c r="K6107" s="131"/>
    </row>
    <row r="6108" spans="7:11" x14ac:dyDescent="0.2">
      <c r="G6108" s="131"/>
      <c r="H6108" s="131"/>
      <c r="I6108" s="131"/>
      <c r="J6108" s="132"/>
      <c r="K6108" s="131"/>
    </row>
    <row r="6109" spans="7:11" x14ac:dyDescent="0.2">
      <c r="G6109" s="131"/>
      <c r="H6109" s="131"/>
      <c r="I6109" s="131"/>
      <c r="J6109" s="132"/>
      <c r="K6109" s="131"/>
    </row>
    <row r="6110" spans="7:11" x14ac:dyDescent="0.2">
      <c r="G6110" s="131"/>
      <c r="H6110" s="131"/>
      <c r="I6110" s="131"/>
      <c r="J6110" s="132"/>
      <c r="K6110" s="131"/>
    </row>
    <row r="6111" spans="7:11" x14ac:dyDescent="0.2">
      <c r="G6111" s="131"/>
      <c r="H6111" s="131"/>
      <c r="I6111" s="131"/>
      <c r="J6111" s="132"/>
      <c r="K6111" s="131"/>
    </row>
    <row r="6112" spans="7:11" x14ac:dyDescent="0.2">
      <c r="G6112" s="131"/>
      <c r="H6112" s="131"/>
      <c r="I6112" s="131"/>
      <c r="J6112" s="132"/>
      <c r="K6112" s="131"/>
    </row>
    <row r="6113" spans="7:11" x14ac:dyDescent="0.2">
      <c r="G6113" s="131"/>
      <c r="H6113" s="131"/>
      <c r="I6113" s="131"/>
      <c r="J6113" s="132"/>
      <c r="K6113" s="131"/>
    </row>
    <row r="6114" spans="7:11" x14ac:dyDescent="0.2">
      <c r="G6114" s="131"/>
      <c r="H6114" s="131"/>
      <c r="I6114" s="131"/>
      <c r="J6114" s="132"/>
      <c r="K6114" s="131"/>
    </row>
    <row r="6115" spans="7:11" x14ac:dyDescent="0.2">
      <c r="G6115" s="131"/>
      <c r="H6115" s="131"/>
      <c r="I6115" s="131"/>
      <c r="J6115" s="132"/>
      <c r="K6115" s="131"/>
    </row>
    <row r="6116" spans="7:11" x14ac:dyDescent="0.2">
      <c r="G6116" s="131"/>
      <c r="H6116" s="131"/>
      <c r="I6116" s="131"/>
      <c r="J6116" s="132"/>
      <c r="K6116" s="131"/>
    </row>
    <row r="6117" spans="7:11" x14ac:dyDescent="0.2">
      <c r="G6117" s="131"/>
      <c r="H6117" s="131"/>
      <c r="I6117" s="131"/>
      <c r="J6117" s="132"/>
      <c r="K6117" s="131"/>
    </row>
    <row r="6118" spans="7:11" x14ac:dyDescent="0.2">
      <c r="G6118" s="131"/>
      <c r="H6118" s="131"/>
      <c r="I6118" s="131"/>
      <c r="J6118" s="132"/>
      <c r="K6118" s="131"/>
    </row>
    <row r="6119" spans="7:11" x14ac:dyDescent="0.2">
      <c r="G6119" s="131"/>
      <c r="H6119" s="131"/>
      <c r="I6119" s="131"/>
      <c r="J6119" s="132"/>
      <c r="K6119" s="131"/>
    </row>
    <row r="6120" spans="7:11" x14ac:dyDescent="0.2">
      <c r="G6120" s="131"/>
      <c r="H6120" s="131"/>
      <c r="I6120" s="131"/>
      <c r="J6120" s="132"/>
      <c r="K6120" s="131"/>
    </row>
    <row r="6121" spans="7:11" x14ac:dyDescent="0.2">
      <c r="G6121" s="131"/>
      <c r="H6121" s="131"/>
      <c r="I6121" s="131"/>
      <c r="J6121" s="132"/>
      <c r="K6121" s="131"/>
    </row>
    <row r="6122" spans="7:11" x14ac:dyDescent="0.2">
      <c r="G6122" s="131"/>
      <c r="H6122" s="131"/>
      <c r="I6122" s="131"/>
      <c r="J6122" s="132"/>
      <c r="K6122" s="131"/>
    </row>
    <row r="6123" spans="7:11" x14ac:dyDescent="0.2">
      <c r="G6123" s="131"/>
      <c r="H6123" s="131"/>
      <c r="I6123" s="131"/>
      <c r="J6123" s="132"/>
      <c r="K6123" s="131"/>
    </row>
    <row r="6124" spans="7:11" x14ac:dyDescent="0.2">
      <c r="G6124" s="131"/>
      <c r="H6124" s="131"/>
      <c r="I6124" s="131"/>
      <c r="J6124" s="132"/>
      <c r="K6124" s="131"/>
    </row>
    <row r="6125" spans="7:11" x14ac:dyDescent="0.2">
      <c r="G6125" s="131"/>
      <c r="H6125" s="131"/>
      <c r="I6125" s="131"/>
      <c r="J6125" s="132"/>
      <c r="K6125" s="131"/>
    </row>
    <row r="6126" spans="7:11" x14ac:dyDescent="0.2">
      <c r="G6126" s="131"/>
      <c r="H6126" s="131"/>
      <c r="I6126" s="131"/>
      <c r="J6126" s="132"/>
      <c r="K6126" s="131"/>
    </row>
    <row r="6127" spans="7:11" x14ac:dyDescent="0.2">
      <c r="G6127" s="131"/>
      <c r="H6127" s="131"/>
      <c r="I6127" s="131"/>
      <c r="J6127" s="132"/>
      <c r="K6127" s="131"/>
    </row>
    <row r="6128" spans="7:11" x14ac:dyDescent="0.2">
      <c r="G6128" s="131"/>
      <c r="H6128" s="131"/>
      <c r="I6128" s="131"/>
      <c r="J6128" s="132"/>
      <c r="K6128" s="131"/>
    </row>
    <row r="6129" spans="7:11" x14ac:dyDescent="0.2">
      <c r="G6129" s="131"/>
      <c r="H6129" s="131"/>
      <c r="I6129" s="131"/>
      <c r="J6129" s="132"/>
      <c r="K6129" s="131"/>
    </row>
    <row r="6130" spans="7:11" x14ac:dyDescent="0.2">
      <c r="G6130" s="131"/>
      <c r="H6130" s="131"/>
      <c r="I6130" s="131"/>
      <c r="J6130" s="132"/>
      <c r="K6130" s="131"/>
    </row>
    <row r="6131" spans="7:11" x14ac:dyDescent="0.2">
      <c r="G6131" s="131"/>
      <c r="H6131" s="131"/>
      <c r="I6131" s="131"/>
      <c r="J6131" s="132"/>
      <c r="K6131" s="131"/>
    </row>
    <row r="6132" spans="7:11" x14ac:dyDescent="0.2">
      <c r="G6132" s="131"/>
      <c r="H6132" s="131"/>
      <c r="I6132" s="131"/>
      <c r="J6132" s="132"/>
      <c r="K6132" s="131"/>
    </row>
    <row r="6133" spans="7:11" x14ac:dyDescent="0.2">
      <c r="G6133" s="131"/>
      <c r="H6133" s="131"/>
      <c r="I6133" s="131"/>
      <c r="J6133" s="132"/>
      <c r="K6133" s="131"/>
    </row>
    <row r="6134" spans="7:11" x14ac:dyDescent="0.2">
      <c r="G6134" s="131"/>
      <c r="H6134" s="131"/>
      <c r="I6134" s="131"/>
      <c r="J6134" s="132"/>
      <c r="K6134" s="131"/>
    </row>
    <row r="6135" spans="7:11" x14ac:dyDescent="0.2">
      <c r="G6135" s="131"/>
      <c r="H6135" s="131"/>
      <c r="I6135" s="131"/>
      <c r="J6135" s="132"/>
      <c r="K6135" s="131"/>
    </row>
    <row r="6136" spans="7:11" x14ac:dyDescent="0.2">
      <c r="G6136" s="131"/>
      <c r="H6136" s="131"/>
      <c r="I6136" s="131"/>
      <c r="J6136" s="132"/>
      <c r="K6136" s="131"/>
    </row>
    <row r="6137" spans="7:11" x14ac:dyDescent="0.2">
      <c r="G6137" s="131"/>
      <c r="H6137" s="131"/>
      <c r="I6137" s="131"/>
      <c r="J6137" s="132"/>
      <c r="K6137" s="131"/>
    </row>
    <row r="6138" spans="7:11" x14ac:dyDescent="0.2">
      <c r="G6138" s="131"/>
      <c r="H6138" s="131"/>
      <c r="I6138" s="131"/>
      <c r="J6138" s="132"/>
      <c r="K6138" s="131"/>
    </row>
    <row r="6139" spans="7:11" x14ac:dyDescent="0.2">
      <c r="G6139" s="131"/>
      <c r="H6139" s="131"/>
      <c r="I6139" s="131"/>
      <c r="J6139" s="132"/>
      <c r="K6139" s="131"/>
    </row>
    <row r="6140" spans="7:11" x14ac:dyDescent="0.2">
      <c r="G6140" s="131"/>
      <c r="H6140" s="131"/>
      <c r="I6140" s="131"/>
      <c r="J6140" s="132"/>
      <c r="K6140" s="131"/>
    </row>
    <row r="6141" spans="7:11" x14ac:dyDescent="0.2">
      <c r="G6141" s="131"/>
      <c r="H6141" s="131"/>
      <c r="I6141" s="131"/>
      <c r="J6141" s="132"/>
      <c r="K6141" s="131"/>
    </row>
    <row r="6142" spans="7:11" x14ac:dyDescent="0.2">
      <c r="G6142" s="131"/>
      <c r="H6142" s="131"/>
      <c r="I6142" s="131"/>
      <c r="J6142" s="132"/>
      <c r="K6142" s="131"/>
    </row>
    <row r="6143" spans="7:11" x14ac:dyDescent="0.2">
      <c r="G6143" s="131"/>
      <c r="H6143" s="131"/>
      <c r="I6143" s="131"/>
      <c r="J6143" s="132"/>
      <c r="K6143" s="131"/>
    </row>
    <row r="6144" spans="7:11" x14ac:dyDescent="0.2">
      <c r="G6144" s="131"/>
      <c r="H6144" s="131"/>
      <c r="I6144" s="131"/>
      <c r="J6144" s="132"/>
      <c r="K6144" s="131"/>
    </row>
    <row r="6145" spans="7:11" x14ac:dyDescent="0.2">
      <c r="G6145" s="131"/>
      <c r="H6145" s="131"/>
      <c r="I6145" s="131"/>
      <c r="J6145" s="132"/>
      <c r="K6145" s="131"/>
    </row>
    <row r="6146" spans="7:11" x14ac:dyDescent="0.2">
      <c r="G6146" s="131"/>
      <c r="H6146" s="131"/>
      <c r="I6146" s="131"/>
      <c r="J6146" s="132"/>
      <c r="K6146" s="131"/>
    </row>
    <row r="6147" spans="7:11" x14ac:dyDescent="0.2">
      <c r="G6147" s="131"/>
      <c r="H6147" s="131"/>
      <c r="I6147" s="131"/>
      <c r="J6147" s="132"/>
      <c r="K6147" s="131"/>
    </row>
    <row r="6148" spans="7:11" x14ac:dyDescent="0.2">
      <c r="G6148" s="131"/>
      <c r="H6148" s="131"/>
      <c r="I6148" s="131"/>
      <c r="J6148" s="132"/>
      <c r="K6148" s="131"/>
    </row>
    <row r="6149" spans="7:11" x14ac:dyDescent="0.2">
      <c r="G6149" s="131"/>
      <c r="H6149" s="131"/>
      <c r="I6149" s="131"/>
      <c r="J6149" s="132"/>
      <c r="K6149" s="131"/>
    </row>
    <row r="6150" spans="7:11" x14ac:dyDescent="0.2">
      <c r="G6150" s="131"/>
      <c r="H6150" s="131"/>
      <c r="I6150" s="131"/>
      <c r="J6150" s="132"/>
      <c r="K6150" s="131"/>
    </row>
    <row r="6151" spans="7:11" x14ac:dyDescent="0.2">
      <c r="G6151" s="131"/>
      <c r="H6151" s="131"/>
      <c r="I6151" s="131"/>
      <c r="J6151" s="132"/>
      <c r="K6151" s="131"/>
    </row>
    <row r="6152" spans="7:11" x14ac:dyDescent="0.2">
      <c r="G6152" s="131"/>
      <c r="H6152" s="131"/>
      <c r="I6152" s="131"/>
      <c r="J6152" s="132"/>
      <c r="K6152" s="131"/>
    </row>
    <row r="6153" spans="7:11" x14ac:dyDescent="0.2">
      <c r="G6153" s="131"/>
      <c r="H6153" s="131"/>
      <c r="I6153" s="131"/>
      <c r="J6153" s="132"/>
      <c r="K6153" s="131"/>
    </row>
    <row r="6154" spans="7:11" x14ac:dyDescent="0.2">
      <c r="G6154" s="131"/>
      <c r="H6154" s="131"/>
      <c r="I6154" s="131"/>
      <c r="J6154" s="132"/>
      <c r="K6154" s="131"/>
    </row>
    <row r="6155" spans="7:11" x14ac:dyDescent="0.2">
      <c r="G6155" s="131"/>
      <c r="H6155" s="131"/>
      <c r="I6155" s="131"/>
      <c r="J6155" s="132"/>
      <c r="K6155" s="131"/>
    </row>
    <row r="6156" spans="7:11" x14ac:dyDescent="0.2">
      <c r="G6156" s="131"/>
      <c r="H6156" s="131"/>
      <c r="I6156" s="131"/>
      <c r="J6156" s="132"/>
      <c r="K6156" s="131"/>
    </row>
    <row r="6157" spans="7:11" x14ac:dyDescent="0.2">
      <c r="G6157" s="131"/>
      <c r="H6157" s="131"/>
      <c r="I6157" s="131"/>
      <c r="J6157" s="132"/>
      <c r="K6157" s="131"/>
    </row>
    <row r="6158" spans="7:11" x14ac:dyDescent="0.2">
      <c r="G6158" s="131"/>
      <c r="H6158" s="131"/>
      <c r="I6158" s="131"/>
      <c r="J6158" s="132"/>
      <c r="K6158" s="131"/>
    </row>
    <row r="6159" spans="7:11" x14ac:dyDescent="0.2">
      <c r="G6159" s="131"/>
      <c r="H6159" s="131"/>
      <c r="I6159" s="131"/>
      <c r="J6159" s="132"/>
      <c r="K6159" s="131"/>
    </row>
    <row r="6160" spans="7:11" x14ac:dyDescent="0.2">
      <c r="G6160" s="131"/>
      <c r="H6160" s="131"/>
      <c r="I6160" s="131"/>
      <c r="J6160" s="132"/>
      <c r="K6160" s="131"/>
    </row>
    <row r="6161" spans="7:11" x14ac:dyDescent="0.2">
      <c r="G6161" s="131"/>
      <c r="H6161" s="131"/>
      <c r="I6161" s="131"/>
      <c r="J6161" s="132"/>
      <c r="K6161" s="131"/>
    </row>
    <row r="6162" spans="7:11" x14ac:dyDescent="0.2">
      <c r="G6162" s="131"/>
      <c r="H6162" s="131"/>
      <c r="I6162" s="131"/>
      <c r="J6162" s="132"/>
      <c r="K6162" s="131"/>
    </row>
    <row r="6163" spans="7:11" x14ac:dyDescent="0.2">
      <c r="G6163" s="131"/>
      <c r="H6163" s="131"/>
      <c r="I6163" s="131"/>
      <c r="J6163" s="132"/>
      <c r="K6163" s="131"/>
    </row>
    <row r="6164" spans="7:11" x14ac:dyDescent="0.2">
      <c r="G6164" s="131"/>
      <c r="H6164" s="131"/>
      <c r="I6164" s="131"/>
      <c r="J6164" s="132"/>
      <c r="K6164" s="131"/>
    </row>
    <row r="6165" spans="7:11" x14ac:dyDescent="0.2">
      <c r="G6165" s="131"/>
      <c r="H6165" s="131"/>
      <c r="I6165" s="131"/>
      <c r="J6165" s="132"/>
      <c r="K6165" s="131"/>
    </row>
    <row r="6166" spans="7:11" x14ac:dyDescent="0.2">
      <c r="G6166" s="131"/>
      <c r="H6166" s="131"/>
      <c r="I6166" s="131"/>
      <c r="J6166" s="132"/>
      <c r="K6166" s="131"/>
    </row>
    <row r="6167" spans="7:11" x14ac:dyDescent="0.2">
      <c r="G6167" s="131"/>
      <c r="H6167" s="131"/>
      <c r="I6167" s="131"/>
      <c r="J6167" s="132"/>
      <c r="K6167" s="131"/>
    </row>
    <row r="6168" spans="7:11" x14ac:dyDescent="0.2">
      <c r="G6168" s="131"/>
      <c r="H6168" s="131"/>
      <c r="I6168" s="131"/>
      <c r="J6168" s="132"/>
      <c r="K6168" s="131"/>
    </row>
    <row r="6169" spans="7:11" x14ac:dyDescent="0.2">
      <c r="G6169" s="131"/>
      <c r="H6169" s="131"/>
      <c r="I6169" s="131"/>
      <c r="J6169" s="132"/>
      <c r="K6169" s="131"/>
    </row>
    <row r="6170" spans="7:11" x14ac:dyDescent="0.2">
      <c r="G6170" s="131"/>
      <c r="H6170" s="131"/>
      <c r="I6170" s="131"/>
      <c r="J6170" s="132"/>
      <c r="K6170" s="131"/>
    </row>
    <row r="6171" spans="7:11" x14ac:dyDescent="0.2">
      <c r="G6171" s="131"/>
      <c r="H6171" s="131"/>
      <c r="I6171" s="131"/>
      <c r="J6171" s="132"/>
      <c r="K6171" s="131"/>
    </row>
    <row r="6172" spans="7:11" x14ac:dyDescent="0.2">
      <c r="G6172" s="131"/>
      <c r="H6172" s="131"/>
      <c r="I6172" s="131"/>
      <c r="J6172" s="132"/>
      <c r="K6172" s="131"/>
    </row>
    <row r="6173" spans="7:11" x14ac:dyDescent="0.2">
      <c r="G6173" s="131"/>
      <c r="H6173" s="131"/>
      <c r="I6173" s="131"/>
      <c r="J6173" s="132"/>
      <c r="K6173" s="131"/>
    </row>
    <row r="6174" spans="7:11" x14ac:dyDescent="0.2">
      <c r="G6174" s="131"/>
      <c r="H6174" s="131"/>
      <c r="I6174" s="131"/>
      <c r="J6174" s="132"/>
      <c r="K6174" s="131"/>
    </row>
    <row r="6175" spans="7:11" x14ac:dyDescent="0.2">
      <c r="G6175" s="131"/>
      <c r="H6175" s="131"/>
      <c r="I6175" s="131"/>
      <c r="J6175" s="132"/>
      <c r="K6175" s="131"/>
    </row>
    <row r="6176" spans="7:11" x14ac:dyDescent="0.2">
      <c r="G6176" s="131"/>
      <c r="H6176" s="131"/>
      <c r="I6176" s="131"/>
      <c r="J6176" s="132"/>
      <c r="K6176" s="131"/>
    </row>
    <row r="6177" spans="7:11" x14ac:dyDescent="0.2">
      <c r="G6177" s="131"/>
      <c r="H6177" s="131"/>
      <c r="I6177" s="131"/>
      <c r="J6177" s="132"/>
      <c r="K6177" s="131"/>
    </row>
    <row r="6178" spans="7:11" x14ac:dyDescent="0.2">
      <c r="G6178" s="131"/>
      <c r="H6178" s="131"/>
      <c r="I6178" s="131"/>
      <c r="J6178" s="132"/>
      <c r="K6178" s="131"/>
    </row>
    <row r="6179" spans="7:11" x14ac:dyDescent="0.2">
      <c r="G6179" s="131"/>
      <c r="H6179" s="131"/>
      <c r="I6179" s="131"/>
      <c r="J6179" s="132"/>
      <c r="K6179" s="131"/>
    </row>
    <row r="6180" spans="7:11" x14ac:dyDescent="0.2">
      <c r="G6180" s="131"/>
      <c r="H6180" s="131"/>
      <c r="I6180" s="131"/>
      <c r="J6180" s="132"/>
      <c r="K6180" s="131"/>
    </row>
    <row r="6181" spans="7:11" x14ac:dyDescent="0.2">
      <c r="G6181" s="131"/>
      <c r="H6181" s="131"/>
      <c r="I6181" s="131"/>
      <c r="J6181" s="132"/>
      <c r="K6181" s="131"/>
    </row>
    <row r="6182" spans="7:11" x14ac:dyDescent="0.2">
      <c r="G6182" s="131"/>
      <c r="H6182" s="131"/>
      <c r="I6182" s="131"/>
      <c r="J6182" s="132"/>
      <c r="K6182" s="131"/>
    </row>
    <row r="6183" spans="7:11" x14ac:dyDescent="0.2">
      <c r="G6183" s="131"/>
      <c r="H6183" s="131"/>
      <c r="I6183" s="131"/>
      <c r="J6183" s="132"/>
      <c r="K6183" s="131"/>
    </row>
    <row r="6184" spans="7:11" x14ac:dyDescent="0.2">
      <c r="G6184" s="131"/>
      <c r="H6184" s="131"/>
      <c r="I6184" s="131"/>
      <c r="J6184" s="132"/>
      <c r="K6184" s="131"/>
    </row>
    <row r="6185" spans="7:11" x14ac:dyDescent="0.2">
      <c r="G6185" s="131"/>
      <c r="H6185" s="131"/>
      <c r="I6185" s="131"/>
      <c r="J6185" s="132"/>
      <c r="K6185" s="131"/>
    </row>
    <row r="6186" spans="7:11" x14ac:dyDescent="0.2">
      <c r="G6186" s="131"/>
      <c r="H6186" s="131"/>
      <c r="I6186" s="131"/>
      <c r="J6186" s="132"/>
      <c r="K6186" s="131"/>
    </row>
    <row r="6187" spans="7:11" x14ac:dyDescent="0.2">
      <c r="G6187" s="131"/>
      <c r="H6187" s="131"/>
      <c r="I6187" s="131"/>
      <c r="J6187" s="132"/>
      <c r="K6187" s="131"/>
    </row>
    <row r="6188" spans="7:11" x14ac:dyDescent="0.2">
      <c r="G6188" s="131"/>
      <c r="H6188" s="131"/>
      <c r="I6188" s="131"/>
      <c r="J6188" s="132"/>
      <c r="K6188" s="131"/>
    </row>
    <row r="6189" spans="7:11" x14ac:dyDescent="0.2">
      <c r="G6189" s="131"/>
      <c r="H6189" s="131"/>
      <c r="I6189" s="131"/>
      <c r="J6189" s="132"/>
      <c r="K6189" s="131"/>
    </row>
    <row r="6190" spans="7:11" x14ac:dyDescent="0.2">
      <c r="G6190" s="131"/>
      <c r="H6190" s="131"/>
      <c r="I6190" s="131"/>
      <c r="J6190" s="132"/>
      <c r="K6190" s="131"/>
    </row>
    <row r="6191" spans="7:11" x14ac:dyDescent="0.2">
      <c r="G6191" s="131"/>
      <c r="H6191" s="131"/>
      <c r="I6191" s="131"/>
      <c r="J6191" s="132"/>
      <c r="K6191" s="131"/>
    </row>
    <row r="6192" spans="7:11" x14ac:dyDescent="0.2">
      <c r="G6192" s="131"/>
      <c r="H6192" s="131"/>
      <c r="I6192" s="131"/>
      <c r="J6192" s="132"/>
      <c r="K6192" s="131"/>
    </row>
    <row r="6193" spans="7:11" x14ac:dyDescent="0.2">
      <c r="G6193" s="131"/>
      <c r="H6193" s="131"/>
      <c r="I6193" s="131"/>
      <c r="J6193" s="132"/>
      <c r="K6193" s="131"/>
    </row>
    <row r="6194" spans="7:11" x14ac:dyDescent="0.2">
      <c r="G6194" s="131"/>
      <c r="H6194" s="131"/>
      <c r="I6194" s="131"/>
      <c r="J6194" s="132"/>
      <c r="K6194" s="131"/>
    </row>
    <row r="6195" spans="7:11" x14ac:dyDescent="0.2">
      <c r="G6195" s="131"/>
      <c r="H6195" s="131"/>
      <c r="I6195" s="131"/>
      <c r="J6195" s="132"/>
      <c r="K6195" s="131"/>
    </row>
    <row r="6196" spans="7:11" x14ac:dyDescent="0.2">
      <c r="G6196" s="131"/>
      <c r="H6196" s="131"/>
      <c r="I6196" s="131"/>
      <c r="J6196" s="132"/>
      <c r="K6196" s="131"/>
    </row>
    <row r="6197" spans="7:11" x14ac:dyDescent="0.2">
      <c r="G6197" s="131"/>
      <c r="H6197" s="131"/>
      <c r="I6197" s="131"/>
      <c r="J6197" s="132"/>
      <c r="K6197" s="131"/>
    </row>
    <row r="6198" spans="7:11" x14ac:dyDescent="0.2">
      <c r="G6198" s="131"/>
      <c r="H6198" s="131"/>
      <c r="I6198" s="131"/>
      <c r="J6198" s="132"/>
      <c r="K6198" s="131"/>
    </row>
    <row r="6199" spans="7:11" x14ac:dyDescent="0.2">
      <c r="G6199" s="131"/>
      <c r="H6199" s="131"/>
      <c r="I6199" s="131"/>
      <c r="J6199" s="132"/>
      <c r="K6199" s="131"/>
    </row>
    <row r="6200" spans="7:11" x14ac:dyDescent="0.2">
      <c r="G6200" s="131"/>
      <c r="H6200" s="131"/>
      <c r="I6200" s="131"/>
      <c r="J6200" s="132"/>
      <c r="K6200" s="131"/>
    </row>
    <row r="6201" spans="7:11" x14ac:dyDescent="0.2">
      <c r="G6201" s="131"/>
      <c r="H6201" s="131"/>
      <c r="I6201" s="131"/>
      <c r="J6201" s="132"/>
      <c r="K6201" s="131"/>
    </row>
    <row r="6202" spans="7:11" x14ac:dyDescent="0.2">
      <c r="G6202" s="131"/>
      <c r="H6202" s="131"/>
      <c r="I6202" s="131"/>
      <c r="J6202" s="132"/>
      <c r="K6202" s="131"/>
    </row>
    <row r="6203" spans="7:11" x14ac:dyDescent="0.2">
      <c r="G6203" s="131"/>
      <c r="H6203" s="131"/>
      <c r="I6203" s="131"/>
      <c r="J6203" s="132"/>
      <c r="K6203" s="131"/>
    </row>
    <row r="6204" spans="7:11" x14ac:dyDescent="0.2">
      <c r="G6204" s="131"/>
      <c r="H6204" s="131"/>
      <c r="I6204" s="131"/>
      <c r="J6204" s="132"/>
      <c r="K6204" s="131"/>
    </row>
    <row r="6205" spans="7:11" x14ac:dyDescent="0.2">
      <c r="G6205" s="131"/>
      <c r="H6205" s="131"/>
      <c r="I6205" s="131"/>
      <c r="J6205" s="132"/>
      <c r="K6205" s="131"/>
    </row>
    <row r="6206" spans="7:11" x14ac:dyDescent="0.2">
      <c r="G6206" s="131"/>
      <c r="H6206" s="131"/>
      <c r="I6206" s="131"/>
      <c r="J6206" s="132"/>
      <c r="K6206" s="131"/>
    </row>
    <row r="6207" spans="7:11" x14ac:dyDescent="0.2">
      <c r="G6207" s="131"/>
      <c r="H6207" s="131"/>
      <c r="I6207" s="131"/>
      <c r="J6207" s="132"/>
      <c r="K6207" s="131"/>
    </row>
    <row r="6208" spans="7:11" x14ac:dyDescent="0.2">
      <c r="G6208" s="131"/>
      <c r="H6208" s="131"/>
      <c r="I6208" s="131"/>
      <c r="J6208" s="132"/>
      <c r="K6208" s="131"/>
    </row>
    <row r="6209" spans="7:11" x14ac:dyDescent="0.2">
      <c r="G6209" s="131"/>
      <c r="H6209" s="131"/>
      <c r="I6209" s="131"/>
      <c r="J6209" s="132"/>
      <c r="K6209" s="131"/>
    </row>
    <row r="6210" spans="7:11" x14ac:dyDescent="0.2">
      <c r="G6210" s="131"/>
      <c r="H6210" s="131"/>
      <c r="I6210" s="131"/>
      <c r="J6210" s="132"/>
      <c r="K6210" s="131"/>
    </row>
    <row r="6211" spans="7:11" x14ac:dyDescent="0.2">
      <c r="G6211" s="131"/>
      <c r="H6211" s="131"/>
      <c r="I6211" s="131"/>
      <c r="J6211" s="132"/>
      <c r="K6211" s="131"/>
    </row>
    <row r="6212" spans="7:11" x14ac:dyDescent="0.2">
      <c r="G6212" s="131"/>
      <c r="H6212" s="131"/>
      <c r="I6212" s="131"/>
      <c r="J6212" s="132"/>
      <c r="K6212" s="131"/>
    </row>
    <row r="6213" spans="7:11" x14ac:dyDescent="0.2">
      <c r="G6213" s="131"/>
      <c r="H6213" s="131"/>
      <c r="I6213" s="131"/>
      <c r="J6213" s="132"/>
      <c r="K6213" s="131"/>
    </row>
    <row r="6214" spans="7:11" x14ac:dyDescent="0.2">
      <c r="G6214" s="131"/>
      <c r="H6214" s="131"/>
      <c r="I6214" s="131"/>
      <c r="J6214" s="132"/>
      <c r="K6214" s="131"/>
    </row>
    <row r="6215" spans="7:11" x14ac:dyDescent="0.2">
      <c r="G6215" s="131"/>
      <c r="H6215" s="131"/>
      <c r="I6215" s="131"/>
      <c r="J6215" s="132"/>
      <c r="K6215" s="131"/>
    </row>
    <row r="6216" spans="7:11" x14ac:dyDescent="0.2">
      <c r="G6216" s="131"/>
      <c r="H6216" s="131"/>
      <c r="I6216" s="131"/>
      <c r="J6216" s="132"/>
      <c r="K6216" s="131"/>
    </row>
    <row r="6217" spans="7:11" x14ac:dyDescent="0.2">
      <c r="G6217" s="131"/>
      <c r="H6217" s="131"/>
      <c r="I6217" s="131"/>
      <c r="J6217" s="132"/>
      <c r="K6217" s="131"/>
    </row>
    <row r="6218" spans="7:11" x14ac:dyDescent="0.2">
      <c r="G6218" s="131"/>
      <c r="H6218" s="131"/>
      <c r="I6218" s="131"/>
      <c r="J6218" s="132"/>
      <c r="K6218" s="131"/>
    </row>
    <row r="6219" spans="7:11" x14ac:dyDescent="0.2">
      <c r="G6219" s="131"/>
      <c r="H6219" s="131"/>
      <c r="I6219" s="131"/>
      <c r="J6219" s="132"/>
      <c r="K6219" s="131"/>
    </row>
    <row r="6220" spans="7:11" x14ac:dyDescent="0.2">
      <c r="G6220" s="131"/>
      <c r="H6220" s="131"/>
      <c r="I6220" s="131"/>
      <c r="J6220" s="132"/>
      <c r="K6220" s="131"/>
    </row>
    <row r="6221" spans="7:11" x14ac:dyDescent="0.2">
      <c r="G6221" s="131"/>
      <c r="H6221" s="131"/>
      <c r="I6221" s="131"/>
      <c r="J6221" s="132"/>
      <c r="K6221" s="131"/>
    </row>
    <row r="6222" spans="7:11" x14ac:dyDescent="0.2">
      <c r="G6222" s="131"/>
      <c r="H6222" s="131"/>
      <c r="I6222" s="131"/>
      <c r="J6222" s="132"/>
      <c r="K6222" s="131"/>
    </row>
    <row r="6223" spans="7:11" x14ac:dyDescent="0.2">
      <c r="G6223" s="131"/>
      <c r="H6223" s="131"/>
      <c r="I6223" s="131"/>
      <c r="J6223" s="132"/>
      <c r="K6223" s="131"/>
    </row>
    <row r="6224" spans="7:11" x14ac:dyDescent="0.2">
      <c r="G6224" s="131"/>
      <c r="H6224" s="131"/>
      <c r="I6224" s="131"/>
      <c r="J6224" s="132"/>
      <c r="K6224" s="131"/>
    </row>
    <row r="6225" spans="7:11" x14ac:dyDescent="0.2">
      <c r="G6225" s="131"/>
      <c r="H6225" s="131"/>
      <c r="I6225" s="131"/>
      <c r="J6225" s="132"/>
      <c r="K6225" s="131"/>
    </row>
    <row r="6226" spans="7:11" x14ac:dyDescent="0.2">
      <c r="G6226" s="131"/>
      <c r="H6226" s="131"/>
      <c r="I6226" s="131"/>
      <c r="J6226" s="132"/>
      <c r="K6226" s="131"/>
    </row>
    <row r="6227" spans="7:11" x14ac:dyDescent="0.2">
      <c r="G6227" s="131"/>
      <c r="H6227" s="131"/>
      <c r="I6227" s="131"/>
      <c r="J6227" s="132"/>
      <c r="K6227" s="131"/>
    </row>
    <row r="6228" spans="7:11" x14ac:dyDescent="0.2">
      <c r="G6228" s="131"/>
      <c r="H6228" s="131"/>
      <c r="I6228" s="131"/>
      <c r="J6228" s="132"/>
      <c r="K6228" s="131"/>
    </row>
    <row r="6229" spans="7:11" x14ac:dyDescent="0.2">
      <c r="G6229" s="131"/>
      <c r="H6229" s="131"/>
      <c r="I6229" s="131"/>
      <c r="J6229" s="132"/>
      <c r="K6229" s="131"/>
    </row>
    <row r="6230" spans="7:11" x14ac:dyDescent="0.2">
      <c r="G6230" s="131"/>
      <c r="H6230" s="131"/>
      <c r="I6230" s="131"/>
      <c r="J6230" s="132"/>
      <c r="K6230" s="131"/>
    </row>
    <row r="6231" spans="7:11" x14ac:dyDescent="0.2">
      <c r="G6231" s="131"/>
      <c r="H6231" s="131"/>
      <c r="I6231" s="131"/>
      <c r="J6231" s="132"/>
      <c r="K6231" s="131"/>
    </row>
    <row r="6232" spans="7:11" x14ac:dyDescent="0.2">
      <c r="G6232" s="131"/>
      <c r="H6232" s="131"/>
      <c r="I6232" s="131"/>
      <c r="J6232" s="132"/>
      <c r="K6232" s="131"/>
    </row>
    <row r="6233" spans="7:11" x14ac:dyDescent="0.2">
      <c r="G6233" s="131"/>
      <c r="H6233" s="131"/>
      <c r="I6233" s="131"/>
      <c r="J6233" s="132"/>
      <c r="K6233" s="131"/>
    </row>
    <row r="6234" spans="7:11" x14ac:dyDescent="0.2">
      <c r="G6234" s="131"/>
      <c r="H6234" s="131"/>
      <c r="I6234" s="131"/>
      <c r="J6234" s="132"/>
      <c r="K6234" s="131"/>
    </row>
    <row r="6235" spans="7:11" x14ac:dyDescent="0.2">
      <c r="G6235" s="131"/>
      <c r="H6235" s="131"/>
      <c r="I6235" s="131"/>
      <c r="J6235" s="132"/>
      <c r="K6235" s="131"/>
    </row>
    <row r="6236" spans="7:11" x14ac:dyDescent="0.2">
      <c r="G6236" s="131"/>
      <c r="H6236" s="131"/>
      <c r="I6236" s="131"/>
      <c r="J6236" s="132"/>
      <c r="K6236" s="131"/>
    </row>
    <row r="6237" spans="7:11" x14ac:dyDescent="0.2">
      <c r="G6237" s="131"/>
      <c r="H6237" s="131"/>
      <c r="I6237" s="131"/>
      <c r="J6237" s="132"/>
      <c r="K6237" s="131"/>
    </row>
    <row r="6238" spans="7:11" x14ac:dyDescent="0.2">
      <c r="G6238" s="131"/>
      <c r="H6238" s="131"/>
      <c r="I6238" s="131"/>
      <c r="J6238" s="132"/>
      <c r="K6238" s="131"/>
    </row>
    <row r="6239" spans="7:11" x14ac:dyDescent="0.2">
      <c r="G6239" s="131"/>
      <c r="H6239" s="131"/>
      <c r="I6239" s="131"/>
      <c r="J6239" s="132"/>
      <c r="K6239" s="131"/>
    </row>
    <row r="6240" spans="7:11" x14ac:dyDescent="0.2">
      <c r="G6240" s="131"/>
      <c r="H6240" s="131"/>
      <c r="I6240" s="131"/>
      <c r="J6240" s="132"/>
      <c r="K6240" s="131"/>
    </row>
    <row r="6241" spans="7:11" x14ac:dyDescent="0.2">
      <c r="G6241" s="131"/>
      <c r="H6241" s="131"/>
      <c r="I6241" s="131"/>
      <c r="J6241" s="132"/>
      <c r="K6241" s="131"/>
    </row>
    <row r="6242" spans="7:11" x14ac:dyDescent="0.2">
      <c r="G6242" s="131"/>
      <c r="H6242" s="131"/>
      <c r="I6242" s="131"/>
      <c r="J6242" s="132"/>
      <c r="K6242" s="131"/>
    </row>
    <row r="6243" spans="7:11" x14ac:dyDescent="0.2">
      <c r="G6243" s="131"/>
      <c r="H6243" s="131"/>
      <c r="I6243" s="131"/>
      <c r="J6243" s="132"/>
      <c r="K6243" s="131"/>
    </row>
    <row r="6244" spans="7:11" x14ac:dyDescent="0.2">
      <c r="G6244" s="131"/>
      <c r="H6244" s="131"/>
      <c r="I6244" s="131"/>
      <c r="J6244" s="132"/>
      <c r="K6244" s="131"/>
    </row>
    <row r="6245" spans="7:11" x14ac:dyDescent="0.2">
      <c r="G6245" s="131"/>
      <c r="H6245" s="131"/>
      <c r="I6245" s="131"/>
      <c r="J6245" s="132"/>
      <c r="K6245" s="131"/>
    </row>
    <row r="6246" spans="7:11" x14ac:dyDescent="0.2">
      <c r="G6246" s="131"/>
      <c r="H6246" s="131"/>
      <c r="I6246" s="131"/>
      <c r="J6246" s="132"/>
      <c r="K6246" s="131"/>
    </row>
    <row r="6247" spans="7:11" x14ac:dyDescent="0.2">
      <c r="G6247" s="131"/>
      <c r="H6247" s="131"/>
      <c r="I6247" s="131"/>
      <c r="J6247" s="132"/>
      <c r="K6247" s="131"/>
    </row>
    <row r="6248" spans="7:11" x14ac:dyDescent="0.2">
      <c r="G6248" s="131"/>
      <c r="H6248" s="131"/>
      <c r="I6248" s="131"/>
      <c r="J6248" s="132"/>
      <c r="K6248" s="131"/>
    </row>
    <row r="6249" spans="7:11" x14ac:dyDescent="0.2">
      <c r="G6249" s="131"/>
      <c r="H6249" s="131"/>
      <c r="I6249" s="131"/>
      <c r="J6249" s="132"/>
      <c r="K6249" s="131"/>
    </row>
    <row r="6250" spans="7:11" x14ac:dyDescent="0.2">
      <c r="G6250" s="131"/>
      <c r="H6250" s="131"/>
      <c r="I6250" s="131"/>
      <c r="J6250" s="132"/>
      <c r="K6250" s="131"/>
    </row>
    <row r="6251" spans="7:11" x14ac:dyDescent="0.2">
      <c r="G6251" s="131"/>
      <c r="H6251" s="131"/>
      <c r="I6251" s="131"/>
      <c r="J6251" s="132"/>
      <c r="K6251" s="131"/>
    </row>
    <row r="6252" spans="7:11" x14ac:dyDescent="0.2">
      <c r="G6252" s="131"/>
      <c r="H6252" s="131"/>
      <c r="I6252" s="131"/>
      <c r="J6252" s="132"/>
      <c r="K6252" s="131"/>
    </row>
    <row r="6253" spans="7:11" x14ac:dyDescent="0.2">
      <c r="G6253" s="131"/>
      <c r="H6253" s="131"/>
      <c r="I6253" s="131"/>
      <c r="J6253" s="132"/>
      <c r="K6253" s="131"/>
    </row>
    <row r="6254" spans="7:11" x14ac:dyDescent="0.2">
      <c r="G6254" s="131"/>
      <c r="H6254" s="131"/>
      <c r="I6254" s="131"/>
      <c r="J6254" s="132"/>
      <c r="K6254" s="131"/>
    </row>
    <row r="6255" spans="7:11" x14ac:dyDescent="0.2">
      <c r="G6255" s="131"/>
      <c r="H6255" s="131"/>
      <c r="I6255" s="131"/>
      <c r="J6255" s="132"/>
      <c r="K6255" s="131"/>
    </row>
    <row r="6256" spans="7:11" x14ac:dyDescent="0.2">
      <c r="G6256" s="131"/>
      <c r="H6256" s="131"/>
      <c r="I6256" s="131"/>
      <c r="J6256" s="132"/>
      <c r="K6256" s="131"/>
    </row>
    <row r="6257" spans="7:11" x14ac:dyDescent="0.2">
      <c r="G6257" s="131"/>
      <c r="H6257" s="131"/>
      <c r="I6257" s="131"/>
      <c r="J6257" s="132"/>
      <c r="K6257" s="131"/>
    </row>
    <row r="6258" spans="7:11" x14ac:dyDescent="0.2">
      <c r="G6258" s="131"/>
      <c r="H6258" s="131"/>
      <c r="I6258" s="131"/>
      <c r="J6258" s="132"/>
      <c r="K6258" s="131"/>
    </row>
    <row r="6259" spans="7:11" x14ac:dyDescent="0.2">
      <c r="G6259" s="131"/>
      <c r="H6259" s="131"/>
      <c r="I6259" s="131"/>
      <c r="J6259" s="132"/>
      <c r="K6259" s="131"/>
    </row>
    <row r="6260" spans="7:11" x14ac:dyDescent="0.2">
      <c r="G6260" s="131"/>
      <c r="H6260" s="131"/>
      <c r="I6260" s="131"/>
      <c r="J6260" s="132"/>
      <c r="K6260" s="131"/>
    </row>
    <row r="6261" spans="7:11" x14ac:dyDescent="0.2">
      <c r="G6261" s="131"/>
      <c r="H6261" s="131"/>
      <c r="I6261" s="131"/>
      <c r="J6261" s="132"/>
      <c r="K6261" s="131"/>
    </row>
    <row r="6262" spans="7:11" x14ac:dyDescent="0.2">
      <c r="G6262" s="131"/>
      <c r="H6262" s="131"/>
      <c r="I6262" s="131"/>
      <c r="J6262" s="132"/>
      <c r="K6262" s="131"/>
    </row>
    <row r="6263" spans="7:11" x14ac:dyDescent="0.2">
      <c r="G6263" s="131"/>
      <c r="H6263" s="131"/>
      <c r="I6263" s="131"/>
      <c r="J6263" s="132"/>
      <c r="K6263" s="131"/>
    </row>
    <row r="6264" spans="7:11" x14ac:dyDescent="0.2">
      <c r="G6264" s="131"/>
      <c r="H6264" s="131"/>
      <c r="I6264" s="131"/>
      <c r="J6264" s="132"/>
      <c r="K6264" s="131"/>
    </row>
    <row r="6265" spans="7:11" x14ac:dyDescent="0.2">
      <c r="G6265" s="131"/>
      <c r="H6265" s="131"/>
      <c r="I6265" s="131"/>
      <c r="J6265" s="132"/>
      <c r="K6265" s="131"/>
    </row>
    <row r="6266" spans="7:11" x14ac:dyDescent="0.2">
      <c r="G6266" s="131"/>
      <c r="H6266" s="131"/>
      <c r="I6266" s="131"/>
      <c r="J6266" s="132"/>
      <c r="K6266" s="131"/>
    </row>
    <row r="6267" spans="7:11" x14ac:dyDescent="0.2">
      <c r="G6267" s="131"/>
      <c r="H6267" s="131"/>
      <c r="I6267" s="131"/>
      <c r="J6267" s="132"/>
      <c r="K6267" s="131"/>
    </row>
    <row r="6268" spans="7:11" x14ac:dyDescent="0.2">
      <c r="G6268" s="131"/>
      <c r="H6268" s="131"/>
      <c r="I6268" s="131"/>
      <c r="J6268" s="132"/>
      <c r="K6268" s="131"/>
    </row>
    <row r="6269" spans="7:11" x14ac:dyDescent="0.2">
      <c r="G6269" s="131"/>
      <c r="H6269" s="131"/>
      <c r="I6269" s="131"/>
      <c r="J6269" s="132"/>
      <c r="K6269" s="131"/>
    </row>
    <row r="6270" spans="7:11" x14ac:dyDescent="0.2">
      <c r="G6270" s="131"/>
      <c r="H6270" s="131"/>
      <c r="I6270" s="131"/>
      <c r="J6270" s="132"/>
      <c r="K6270" s="131"/>
    </row>
    <row r="6271" spans="7:11" x14ac:dyDescent="0.2">
      <c r="G6271" s="131"/>
      <c r="H6271" s="131"/>
      <c r="I6271" s="131"/>
      <c r="J6271" s="132"/>
      <c r="K6271" s="131"/>
    </row>
    <row r="6272" spans="7:11" x14ac:dyDescent="0.2">
      <c r="G6272" s="131"/>
      <c r="H6272" s="131"/>
      <c r="I6272" s="131"/>
      <c r="J6272" s="132"/>
      <c r="K6272" s="131"/>
    </row>
    <row r="6273" spans="7:11" x14ac:dyDescent="0.2">
      <c r="G6273" s="131"/>
      <c r="H6273" s="131"/>
      <c r="I6273" s="131"/>
      <c r="J6273" s="132"/>
      <c r="K6273" s="131"/>
    </row>
    <row r="6274" spans="7:11" x14ac:dyDescent="0.2">
      <c r="G6274" s="131"/>
      <c r="H6274" s="131"/>
      <c r="I6274" s="131"/>
      <c r="J6274" s="132"/>
      <c r="K6274" s="131"/>
    </row>
    <row r="6275" spans="7:11" x14ac:dyDescent="0.2">
      <c r="G6275" s="131"/>
      <c r="H6275" s="131"/>
      <c r="I6275" s="131"/>
      <c r="J6275" s="132"/>
      <c r="K6275" s="131"/>
    </row>
    <row r="6276" spans="7:11" x14ac:dyDescent="0.2">
      <c r="G6276" s="131"/>
      <c r="H6276" s="131"/>
      <c r="I6276" s="131"/>
      <c r="J6276" s="132"/>
      <c r="K6276" s="131"/>
    </row>
    <row r="6277" spans="7:11" x14ac:dyDescent="0.2">
      <c r="G6277" s="131"/>
      <c r="H6277" s="131"/>
      <c r="I6277" s="131"/>
      <c r="J6277" s="132"/>
      <c r="K6277" s="131"/>
    </row>
    <row r="6278" spans="7:11" x14ac:dyDescent="0.2">
      <c r="G6278" s="131"/>
      <c r="H6278" s="131"/>
      <c r="I6278" s="131"/>
      <c r="J6278" s="132"/>
      <c r="K6278" s="131"/>
    </row>
    <row r="6279" spans="7:11" x14ac:dyDescent="0.2">
      <c r="G6279" s="131"/>
      <c r="H6279" s="131"/>
      <c r="I6279" s="131"/>
      <c r="J6279" s="132"/>
      <c r="K6279" s="131"/>
    </row>
    <row r="6280" spans="7:11" x14ac:dyDescent="0.2">
      <c r="G6280" s="131"/>
      <c r="H6280" s="131"/>
      <c r="I6280" s="131"/>
      <c r="J6280" s="132"/>
      <c r="K6280" s="131"/>
    </row>
    <row r="6281" spans="7:11" x14ac:dyDescent="0.2">
      <c r="G6281" s="131"/>
      <c r="H6281" s="131"/>
      <c r="I6281" s="131"/>
      <c r="J6281" s="132"/>
      <c r="K6281" s="131"/>
    </row>
    <row r="6282" spans="7:11" x14ac:dyDescent="0.2">
      <c r="G6282" s="131"/>
      <c r="H6282" s="131"/>
      <c r="I6282" s="131"/>
      <c r="J6282" s="132"/>
      <c r="K6282" s="131"/>
    </row>
    <row r="6283" spans="7:11" x14ac:dyDescent="0.2">
      <c r="G6283" s="131"/>
      <c r="H6283" s="131"/>
      <c r="I6283" s="131"/>
      <c r="J6283" s="132"/>
      <c r="K6283" s="131"/>
    </row>
    <row r="6284" spans="7:11" x14ac:dyDescent="0.2">
      <c r="G6284" s="131"/>
      <c r="H6284" s="131"/>
      <c r="I6284" s="131"/>
      <c r="J6284" s="132"/>
      <c r="K6284" s="131"/>
    </row>
    <row r="6285" spans="7:11" x14ac:dyDescent="0.2">
      <c r="G6285" s="131"/>
      <c r="H6285" s="131"/>
      <c r="I6285" s="131"/>
      <c r="J6285" s="132"/>
      <c r="K6285" s="131"/>
    </row>
    <row r="6286" spans="7:11" x14ac:dyDescent="0.2">
      <c r="G6286" s="131"/>
      <c r="H6286" s="131"/>
      <c r="I6286" s="131"/>
      <c r="J6286" s="132"/>
      <c r="K6286" s="131"/>
    </row>
    <row r="6287" spans="7:11" x14ac:dyDescent="0.2">
      <c r="G6287" s="131"/>
      <c r="H6287" s="131"/>
      <c r="I6287" s="131"/>
      <c r="J6287" s="132"/>
      <c r="K6287" s="131"/>
    </row>
    <row r="6288" spans="7:11" x14ac:dyDescent="0.2">
      <c r="G6288" s="131"/>
      <c r="H6288" s="131"/>
      <c r="I6288" s="131"/>
      <c r="J6288" s="132"/>
      <c r="K6288" s="131"/>
    </row>
    <row r="6289" spans="7:11" x14ac:dyDescent="0.2">
      <c r="G6289" s="131"/>
      <c r="H6289" s="131"/>
      <c r="I6289" s="131"/>
      <c r="J6289" s="132"/>
      <c r="K6289" s="131"/>
    </row>
    <row r="6290" spans="7:11" x14ac:dyDescent="0.2">
      <c r="G6290" s="131"/>
      <c r="H6290" s="131"/>
      <c r="I6290" s="131"/>
      <c r="J6290" s="132"/>
      <c r="K6290" s="131"/>
    </row>
    <row r="6291" spans="7:11" x14ac:dyDescent="0.2">
      <c r="G6291" s="131"/>
      <c r="H6291" s="131"/>
      <c r="I6291" s="131"/>
      <c r="J6291" s="132"/>
      <c r="K6291" s="131"/>
    </row>
    <row r="6292" spans="7:11" x14ac:dyDescent="0.2">
      <c r="G6292" s="131"/>
      <c r="H6292" s="131"/>
      <c r="I6292" s="131"/>
      <c r="J6292" s="132"/>
      <c r="K6292" s="131"/>
    </row>
    <row r="6293" spans="7:11" x14ac:dyDescent="0.2">
      <c r="G6293" s="131"/>
      <c r="H6293" s="131"/>
      <c r="I6293" s="131"/>
      <c r="J6293" s="132"/>
      <c r="K6293" s="131"/>
    </row>
    <row r="6294" spans="7:11" x14ac:dyDescent="0.2">
      <c r="G6294" s="131"/>
      <c r="H6294" s="131"/>
      <c r="I6294" s="131"/>
      <c r="J6294" s="132"/>
      <c r="K6294" s="131"/>
    </row>
    <row r="6295" spans="7:11" x14ac:dyDescent="0.2">
      <c r="G6295" s="131"/>
      <c r="H6295" s="131"/>
      <c r="I6295" s="131"/>
      <c r="J6295" s="132"/>
      <c r="K6295" s="131"/>
    </row>
    <row r="6296" spans="7:11" x14ac:dyDescent="0.2">
      <c r="G6296" s="131"/>
      <c r="H6296" s="131"/>
      <c r="I6296" s="131"/>
      <c r="J6296" s="132"/>
      <c r="K6296" s="131"/>
    </row>
    <row r="6297" spans="7:11" x14ac:dyDescent="0.2">
      <c r="G6297" s="131"/>
      <c r="H6297" s="131"/>
      <c r="I6297" s="131"/>
      <c r="J6297" s="132"/>
      <c r="K6297" s="131"/>
    </row>
    <row r="6298" spans="7:11" x14ac:dyDescent="0.2">
      <c r="G6298" s="131"/>
      <c r="H6298" s="131"/>
      <c r="I6298" s="131"/>
      <c r="J6298" s="132"/>
      <c r="K6298" s="131"/>
    </row>
    <row r="6299" spans="7:11" x14ac:dyDescent="0.2">
      <c r="G6299" s="131"/>
      <c r="H6299" s="131"/>
      <c r="I6299" s="131"/>
      <c r="J6299" s="132"/>
      <c r="K6299" s="131"/>
    </row>
    <row r="6300" spans="7:11" x14ac:dyDescent="0.2">
      <c r="G6300" s="131"/>
      <c r="H6300" s="131"/>
      <c r="I6300" s="131"/>
      <c r="J6300" s="132"/>
      <c r="K6300" s="131"/>
    </row>
    <row r="6301" spans="7:11" x14ac:dyDescent="0.2">
      <c r="G6301" s="131"/>
      <c r="H6301" s="131"/>
      <c r="I6301" s="131"/>
      <c r="J6301" s="132"/>
      <c r="K6301" s="131"/>
    </row>
    <row r="6302" spans="7:11" x14ac:dyDescent="0.2">
      <c r="G6302" s="131"/>
      <c r="H6302" s="131"/>
      <c r="I6302" s="131"/>
      <c r="J6302" s="132"/>
      <c r="K6302" s="131"/>
    </row>
    <row r="6303" spans="7:11" x14ac:dyDescent="0.2">
      <c r="G6303" s="131"/>
      <c r="H6303" s="131"/>
      <c r="I6303" s="131"/>
      <c r="J6303" s="132"/>
      <c r="K6303" s="131"/>
    </row>
    <row r="6304" spans="7:11" x14ac:dyDescent="0.2">
      <c r="G6304" s="131"/>
      <c r="H6304" s="131"/>
      <c r="I6304" s="131"/>
      <c r="J6304" s="132"/>
      <c r="K6304" s="131"/>
    </row>
    <row r="6305" spans="7:11" x14ac:dyDescent="0.2">
      <c r="G6305" s="131"/>
      <c r="H6305" s="131"/>
      <c r="I6305" s="131"/>
      <c r="J6305" s="132"/>
      <c r="K6305" s="131"/>
    </row>
    <row r="6306" spans="7:11" x14ac:dyDescent="0.2">
      <c r="G6306" s="131"/>
      <c r="H6306" s="131"/>
      <c r="I6306" s="131"/>
      <c r="J6306" s="132"/>
      <c r="K6306" s="131"/>
    </row>
    <row r="6307" spans="7:11" x14ac:dyDescent="0.2">
      <c r="G6307" s="131"/>
      <c r="H6307" s="131"/>
      <c r="I6307" s="131"/>
      <c r="J6307" s="132"/>
      <c r="K6307" s="131"/>
    </row>
    <row r="6308" spans="7:11" x14ac:dyDescent="0.2">
      <c r="G6308" s="131"/>
      <c r="H6308" s="131"/>
      <c r="I6308" s="131"/>
      <c r="J6308" s="132"/>
      <c r="K6308" s="131"/>
    </row>
    <row r="6309" spans="7:11" x14ac:dyDescent="0.2">
      <c r="G6309" s="131"/>
      <c r="H6309" s="131"/>
      <c r="I6309" s="131"/>
      <c r="J6309" s="132"/>
      <c r="K6309" s="131"/>
    </row>
    <row r="6310" spans="7:11" x14ac:dyDescent="0.2">
      <c r="G6310" s="131"/>
      <c r="H6310" s="131"/>
      <c r="I6310" s="131"/>
      <c r="J6310" s="132"/>
      <c r="K6310" s="131"/>
    </row>
    <row r="6311" spans="7:11" x14ac:dyDescent="0.2">
      <c r="G6311" s="131"/>
      <c r="H6311" s="131"/>
      <c r="I6311" s="131"/>
      <c r="J6311" s="132"/>
      <c r="K6311" s="131"/>
    </row>
    <row r="6312" spans="7:11" x14ac:dyDescent="0.2">
      <c r="G6312" s="131"/>
      <c r="H6312" s="131"/>
      <c r="I6312" s="131"/>
      <c r="J6312" s="132"/>
      <c r="K6312" s="131"/>
    </row>
    <row r="6313" spans="7:11" x14ac:dyDescent="0.2">
      <c r="G6313" s="131"/>
      <c r="H6313" s="131"/>
      <c r="I6313" s="131"/>
      <c r="J6313" s="132"/>
      <c r="K6313" s="131"/>
    </row>
    <row r="6314" spans="7:11" x14ac:dyDescent="0.2">
      <c r="G6314" s="131"/>
      <c r="H6314" s="131"/>
      <c r="I6314" s="131"/>
      <c r="J6314" s="132"/>
      <c r="K6314" s="131"/>
    </row>
    <row r="6315" spans="7:11" x14ac:dyDescent="0.2">
      <c r="G6315" s="131"/>
      <c r="H6315" s="131"/>
      <c r="I6315" s="131"/>
      <c r="J6315" s="132"/>
      <c r="K6315" s="131"/>
    </row>
    <row r="6316" spans="7:11" x14ac:dyDescent="0.2">
      <c r="G6316" s="131"/>
      <c r="H6316" s="131"/>
      <c r="I6316" s="131"/>
      <c r="J6316" s="132"/>
      <c r="K6316" s="131"/>
    </row>
    <row r="6317" spans="7:11" x14ac:dyDescent="0.2">
      <c r="G6317" s="131"/>
      <c r="H6317" s="131"/>
      <c r="I6317" s="131"/>
      <c r="J6317" s="132"/>
      <c r="K6317" s="131"/>
    </row>
    <row r="6318" spans="7:11" x14ac:dyDescent="0.2">
      <c r="G6318" s="131"/>
      <c r="H6318" s="131"/>
      <c r="I6318" s="131"/>
      <c r="J6318" s="132"/>
      <c r="K6318" s="131"/>
    </row>
    <row r="6319" spans="7:11" x14ac:dyDescent="0.2">
      <c r="G6319" s="131"/>
      <c r="H6319" s="131"/>
      <c r="I6319" s="131"/>
      <c r="J6319" s="132"/>
      <c r="K6319" s="131"/>
    </row>
    <row r="6320" spans="7:11" x14ac:dyDescent="0.2">
      <c r="G6320" s="131"/>
      <c r="H6320" s="131"/>
      <c r="I6320" s="131"/>
      <c r="J6320" s="132"/>
      <c r="K6320" s="131"/>
    </row>
    <row r="6321" spans="7:11" x14ac:dyDescent="0.2">
      <c r="G6321" s="131"/>
      <c r="H6321" s="131"/>
      <c r="I6321" s="131"/>
      <c r="J6321" s="132"/>
      <c r="K6321" s="131"/>
    </row>
    <row r="6322" spans="7:11" x14ac:dyDescent="0.2">
      <c r="G6322" s="131"/>
      <c r="H6322" s="131"/>
      <c r="I6322" s="131"/>
      <c r="J6322" s="132"/>
      <c r="K6322" s="131"/>
    </row>
    <row r="6323" spans="7:11" x14ac:dyDescent="0.2">
      <c r="G6323" s="131"/>
      <c r="H6323" s="131"/>
      <c r="I6323" s="131"/>
      <c r="J6323" s="132"/>
      <c r="K6323" s="131"/>
    </row>
    <row r="6324" spans="7:11" x14ac:dyDescent="0.2">
      <c r="G6324" s="131"/>
      <c r="H6324" s="131"/>
      <c r="I6324" s="131"/>
      <c r="J6324" s="132"/>
      <c r="K6324" s="131"/>
    </row>
    <row r="6325" spans="7:11" x14ac:dyDescent="0.2">
      <c r="G6325" s="131"/>
      <c r="H6325" s="131"/>
      <c r="I6325" s="131"/>
      <c r="J6325" s="132"/>
      <c r="K6325" s="131"/>
    </row>
    <row r="6326" spans="7:11" x14ac:dyDescent="0.2">
      <c r="G6326" s="131"/>
      <c r="H6326" s="131"/>
      <c r="I6326" s="131"/>
      <c r="J6326" s="132"/>
      <c r="K6326" s="131"/>
    </row>
    <row r="6327" spans="7:11" x14ac:dyDescent="0.2">
      <c r="G6327" s="131"/>
      <c r="H6327" s="131"/>
      <c r="I6327" s="131"/>
      <c r="J6327" s="132"/>
      <c r="K6327" s="131"/>
    </row>
    <row r="6328" spans="7:11" x14ac:dyDescent="0.2">
      <c r="G6328" s="131"/>
      <c r="H6328" s="131"/>
      <c r="I6328" s="131"/>
      <c r="J6328" s="132"/>
      <c r="K6328" s="131"/>
    </row>
    <row r="6329" spans="7:11" x14ac:dyDescent="0.2">
      <c r="G6329" s="131"/>
      <c r="H6329" s="131"/>
      <c r="I6329" s="131"/>
      <c r="J6329" s="132"/>
      <c r="K6329" s="131"/>
    </row>
    <row r="6330" spans="7:11" x14ac:dyDescent="0.2">
      <c r="G6330" s="131"/>
      <c r="H6330" s="131"/>
      <c r="I6330" s="131"/>
      <c r="J6330" s="132"/>
      <c r="K6330" s="131"/>
    </row>
    <row r="6331" spans="7:11" x14ac:dyDescent="0.2">
      <c r="G6331" s="131"/>
      <c r="H6331" s="131"/>
      <c r="I6331" s="131"/>
      <c r="J6331" s="132"/>
      <c r="K6331" s="131"/>
    </row>
    <row r="6332" spans="7:11" x14ac:dyDescent="0.2">
      <c r="G6332" s="131"/>
      <c r="H6332" s="131"/>
      <c r="I6332" s="131"/>
      <c r="J6332" s="132"/>
      <c r="K6332" s="131"/>
    </row>
    <row r="6333" spans="7:11" x14ac:dyDescent="0.2">
      <c r="G6333" s="131"/>
      <c r="H6333" s="131"/>
      <c r="I6333" s="131"/>
      <c r="J6333" s="132"/>
      <c r="K6333" s="131"/>
    </row>
    <row r="6334" spans="7:11" x14ac:dyDescent="0.2">
      <c r="G6334" s="131"/>
      <c r="H6334" s="131"/>
      <c r="I6334" s="131"/>
      <c r="J6334" s="132"/>
      <c r="K6334" s="131"/>
    </row>
    <row r="6335" spans="7:11" x14ac:dyDescent="0.2">
      <c r="G6335" s="131"/>
      <c r="H6335" s="131"/>
      <c r="I6335" s="131"/>
      <c r="J6335" s="132"/>
      <c r="K6335" s="131"/>
    </row>
    <row r="6336" spans="7:11" x14ac:dyDescent="0.2">
      <c r="G6336" s="131"/>
      <c r="H6336" s="131"/>
      <c r="I6336" s="131"/>
      <c r="J6336" s="132"/>
      <c r="K6336" s="131"/>
    </row>
    <row r="6337" spans="7:11" x14ac:dyDescent="0.2">
      <c r="G6337" s="131"/>
      <c r="H6337" s="131"/>
      <c r="I6337" s="131"/>
      <c r="J6337" s="132"/>
      <c r="K6337" s="131"/>
    </row>
    <row r="6338" spans="7:11" x14ac:dyDescent="0.2">
      <c r="G6338" s="131"/>
      <c r="H6338" s="131"/>
      <c r="I6338" s="131"/>
      <c r="J6338" s="132"/>
      <c r="K6338" s="131"/>
    </row>
    <row r="6339" spans="7:11" x14ac:dyDescent="0.2">
      <c r="G6339" s="131"/>
      <c r="H6339" s="131"/>
      <c r="I6339" s="131"/>
      <c r="J6339" s="132"/>
      <c r="K6339" s="131"/>
    </row>
    <row r="6340" spans="7:11" x14ac:dyDescent="0.2">
      <c r="G6340" s="131"/>
      <c r="H6340" s="131"/>
      <c r="I6340" s="131"/>
      <c r="J6340" s="132"/>
      <c r="K6340" s="131"/>
    </row>
    <row r="6341" spans="7:11" x14ac:dyDescent="0.2">
      <c r="G6341" s="131"/>
      <c r="H6341" s="131"/>
      <c r="I6341" s="131"/>
      <c r="J6341" s="132"/>
      <c r="K6341" s="131"/>
    </row>
    <row r="6342" spans="7:11" x14ac:dyDescent="0.2">
      <c r="G6342" s="131"/>
      <c r="H6342" s="131"/>
      <c r="I6342" s="131"/>
      <c r="J6342" s="132"/>
      <c r="K6342" s="131"/>
    </row>
    <row r="6343" spans="7:11" x14ac:dyDescent="0.2">
      <c r="G6343" s="131"/>
      <c r="H6343" s="131"/>
      <c r="I6343" s="131"/>
      <c r="J6343" s="132"/>
      <c r="K6343" s="131"/>
    </row>
    <row r="6344" spans="7:11" x14ac:dyDescent="0.2">
      <c r="G6344" s="131"/>
      <c r="H6344" s="131"/>
      <c r="I6344" s="131"/>
      <c r="J6344" s="132"/>
      <c r="K6344" s="131"/>
    </row>
    <row r="6345" spans="7:11" x14ac:dyDescent="0.2">
      <c r="G6345" s="131"/>
      <c r="H6345" s="131"/>
      <c r="I6345" s="131"/>
      <c r="J6345" s="132"/>
      <c r="K6345" s="131"/>
    </row>
    <row r="6346" spans="7:11" x14ac:dyDescent="0.2">
      <c r="G6346" s="131"/>
      <c r="H6346" s="131"/>
      <c r="I6346" s="131"/>
      <c r="J6346" s="132"/>
      <c r="K6346" s="131"/>
    </row>
    <row r="6347" spans="7:11" x14ac:dyDescent="0.2">
      <c r="G6347" s="131"/>
      <c r="H6347" s="131"/>
      <c r="I6347" s="131"/>
      <c r="J6347" s="132"/>
      <c r="K6347" s="131"/>
    </row>
    <row r="6348" spans="7:11" x14ac:dyDescent="0.2">
      <c r="G6348" s="131"/>
      <c r="H6348" s="131"/>
      <c r="I6348" s="131"/>
      <c r="J6348" s="132"/>
      <c r="K6348" s="131"/>
    </row>
    <row r="6349" spans="7:11" x14ac:dyDescent="0.2">
      <c r="G6349" s="131"/>
      <c r="H6349" s="131"/>
      <c r="I6349" s="131"/>
      <c r="J6349" s="132"/>
      <c r="K6349" s="131"/>
    </row>
    <row r="6350" spans="7:11" x14ac:dyDescent="0.2">
      <c r="G6350" s="131"/>
      <c r="H6350" s="131"/>
      <c r="I6350" s="131"/>
      <c r="J6350" s="132"/>
      <c r="K6350" s="131"/>
    </row>
    <row r="6351" spans="7:11" x14ac:dyDescent="0.2">
      <c r="G6351" s="131"/>
      <c r="H6351" s="131"/>
      <c r="I6351" s="131"/>
      <c r="J6351" s="132"/>
      <c r="K6351" s="131"/>
    </row>
    <row r="6352" spans="7:11" x14ac:dyDescent="0.2">
      <c r="G6352" s="131"/>
      <c r="H6352" s="131"/>
      <c r="I6352" s="131"/>
      <c r="J6352" s="132"/>
      <c r="K6352" s="131"/>
    </row>
    <row r="6353" spans="7:11" x14ac:dyDescent="0.2">
      <c r="G6353" s="131"/>
      <c r="H6353" s="131"/>
      <c r="I6353" s="131"/>
      <c r="J6353" s="132"/>
      <c r="K6353" s="131"/>
    </row>
    <row r="6354" spans="7:11" x14ac:dyDescent="0.2">
      <c r="G6354" s="131"/>
      <c r="H6354" s="131"/>
      <c r="I6354" s="131"/>
      <c r="J6354" s="132"/>
      <c r="K6354" s="131"/>
    </row>
    <row r="6355" spans="7:11" x14ac:dyDescent="0.2">
      <c r="G6355" s="131"/>
      <c r="H6355" s="131"/>
      <c r="I6355" s="131"/>
      <c r="J6355" s="132"/>
      <c r="K6355" s="131"/>
    </row>
    <row r="6356" spans="7:11" x14ac:dyDescent="0.2">
      <c r="G6356" s="131"/>
      <c r="H6356" s="131"/>
      <c r="I6356" s="131"/>
      <c r="J6356" s="132"/>
      <c r="K6356" s="131"/>
    </row>
    <row r="6357" spans="7:11" x14ac:dyDescent="0.2">
      <c r="G6357" s="131"/>
      <c r="H6357" s="131"/>
      <c r="I6357" s="131"/>
      <c r="J6357" s="132"/>
      <c r="K6357" s="131"/>
    </row>
    <row r="6358" spans="7:11" x14ac:dyDescent="0.2">
      <c r="G6358" s="131"/>
      <c r="H6358" s="131"/>
      <c r="I6358" s="131"/>
      <c r="J6358" s="132"/>
      <c r="K6358" s="131"/>
    </row>
    <row r="6359" spans="7:11" x14ac:dyDescent="0.2">
      <c r="G6359" s="131"/>
      <c r="H6359" s="131"/>
      <c r="I6359" s="131"/>
      <c r="J6359" s="132"/>
      <c r="K6359" s="131"/>
    </row>
    <row r="6360" spans="7:11" x14ac:dyDescent="0.2">
      <c r="G6360" s="131"/>
      <c r="H6360" s="131"/>
      <c r="I6360" s="131"/>
      <c r="J6360" s="132"/>
      <c r="K6360" s="131"/>
    </row>
    <row r="6361" spans="7:11" x14ac:dyDescent="0.2">
      <c r="G6361" s="131"/>
      <c r="H6361" s="131"/>
      <c r="I6361" s="131"/>
      <c r="J6361" s="132"/>
      <c r="K6361" s="131"/>
    </row>
    <row r="6362" spans="7:11" x14ac:dyDescent="0.2">
      <c r="G6362" s="131"/>
      <c r="H6362" s="131"/>
      <c r="I6362" s="131"/>
      <c r="J6362" s="132"/>
      <c r="K6362" s="131"/>
    </row>
    <row r="6363" spans="7:11" x14ac:dyDescent="0.2">
      <c r="G6363" s="131"/>
      <c r="H6363" s="131"/>
      <c r="I6363" s="131"/>
      <c r="J6363" s="132"/>
      <c r="K6363" s="131"/>
    </row>
    <row r="6364" spans="7:11" x14ac:dyDescent="0.2">
      <c r="G6364" s="131"/>
      <c r="H6364" s="131"/>
      <c r="I6364" s="131"/>
      <c r="J6364" s="132"/>
      <c r="K6364" s="131"/>
    </row>
    <row r="6365" spans="7:11" x14ac:dyDescent="0.2">
      <c r="G6365" s="131"/>
      <c r="H6365" s="131"/>
      <c r="I6365" s="131"/>
      <c r="J6365" s="132"/>
      <c r="K6365" s="131"/>
    </row>
    <row r="6366" spans="7:11" x14ac:dyDescent="0.2">
      <c r="G6366" s="131"/>
      <c r="H6366" s="131"/>
      <c r="I6366" s="131"/>
      <c r="J6366" s="132"/>
      <c r="K6366" s="131"/>
    </row>
    <row r="6367" spans="7:11" x14ac:dyDescent="0.2">
      <c r="G6367" s="131"/>
      <c r="H6367" s="131"/>
      <c r="I6367" s="131"/>
      <c r="J6367" s="132"/>
      <c r="K6367" s="131"/>
    </row>
    <row r="6368" spans="7:11" x14ac:dyDescent="0.2">
      <c r="G6368" s="131"/>
      <c r="H6368" s="131"/>
      <c r="I6368" s="131"/>
      <c r="J6368" s="132"/>
      <c r="K6368" s="131"/>
    </row>
    <row r="6369" spans="7:11" x14ac:dyDescent="0.2">
      <c r="G6369" s="131"/>
      <c r="H6369" s="131"/>
      <c r="I6369" s="131"/>
      <c r="J6369" s="132"/>
      <c r="K6369" s="131"/>
    </row>
    <row r="6370" spans="7:11" x14ac:dyDescent="0.2">
      <c r="G6370" s="131"/>
      <c r="H6370" s="131"/>
      <c r="I6370" s="131"/>
      <c r="J6370" s="132"/>
      <c r="K6370" s="131"/>
    </row>
    <row r="6371" spans="7:11" x14ac:dyDescent="0.2">
      <c r="G6371" s="131"/>
      <c r="H6371" s="131"/>
      <c r="I6371" s="131"/>
      <c r="J6371" s="132"/>
      <c r="K6371" s="131"/>
    </row>
    <row r="6372" spans="7:11" x14ac:dyDescent="0.2">
      <c r="G6372" s="131"/>
      <c r="H6372" s="131"/>
      <c r="I6372" s="131"/>
      <c r="J6372" s="132"/>
      <c r="K6372" s="131"/>
    </row>
    <row r="6373" spans="7:11" x14ac:dyDescent="0.2">
      <c r="G6373" s="131"/>
      <c r="H6373" s="131"/>
      <c r="I6373" s="131"/>
      <c r="J6373" s="132"/>
      <c r="K6373" s="131"/>
    </row>
    <row r="6374" spans="7:11" x14ac:dyDescent="0.2">
      <c r="G6374" s="131"/>
      <c r="H6374" s="131"/>
      <c r="I6374" s="131"/>
      <c r="J6374" s="132"/>
      <c r="K6374" s="131"/>
    </row>
    <row r="6375" spans="7:11" x14ac:dyDescent="0.2">
      <c r="G6375" s="131"/>
      <c r="H6375" s="131"/>
      <c r="I6375" s="131"/>
      <c r="J6375" s="132"/>
      <c r="K6375" s="131"/>
    </row>
    <row r="6376" spans="7:11" x14ac:dyDescent="0.2">
      <c r="G6376" s="131"/>
      <c r="H6376" s="131"/>
      <c r="I6376" s="131"/>
      <c r="J6376" s="132"/>
      <c r="K6376" s="131"/>
    </row>
    <row r="6377" spans="7:11" x14ac:dyDescent="0.2">
      <c r="G6377" s="131"/>
      <c r="H6377" s="131"/>
      <c r="I6377" s="131"/>
      <c r="J6377" s="132"/>
      <c r="K6377" s="131"/>
    </row>
    <row r="6378" spans="7:11" x14ac:dyDescent="0.2">
      <c r="G6378" s="131"/>
      <c r="H6378" s="131"/>
      <c r="I6378" s="131"/>
      <c r="J6378" s="132"/>
      <c r="K6378" s="131"/>
    </row>
    <row r="6379" spans="7:11" x14ac:dyDescent="0.2">
      <c r="G6379" s="131"/>
      <c r="H6379" s="131"/>
      <c r="I6379" s="131"/>
      <c r="J6379" s="132"/>
      <c r="K6379" s="131"/>
    </row>
    <row r="6380" spans="7:11" x14ac:dyDescent="0.2">
      <c r="G6380" s="131"/>
      <c r="H6380" s="131"/>
      <c r="I6380" s="131"/>
      <c r="J6380" s="132"/>
      <c r="K6380" s="131"/>
    </row>
    <row r="6381" spans="7:11" x14ac:dyDescent="0.2">
      <c r="G6381" s="131"/>
      <c r="H6381" s="131"/>
      <c r="I6381" s="131"/>
      <c r="J6381" s="132"/>
      <c r="K6381" s="131"/>
    </row>
    <row r="6382" spans="7:11" x14ac:dyDescent="0.2">
      <c r="G6382" s="131"/>
      <c r="H6382" s="131"/>
      <c r="I6382" s="131"/>
      <c r="J6382" s="132"/>
      <c r="K6382" s="131"/>
    </row>
    <row r="6383" spans="7:11" x14ac:dyDescent="0.2">
      <c r="G6383" s="131"/>
      <c r="H6383" s="131"/>
      <c r="I6383" s="131"/>
      <c r="J6383" s="132"/>
      <c r="K6383" s="131"/>
    </row>
    <row r="6384" spans="7:11" x14ac:dyDescent="0.2">
      <c r="G6384" s="131"/>
      <c r="H6384" s="131"/>
      <c r="I6384" s="131"/>
      <c r="J6384" s="132"/>
      <c r="K6384" s="131"/>
    </row>
    <row r="6385" spans="7:11" x14ac:dyDescent="0.2">
      <c r="G6385" s="131"/>
      <c r="H6385" s="131"/>
      <c r="I6385" s="131"/>
      <c r="J6385" s="132"/>
      <c r="K6385" s="131"/>
    </row>
    <row r="6386" spans="7:11" x14ac:dyDescent="0.2">
      <c r="G6386" s="131"/>
      <c r="H6386" s="131"/>
      <c r="I6386" s="131"/>
      <c r="J6386" s="132"/>
      <c r="K6386" s="131"/>
    </row>
    <row r="6387" spans="7:11" x14ac:dyDescent="0.2">
      <c r="G6387" s="131"/>
      <c r="H6387" s="131"/>
      <c r="I6387" s="131"/>
      <c r="J6387" s="132"/>
      <c r="K6387" s="131"/>
    </row>
    <row r="6388" spans="7:11" x14ac:dyDescent="0.2">
      <c r="G6388" s="131"/>
      <c r="H6388" s="131"/>
      <c r="I6388" s="131"/>
      <c r="J6388" s="132"/>
      <c r="K6388" s="131"/>
    </row>
    <row r="6389" spans="7:11" x14ac:dyDescent="0.2">
      <c r="G6389" s="131"/>
      <c r="H6389" s="131"/>
      <c r="I6389" s="131"/>
      <c r="J6389" s="132"/>
      <c r="K6389" s="131"/>
    </row>
    <row r="6390" spans="7:11" x14ac:dyDescent="0.2">
      <c r="G6390" s="131"/>
      <c r="H6390" s="131"/>
      <c r="I6390" s="131"/>
      <c r="J6390" s="132"/>
      <c r="K6390" s="131"/>
    </row>
    <row r="6391" spans="7:11" x14ac:dyDescent="0.2">
      <c r="G6391" s="131"/>
      <c r="H6391" s="131"/>
      <c r="I6391" s="131"/>
      <c r="J6391" s="132"/>
      <c r="K6391" s="131"/>
    </row>
    <row r="6392" spans="7:11" x14ac:dyDescent="0.2">
      <c r="G6392" s="131"/>
      <c r="H6392" s="131"/>
      <c r="I6392" s="131"/>
      <c r="J6392" s="132"/>
      <c r="K6392" s="131"/>
    </row>
    <row r="6393" spans="7:11" x14ac:dyDescent="0.2">
      <c r="G6393" s="131"/>
      <c r="H6393" s="131"/>
      <c r="I6393" s="131"/>
      <c r="J6393" s="132"/>
      <c r="K6393" s="131"/>
    </row>
    <row r="6394" spans="7:11" x14ac:dyDescent="0.2">
      <c r="G6394" s="131"/>
      <c r="H6394" s="131"/>
      <c r="I6394" s="131"/>
      <c r="J6394" s="132"/>
      <c r="K6394" s="131"/>
    </row>
    <row r="6395" spans="7:11" x14ac:dyDescent="0.2">
      <c r="G6395" s="131"/>
      <c r="H6395" s="131"/>
      <c r="I6395" s="131"/>
      <c r="J6395" s="132"/>
      <c r="K6395" s="131"/>
    </row>
    <row r="6396" spans="7:11" x14ac:dyDescent="0.2">
      <c r="G6396" s="131"/>
      <c r="H6396" s="131"/>
      <c r="I6396" s="131"/>
      <c r="J6396" s="132"/>
      <c r="K6396" s="131"/>
    </row>
    <row r="6397" spans="7:11" x14ac:dyDescent="0.2">
      <c r="G6397" s="131"/>
      <c r="H6397" s="131"/>
      <c r="I6397" s="131"/>
      <c r="J6397" s="132"/>
      <c r="K6397" s="131"/>
    </row>
    <row r="6398" spans="7:11" x14ac:dyDescent="0.2">
      <c r="G6398" s="131"/>
      <c r="H6398" s="131"/>
      <c r="I6398" s="131"/>
      <c r="J6398" s="132"/>
      <c r="K6398" s="131"/>
    </row>
    <row r="6399" spans="7:11" x14ac:dyDescent="0.2">
      <c r="G6399" s="131"/>
      <c r="H6399" s="131"/>
      <c r="I6399" s="131"/>
      <c r="J6399" s="132"/>
      <c r="K6399" s="131"/>
    </row>
    <row r="6400" spans="7:11" x14ac:dyDescent="0.2">
      <c r="G6400" s="131"/>
      <c r="H6400" s="131"/>
      <c r="I6400" s="131"/>
      <c r="J6400" s="132"/>
      <c r="K6400" s="131"/>
    </row>
    <row r="6401" spans="7:11" x14ac:dyDescent="0.2">
      <c r="G6401" s="131"/>
      <c r="H6401" s="131"/>
      <c r="I6401" s="131"/>
      <c r="J6401" s="132"/>
      <c r="K6401" s="131"/>
    </row>
    <row r="6402" spans="7:11" x14ac:dyDescent="0.2">
      <c r="G6402" s="131"/>
      <c r="H6402" s="131"/>
      <c r="I6402" s="131"/>
      <c r="J6402" s="132"/>
      <c r="K6402" s="131"/>
    </row>
    <row r="6403" spans="7:11" x14ac:dyDescent="0.2">
      <c r="G6403" s="131"/>
      <c r="H6403" s="131"/>
      <c r="I6403" s="131"/>
      <c r="J6403" s="132"/>
      <c r="K6403" s="131"/>
    </row>
    <row r="6404" spans="7:11" x14ac:dyDescent="0.2">
      <c r="G6404" s="131"/>
      <c r="H6404" s="131"/>
      <c r="I6404" s="131"/>
      <c r="J6404" s="132"/>
      <c r="K6404" s="131"/>
    </row>
    <row r="6405" spans="7:11" x14ac:dyDescent="0.2">
      <c r="G6405" s="131"/>
      <c r="H6405" s="131"/>
      <c r="I6405" s="131"/>
      <c r="J6405" s="132"/>
      <c r="K6405" s="131"/>
    </row>
    <row r="6406" spans="7:11" x14ac:dyDescent="0.2">
      <c r="G6406" s="131"/>
      <c r="H6406" s="131"/>
      <c r="I6406" s="131"/>
      <c r="J6406" s="132"/>
      <c r="K6406" s="131"/>
    </row>
    <row r="6407" spans="7:11" x14ac:dyDescent="0.2">
      <c r="G6407" s="131"/>
      <c r="H6407" s="131"/>
      <c r="I6407" s="131"/>
      <c r="J6407" s="132"/>
      <c r="K6407" s="131"/>
    </row>
    <row r="6408" spans="7:11" x14ac:dyDescent="0.2">
      <c r="G6408" s="131"/>
      <c r="H6408" s="131"/>
      <c r="I6408" s="131"/>
      <c r="J6408" s="132"/>
      <c r="K6408" s="131"/>
    </row>
    <row r="6409" spans="7:11" x14ac:dyDescent="0.2">
      <c r="G6409" s="131"/>
      <c r="H6409" s="131"/>
      <c r="I6409" s="131"/>
      <c r="J6409" s="132"/>
      <c r="K6409" s="131"/>
    </row>
    <row r="6410" spans="7:11" x14ac:dyDescent="0.2">
      <c r="G6410" s="131"/>
      <c r="H6410" s="131"/>
      <c r="I6410" s="131"/>
      <c r="J6410" s="132"/>
      <c r="K6410" s="131"/>
    </row>
    <row r="6411" spans="7:11" x14ac:dyDescent="0.2">
      <c r="G6411" s="131"/>
      <c r="H6411" s="131"/>
      <c r="I6411" s="131"/>
      <c r="J6411" s="132"/>
      <c r="K6411" s="131"/>
    </row>
    <row r="6412" spans="7:11" x14ac:dyDescent="0.2">
      <c r="G6412" s="131"/>
      <c r="H6412" s="131"/>
      <c r="I6412" s="131"/>
      <c r="J6412" s="132"/>
      <c r="K6412" s="131"/>
    </row>
    <row r="6413" spans="7:11" x14ac:dyDescent="0.2">
      <c r="G6413" s="131"/>
      <c r="H6413" s="131"/>
      <c r="I6413" s="131"/>
      <c r="J6413" s="132"/>
      <c r="K6413" s="131"/>
    </row>
    <row r="6414" spans="7:11" x14ac:dyDescent="0.2">
      <c r="G6414" s="131"/>
      <c r="H6414" s="131"/>
      <c r="I6414" s="131"/>
      <c r="J6414" s="132"/>
      <c r="K6414" s="131"/>
    </row>
    <row r="6415" spans="7:11" x14ac:dyDescent="0.2">
      <c r="G6415" s="131"/>
      <c r="H6415" s="131"/>
      <c r="I6415" s="131"/>
      <c r="J6415" s="132"/>
      <c r="K6415" s="131"/>
    </row>
    <row r="6416" spans="7:11" x14ac:dyDescent="0.2">
      <c r="G6416" s="131"/>
      <c r="H6416" s="131"/>
      <c r="I6416" s="131"/>
      <c r="J6416" s="132"/>
      <c r="K6416" s="131"/>
    </row>
    <row r="6417" spans="7:11" x14ac:dyDescent="0.2">
      <c r="G6417" s="131"/>
      <c r="H6417" s="131"/>
      <c r="I6417" s="131"/>
      <c r="J6417" s="132"/>
      <c r="K6417" s="131"/>
    </row>
    <row r="6418" spans="7:11" x14ac:dyDescent="0.2">
      <c r="G6418" s="131"/>
      <c r="H6418" s="131"/>
      <c r="I6418" s="131"/>
      <c r="J6418" s="132"/>
      <c r="K6418" s="131"/>
    </row>
    <row r="6419" spans="7:11" x14ac:dyDescent="0.2">
      <c r="G6419" s="131"/>
      <c r="H6419" s="131"/>
      <c r="I6419" s="131"/>
      <c r="J6419" s="132"/>
      <c r="K6419" s="131"/>
    </row>
    <row r="6420" spans="7:11" x14ac:dyDescent="0.2">
      <c r="G6420" s="131"/>
      <c r="H6420" s="131"/>
      <c r="I6420" s="131"/>
      <c r="J6420" s="132"/>
      <c r="K6420" s="131"/>
    </row>
    <row r="6421" spans="7:11" x14ac:dyDescent="0.2">
      <c r="G6421" s="131"/>
      <c r="H6421" s="131"/>
      <c r="I6421" s="131"/>
      <c r="J6421" s="132"/>
      <c r="K6421" s="131"/>
    </row>
    <row r="6422" spans="7:11" x14ac:dyDescent="0.2">
      <c r="G6422" s="131"/>
      <c r="H6422" s="131"/>
      <c r="I6422" s="131"/>
      <c r="J6422" s="132"/>
      <c r="K6422" s="131"/>
    </row>
    <row r="6423" spans="7:11" x14ac:dyDescent="0.2">
      <c r="G6423" s="131"/>
      <c r="H6423" s="131"/>
      <c r="I6423" s="131"/>
      <c r="J6423" s="132"/>
      <c r="K6423" s="131"/>
    </row>
    <row r="6424" spans="7:11" x14ac:dyDescent="0.2">
      <c r="G6424" s="131"/>
      <c r="H6424" s="131"/>
      <c r="I6424" s="131"/>
      <c r="J6424" s="132"/>
      <c r="K6424" s="131"/>
    </row>
    <row r="6425" spans="7:11" x14ac:dyDescent="0.2">
      <c r="G6425" s="131"/>
      <c r="H6425" s="131"/>
      <c r="I6425" s="131"/>
      <c r="J6425" s="132"/>
      <c r="K6425" s="131"/>
    </row>
    <row r="6426" spans="7:11" x14ac:dyDescent="0.2">
      <c r="G6426" s="131"/>
      <c r="H6426" s="131"/>
      <c r="I6426" s="131"/>
      <c r="J6426" s="132"/>
      <c r="K6426" s="131"/>
    </row>
    <row r="6427" spans="7:11" x14ac:dyDescent="0.2">
      <c r="G6427" s="131"/>
      <c r="H6427" s="131"/>
      <c r="I6427" s="131"/>
      <c r="J6427" s="132"/>
      <c r="K6427" s="131"/>
    </row>
    <row r="6428" spans="7:11" x14ac:dyDescent="0.2">
      <c r="G6428" s="131"/>
      <c r="H6428" s="131"/>
      <c r="I6428" s="131"/>
      <c r="J6428" s="132"/>
      <c r="K6428" s="131"/>
    </row>
    <row r="6429" spans="7:11" x14ac:dyDescent="0.2">
      <c r="G6429" s="131"/>
      <c r="H6429" s="131"/>
      <c r="I6429" s="131"/>
      <c r="J6429" s="132"/>
      <c r="K6429" s="131"/>
    </row>
    <row r="6430" spans="7:11" x14ac:dyDescent="0.2">
      <c r="G6430" s="131"/>
      <c r="H6430" s="131"/>
      <c r="I6430" s="131"/>
      <c r="J6430" s="132"/>
      <c r="K6430" s="131"/>
    </row>
    <row r="6431" spans="7:11" x14ac:dyDescent="0.2">
      <c r="G6431" s="131"/>
      <c r="H6431" s="131"/>
      <c r="I6431" s="131"/>
      <c r="J6431" s="132"/>
      <c r="K6431" s="131"/>
    </row>
    <row r="6432" spans="7:11" x14ac:dyDescent="0.2">
      <c r="G6432" s="131"/>
      <c r="H6432" s="131"/>
      <c r="I6432" s="131"/>
      <c r="J6432" s="132"/>
      <c r="K6432" s="131"/>
    </row>
    <row r="6433" spans="7:11" x14ac:dyDescent="0.2">
      <c r="G6433" s="131"/>
      <c r="H6433" s="131"/>
      <c r="I6433" s="131"/>
      <c r="J6433" s="132"/>
      <c r="K6433" s="131"/>
    </row>
    <row r="6434" spans="7:11" x14ac:dyDescent="0.2">
      <c r="G6434" s="131"/>
      <c r="H6434" s="131"/>
      <c r="I6434" s="131"/>
      <c r="J6434" s="132"/>
      <c r="K6434" s="131"/>
    </row>
    <row r="6435" spans="7:11" x14ac:dyDescent="0.2">
      <c r="G6435" s="131"/>
      <c r="H6435" s="131"/>
      <c r="I6435" s="131"/>
      <c r="J6435" s="132"/>
      <c r="K6435" s="131"/>
    </row>
    <row r="6436" spans="7:11" x14ac:dyDescent="0.2">
      <c r="G6436" s="131"/>
      <c r="H6436" s="131"/>
      <c r="I6436" s="131"/>
      <c r="J6436" s="132"/>
      <c r="K6436" s="131"/>
    </row>
    <row r="6437" spans="7:11" x14ac:dyDescent="0.2">
      <c r="G6437" s="131"/>
      <c r="H6437" s="131"/>
      <c r="I6437" s="131"/>
      <c r="J6437" s="132"/>
      <c r="K6437" s="131"/>
    </row>
    <row r="6438" spans="7:11" x14ac:dyDescent="0.2">
      <c r="G6438" s="131"/>
      <c r="H6438" s="131"/>
      <c r="I6438" s="131"/>
      <c r="J6438" s="132"/>
      <c r="K6438" s="131"/>
    </row>
    <row r="6439" spans="7:11" x14ac:dyDescent="0.2">
      <c r="G6439" s="131"/>
      <c r="H6439" s="131"/>
      <c r="I6439" s="131"/>
      <c r="J6439" s="132"/>
      <c r="K6439" s="131"/>
    </row>
    <row r="6440" spans="7:11" x14ac:dyDescent="0.2">
      <c r="G6440" s="131"/>
      <c r="H6440" s="131"/>
      <c r="I6440" s="131"/>
      <c r="J6440" s="132"/>
      <c r="K6440" s="131"/>
    </row>
    <row r="6441" spans="7:11" x14ac:dyDescent="0.2">
      <c r="G6441" s="131"/>
      <c r="H6441" s="131"/>
      <c r="I6441" s="131"/>
      <c r="J6441" s="132"/>
      <c r="K6441" s="131"/>
    </row>
    <row r="6442" spans="7:11" x14ac:dyDescent="0.2">
      <c r="G6442" s="131"/>
      <c r="H6442" s="131"/>
      <c r="I6442" s="131"/>
      <c r="J6442" s="132"/>
      <c r="K6442" s="131"/>
    </row>
    <row r="6443" spans="7:11" x14ac:dyDescent="0.2">
      <c r="G6443" s="131"/>
      <c r="H6443" s="131"/>
      <c r="I6443" s="131"/>
      <c r="J6443" s="132"/>
      <c r="K6443" s="131"/>
    </row>
    <row r="6444" spans="7:11" x14ac:dyDescent="0.2">
      <c r="G6444" s="131"/>
      <c r="H6444" s="131"/>
      <c r="I6444" s="131"/>
      <c r="J6444" s="132"/>
      <c r="K6444" s="131"/>
    </row>
    <row r="6445" spans="7:11" x14ac:dyDescent="0.2">
      <c r="G6445" s="131"/>
      <c r="H6445" s="131"/>
      <c r="I6445" s="131"/>
      <c r="J6445" s="132"/>
      <c r="K6445" s="131"/>
    </row>
    <row r="6446" spans="7:11" x14ac:dyDescent="0.2">
      <c r="G6446" s="131"/>
      <c r="H6446" s="131"/>
      <c r="I6446" s="131"/>
      <c r="J6446" s="132"/>
      <c r="K6446" s="131"/>
    </row>
    <row r="6447" spans="7:11" x14ac:dyDescent="0.2">
      <c r="G6447" s="131"/>
      <c r="H6447" s="131"/>
      <c r="I6447" s="131"/>
      <c r="J6447" s="132"/>
      <c r="K6447" s="131"/>
    </row>
    <row r="6448" spans="7:11" x14ac:dyDescent="0.2">
      <c r="G6448" s="131"/>
      <c r="H6448" s="131"/>
      <c r="I6448" s="131"/>
      <c r="J6448" s="132"/>
      <c r="K6448" s="131"/>
    </row>
    <row r="6449" spans="7:11" x14ac:dyDescent="0.2">
      <c r="G6449" s="131"/>
      <c r="H6449" s="131"/>
      <c r="I6449" s="131"/>
      <c r="J6449" s="132"/>
      <c r="K6449" s="131"/>
    </row>
    <row r="6450" spans="7:11" x14ac:dyDescent="0.2">
      <c r="G6450" s="131"/>
      <c r="H6450" s="131"/>
      <c r="I6450" s="131"/>
      <c r="J6450" s="132"/>
      <c r="K6450" s="131"/>
    </row>
    <row r="6451" spans="7:11" x14ac:dyDescent="0.2">
      <c r="G6451" s="131"/>
      <c r="H6451" s="131"/>
      <c r="I6451" s="131"/>
      <c r="J6451" s="132"/>
      <c r="K6451" s="131"/>
    </row>
    <row r="6452" spans="7:11" x14ac:dyDescent="0.2">
      <c r="G6452" s="131"/>
      <c r="H6452" s="131"/>
      <c r="I6452" s="131"/>
      <c r="J6452" s="132"/>
      <c r="K6452" s="131"/>
    </row>
    <row r="6453" spans="7:11" x14ac:dyDescent="0.2">
      <c r="G6453" s="131"/>
      <c r="H6453" s="131"/>
      <c r="I6453" s="131"/>
      <c r="J6453" s="132"/>
      <c r="K6453" s="131"/>
    </row>
    <row r="6454" spans="7:11" x14ac:dyDescent="0.2">
      <c r="G6454" s="131"/>
      <c r="H6454" s="131"/>
      <c r="I6454" s="131"/>
      <c r="J6454" s="132"/>
      <c r="K6454" s="131"/>
    </row>
    <row r="6455" spans="7:11" x14ac:dyDescent="0.2">
      <c r="G6455" s="131"/>
      <c r="H6455" s="131"/>
      <c r="I6455" s="131"/>
      <c r="J6455" s="132"/>
      <c r="K6455" s="131"/>
    </row>
    <row r="6456" spans="7:11" x14ac:dyDescent="0.2">
      <c r="G6456" s="131"/>
      <c r="H6456" s="131"/>
      <c r="I6456" s="131"/>
      <c r="J6456" s="132"/>
      <c r="K6456" s="131"/>
    </row>
    <row r="6457" spans="7:11" x14ac:dyDescent="0.2">
      <c r="G6457" s="131"/>
      <c r="H6457" s="131"/>
      <c r="I6457" s="131"/>
      <c r="J6457" s="132"/>
      <c r="K6457" s="131"/>
    </row>
    <row r="6458" spans="7:11" x14ac:dyDescent="0.2">
      <c r="G6458" s="131"/>
      <c r="H6458" s="131"/>
      <c r="I6458" s="131"/>
      <c r="J6458" s="132"/>
      <c r="K6458" s="131"/>
    </row>
    <row r="6459" spans="7:11" x14ac:dyDescent="0.2">
      <c r="G6459" s="131"/>
      <c r="H6459" s="131"/>
      <c r="I6459" s="131"/>
      <c r="J6459" s="132"/>
      <c r="K6459" s="131"/>
    </row>
    <row r="6460" spans="7:11" x14ac:dyDescent="0.2">
      <c r="G6460" s="131"/>
      <c r="H6460" s="131"/>
      <c r="I6460" s="131"/>
      <c r="J6460" s="132"/>
      <c r="K6460" s="131"/>
    </row>
    <row r="6461" spans="7:11" x14ac:dyDescent="0.2">
      <c r="G6461" s="131"/>
      <c r="H6461" s="131"/>
      <c r="I6461" s="131"/>
      <c r="J6461" s="132"/>
      <c r="K6461" s="131"/>
    </row>
    <row r="6462" spans="7:11" x14ac:dyDescent="0.2">
      <c r="G6462" s="131"/>
      <c r="H6462" s="131"/>
      <c r="I6462" s="131"/>
      <c r="J6462" s="132"/>
      <c r="K6462" s="131"/>
    </row>
    <row r="6463" spans="7:11" x14ac:dyDescent="0.2">
      <c r="G6463" s="131"/>
      <c r="H6463" s="131"/>
      <c r="I6463" s="131"/>
      <c r="J6463" s="132"/>
      <c r="K6463" s="131"/>
    </row>
    <row r="6464" spans="7:11" x14ac:dyDescent="0.2">
      <c r="G6464" s="131"/>
      <c r="H6464" s="131"/>
      <c r="I6464" s="131"/>
      <c r="J6464" s="132"/>
      <c r="K6464" s="131"/>
    </row>
    <row r="6465" spans="7:11" x14ac:dyDescent="0.2">
      <c r="G6465" s="131"/>
      <c r="H6465" s="131"/>
      <c r="I6465" s="131"/>
      <c r="J6465" s="132"/>
      <c r="K6465" s="131"/>
    </row>
    <row r="6466" spans="7:11" x14ac:dyDescent="0.2">
      <c r="G6466" s="131"/>
      <c r="H6466" s="131"/>
      <c r="I6466" s="131"/>
      <c r="J6466" s="132"/>
      <c r="K6466" s="131"/>
    </row>
    <row r="6467" spans="7:11" x14ac:dyDescent="0.2">
      <c r="G6467" s="131"/>
      <c r="H6467" s="131"/>
      <c r="I6467" s="131"/>
      <c r="J6467" s="132"/>
      <c r="K6467" s="131"/>
    </row>
    <row r="6468" spans="7:11" x14ac:dyDescent="0.2">
      <c r="G6468" s="131"/>
      <c r="H6468" s="131"/>
      <c r="I6468" s="131"/>
      <c r="J6468" s="132"/>
      <c r="K6468" s="131"/>
    </row>
    <row r="6469" spans="7:11" x14ac:dyDescent="0.2">
      <c r="G6469" s="131"/>
      <c r="H6469" s="131"/>
      <c r="I6469" s="131"/>
      <c r="J6469" s="132"/>
      <c r="K6469" s="131"/>
    </row>
    <row r="6470" spans="7:11" x14ac:dyDescent="0.2">
      <c r="G6470" s="131"/>
      <c r="H6470" s="131"/>
      <c r="I6470" s="131"/>
      <c r="J6470" s="132"/>
      <c r="K6470" s="131"/>
    </row>
    <row r="6471" spans="7:11" x14ac:dyDescent="0.2">
      <c r="G6471" s="131"/>
      <c r="H6471" s="131"/>
      <c r="I6471" s="131"/>
      <c r="J6471" s="132"/>
      <c r="K6471" s="131"/>
    </row>
    <row r="6472" spans="7:11" x14ac:dyDescent="0.2">
      <c r="G6472" s="131"/>
      <c r="H6472" s="131"/>
      <c r="I6472" s="131"/>
      <c r="J6472" s="132"/>
      <c r="K6472" s="131"/>
    </row>
    <row r="6473" spans="7:11" x14ac:dyDescent="0.2">
      <c r="G6473" s="131"/>
      <c r="H6473" s="131"/>
      <c r="I6473" s="131"/>
      <c r="J6473" s="132"/>
      <c r="K6473" s="131"/>
    </row>
    <row r="6474" spans="7:11" x14ac:dyDescent="0.2">
      <c r="G6474" s="131"/>
      <c r="H6474" s="131"/>
      <c r="I6474" s="131"/>
      <c r="J6474" s="132"/>
      <c r="K6474" s="131"/>
    </row>
    <row r="6475" spans="7:11" x14ac:dyDescent="0.2">
      <c r="G6475" s="131"/>
      <c r="H6475" s="131"/>
      <c r="I6475" s="131"/>
      <c r="J6475" s="132"/>
      <c r="K6475" s="131"/>
    </row>
    <row r="6476" spans="7:11" x14ac:dyDescent="0.2">
      <c r="G6476" s="131"/>
      <c r="H6476" s="131"/>
      <c r="I6476" s="131"/>
      <c r="J6476" s="132"/>
      <c r="K6476" s="131"/>
    </row>
    <row r="6477" spans="7:11" x14ac:dyDescent="0.2">
      <c r="G6477" s="131"/>
      <c r="H6477" s="131"/>
      <c r="I6477" s="131"/>
      <c r="J6477" s="132"/>
      <c r="K6477" s="131"/>
    </row>
    <row r="6478" spans="7:11" x14ac:dyDescent="0.2">
      <c r="G6478" s="131"/>
      <c r="H6478" s="131"/>
      <c r="I6478" s="131"/>
      <c r="J6478" s="132"/>
      <c r="K6478" s="131"/>
    </row>
    <row r="6479" spans="7:11" x14ac:dyDescent="0.2">
      <c r="G6479" s="131"/>
      <c r="H6479" s="131"/>
      <c r="I6479" s="131"/>
      <c r="J6479" s="132"/>
      <c r="K6479" s="131"/>
    </row>
    <row r="6480" spans="7:11" x14ac:dyDescent="0.2">
      <c r="G6480" s="131"/>
      <c r="H6480" s="131"/>
      <c r="I6480" s="131"/>
      <c r="J6480" s="132"/>
      <c r="K6480" s="131"/>
    </row>
    <row r="6481" spans="7:11" x14ac:dyDescent="0.2">
      <c r="G6481" s="131"/>
      <c r="H6481" s="131"/>
      <c r="I6481" s="131"/>
      <c r="J6481" s="132"/>
      <c r="K6481" s="131"/>
    </row>
    <row r="6482" spans="7:11" x14ac:dyDescent="0.2">
      <c r="G6482" s="131"/>
      <c r="H6482" s="131"/>
      <c r="I6482" s="131"/>
      <c r="J6482" s="132"/>
      <c r="K6482" s="131"/>
    </row>
    <row r="6483" spans="7:11" x14ac:dyDescent="0.2">
      <c r="G6483" s="131"/>
      <c r="H6483" s="131"/>
      <c r="I6483" s="131"/>
      <c r="J6483" s="132"/>
      <c r="K6483" s="131"/>
    </row>
    <row r="6484" spans="7:11" x14ac:dyDescent="0.2">
      <c r="G6484" s="131"/>
      <c r="H6484" s="131"/>
      <c r="I6484" s="131"/>
      <c r="J6484" s="132"/>
      <c r="K6484" s="131"/>
    </row>
    <row r="6485" spans="7:11" x14ac:dyDescent="0.2">
      <c r="G6485" s="131"/>
      <c r="H6485" s="131"/>
      <c r="I6485" s="131"/>
      <c r="J6485" s="132"/>
      <c r="K6485" s="131"/>
    </row>
    <row r="6486" spans="7:11" x14ac:dyDescent="0.2">
      <c r="G6486" s="131"/>
      <c r="H6486" s="131"/>
      <c r="I6486" s="131"/>
      <c r="J6486" s="132"/>
      <c r="K6486" s="131"/>
    </row>
    <row r="6487" spans="7:11" x14ac:dyDescent="0.2">
      <c r="G6487" s="131"/>
      <c r="H6487" s="131"/>
      <c r="I6487" s="131"/>
      <c r="J6487" s="132"/>
      <c r="K6487" s="131"/>
    </row>
    <row r="6488" spans="7:11" x14ac:dyDescent="0.2">
      <c r="G6488" s="131"/>
      <c r="H6488" s="131"/>
      <c r="I6488" s="131"/>
      <c r="J6488" s="132"/>
      <c r="K6488" s="131"/>
    </row>
    <row r="6489" spans="7:11" x14ac:dyDescent="0.2">
      <c r="G6489" s="131"/>
      <c r="H6489" s="131"/>
      <c r="I6489" s="131"/>
      <c r="J6489" s="132"/>
      <c r="K6489" s="131"/>
    </row>
    <row r="6490" spans="7:11" x14ac:dyDescent="0.2">
      <c r="G6490" s="131"/>
      <c r="H6490" s="131"/>
      <c r="I6490" s="131"/>
      <c r="J6490" s="132"/>
      <c r="K6490" s="131"/>
    </row>
    <row r="6491" spans="7:11" x14ac:dyDescent="0.2">
      <c r="G6491" s="131"/>
      <c r="H6491" s="131"/>
      <c r="I6491" s="131"/>
      <c r="J6491" s="132"/>
      <c r="K6491" s="131"/>
    </row>
    <row r="6492" spans="7:11" x14ac:dyDescent="0.2">
      <c r="G6492" s="131"/>
      <c r="H6492" s="131"/>
      <c r="I6492" s="131"/>
      <c r="J6492" s="132"/>
      <c r="K6492" s="131"/>
    </row>
    <row r="6493" spans="7:11" x14ac:dyDescent="0.2">
      <c r="G6493" s="131"/>
      <c r="H6493" s="131"/>
      <c r="I6493" s="131"/>
      <c r="J6493" s="132"/>
      <c r="K6493" s="131"/>
    </row>
    <row r="6494" spans="7:11" x14ac:dyDescent="0.2">
      <c r="G6494" s="131"/>
      <c r="H6494" s="131"/>
      <c r="I6494" s="131"/>
      <c r="J6494" s="132"/>
      <c r="K6494" s="131"/>
    </row>
    <row r="6495" spans="7:11" x14ac:dyDescent="0.2">
      <c r="G6495" s="131"/>
      <c r="H6495" s="131"/>
      <c r="I6495" s="131"/>
      <c r="J6495" s="132"/>
      <c r="K6495" s="131"/>
    </row>
    <row r="6496" spans="7:11" x14ac:dyDescent="0.2">
      <c r="G6496" s="131"/>
      <c r="H6496" s="131"/>
      <c r="I6496" s="131"/>
      <c r="J6496" s="132"/>
      <c r="K6496" s="131"/>
    </row>
    <row r="6497" spans="7:11" x14ac:dyDescent="0.2">
      <c r="G6497" s="131"/>
      <c r="H6497" s="131"/>
      <c r="I6497" s="131"/>
      <c r="J6497" s="132"/>
      <c r="K6497" s="131"/>
    </row>
    <row r="6498" spans="7:11" x14ac:dyDescent="0.2">
      <c r="G6498" s="131"/>
      <c r="H6498" s="131"/>
      <c r="I6498" s="131"/>
      <c r="J6498" s="132"/>
      <c r="K6498" s="131"/>
    </row>
    <row r="6499" spans="7:11" x14ac:dyDescent="0.2">
      <c r="G6499" s="131"/>
      <c r="H6499" s="131"/>
      <c r="I6499" s="131"/>
      <c r="J6499" s="132"/>
      <c r="K6499" s="131"/>
    </row>
    <row r="6500" spans="7:11" x14ac:dyDescent="0.2">
      <c r="G6500" s="131"/>
      <c r="H6500" s="131"/>
      <c r="I6500" s="131"/>
      <c r="J6500" s="132"/>
      <c r="K6500" s="131"/>
    </row>
    <row r="6501" spans="7:11" x14ac:dyDescent="0.2">
      <c r="G6501" s="131"/>
      <c r="H6501" s="131"/>
      <c r="I6501" s="131"/>
      <c r="J6501" s="132"/>
      <c r="K6501" s="131"/>
    </row>
    <row r="6502" spans="7:11" x14ac:dyDescent="0.2">
      <c r="G6502" s="131"/>
      <c r="H6502" s="131"/>
      <c r="I6502" s="131"/>
      <c r="J6502" s="132"/>
      <c r="K6502" s="131"/>
    </row>
    <row r="6503" spans="7:11" x14ac:dyDescent="0.2">
      <c r="G6503" s="131"/>
      <c r="H6503" s="131"/>
      <c r="I6503" s="131"/>
      <c r="J6503" s="132"/>
      <c r="K6503" s="131"/>
    </row>
    <row r="6504" spans="7:11" x14ac:dyDescent="0.2">
      <c r="G6504" s="131"/>
      <c r="H6504" s="131"/>
      <c r="I6504" s="131"/>
      <c r="J6504" s="132"/>
      <c r="K6504" s="131"/>
    </row>
    <row r="6505" spans="7:11" x14ac:dyDescent="0.2">
      <c r="G6505" s="131"/>
      <c r="H6505" s="131"/>
      <c r="I6505" s="131"/>
      <c r="J6505" s="132"/>
      <c r="K6505" s="131"/>
    </row>
    <row r="6506" spans="7:11" x14ac:dyDescent="0.2">
      <c r="G6506" s="131"/>
      <c r="H6506" s="131"/>
      <c r="I6506" s="131"/>
      <c r="J6506" s="132"/>
      <c r="K6506" s="131"/>
    </row>
    <row r="6507" spans="7:11" x14ac:dyDescent="0.2">
      <c r="G6507" s="131"/>
      <c r="H6507" s="131"/>
      <c r="I6507" s="131"/>
      <c r="J6507" s="132"/>
      <c r="K6507" s="131"/>
    </row>
    <row r="6508" spans="7:11" x14ac:dyDescent="0.2">
      <c r="G6508" s="131"/>
      <c r="H6508" s="131"/>
      <c r="I6508" s="131"/>
      <c r="J6508" s="132"/>
      <c r="K6508" s="131"/>
    </row>
    <row r="6509" spans="7:11" x14ac:dyDescent="0.2">
      <c r="G6509" s="131"/>
      <c r="H6509" s="131"/>
      <c r="I6509" s="131"/>
      <c r="J6509" s="132"/>
      <c r="K6509" s="131"/>
    </row>
    <row r="6510" spans="7:11" x14ac:dyDescent="0.2">
      <c r="G6510" s="131"/>
      <c r="H6510" s="131"/>
      <c r="I6510" s="131"/>
      <c r="J6510" s="132"/>
      <c r="K6510" s="131"/>
    </row>
    <row r="6511" spans="7:11" x14ac:dyDescent="0.2">
      <c r="G6511" s="131"/>
      <c r="H6511" s="131"/>
      <c r="I6511" s="131"/>
      <c r="J6511" s="132"/>
      <c r="K6511" s="131"/>
    </row>
    <row r="6512" spans="7:11" x14ac:dyDescent="0.2">
      <c r="G6512" s="131"/>
      <c r="H6512" s="131"/>
      <c r="I6512" s="131"/>
      <c r="J6512" s="132"/>
      <c r="K6512" s="131"/>
    </row>
    <row r="6513" spans="7:11" x14ac:dyDescent="0.2">
      <c r="G6513" s="131"/>
      <c r="H6513" s="131"/>
      <c r="I6513" s="131"/>
      <c r="J6513" s="132"/>
      <c r="K6513" s="131"/>
    </row>
    <row r="6514" spans="7:11" x14ac:dyDescent="0.2">
      <c r="G6514" s="131"/>
      <c r="H6514" s="131"/>
      <c r="I6514" s="131"/>
      <c r="J6514" s="132"/>
      <c r="K6514" s="131"/>
    </row>
    <row r="6515" spans="7:11" x14ac:dyDescent="0.2">
      <c r="G6515" s="131"/>
      <c r="H6515" s="131"/>
      <c r="I6515" s="131"/>
      <c r="J6515" s="132"/>
      <c r="K6515" s="131"/>
    </row>
    <row r="6516" spans="7:11" x14ac:dyDescent="0.2">
      <c r="G6516" s="131"/>
      <c r="H6516" s="131"/>
      <c r="I6516" s="131"/>
      <c r="J6516" s="132"/>
      <c r="K6516" s="131"/>
    </row>
    <row r="6517" spans="7:11" x14ac:dyDescent="0.2">
      <c r="G6517" s="131"/>
      <c r="H6517" s="131"/>
      <c r="I6517" s="131"/>
      <c r="J6517" s="132"/>
      <c r="K6517" s="131"/>
    </row>
    <row r="6518" spans="7:11" x14ac:dyDescent="0.2">
      <c r="G6518" s="131"/>
      <c r="H6518" s="131"/>
      <c r="I6518" s="131"/>
      <c r="J6518" s="132"/>
      <c r="K6518" s="131"/>
    </row>
    <row r="6519" spans="7:11" x14ac:dyDescent="0.2">
      <c r="G6519" s="131"/>
      <c r="H6519" s="131"/>
      <c r="I6519" s="131"/>
      <c r="J6519" s="132"/>
      <c r="K6519" s="131"/>
    </row>
    <row r="6520" spans="7:11" x14ac:dyDescent="0.2">
      <c r="G6520" s="131"/>
      <c r="H6520" s="131"/>
      <c r="I6520" s="131"/>
      <c r="J6520" s="132"/>
      <c r="K6520" s="131"/>
    </row>
    <row r="6521" spans="7:11" x14ac:dyDescent="0.2">
      <c r="G6521" s="131"/>
      <c r="H6521" s="131"/>
      <c r="I6521" s="131"/>
      <c r="J6521" s="132"/>
      <c r="K6521" s="131"/>
    </row>
    <row r="6522" spans="7:11" x14ac:dyDescent="0.2">
      <c r="G6522" s="131"/>
      <c r="H6522" s="131"/>
      <c r="I6522" s="131"/>
      <c r="J6522" s="132"/>
      <c r="K6522" s="131"/>
    </row>
    <row r="6523" spans="7:11" x14ac:dyDescent="0.2">
      <c r="G6523" s="131"/>
      <c r="H6523" s="131"/>
      <c r="I6523" s="131"/>
      <c r="J6523" s="132"/>
      <c r="K6523" s="131"/>
    </row>
    <row r="6524" spans="7:11" x14ac:dyDescent="0.2">
      <c r="G6524" s="131"/>
      <c r="H6524" s="131"/>
      <c r="I6524" s="131"/>
      <c r="J6524" s="132"/>
      <c r="K6524" s="131"/>
    </row>
    <row r="6525" spans="7:11" x14ac:dyDescent="0.2">
      <c r="G6525" s="131"/>
      <c r="H6525" s="131"/>
      <c r="I6525" s="131"/>
      <c r="J6525" s="132"/>
      <c r="K6525" s="131"/>
    </row>
    <row r="6526" spans="7:11" x14ac:dyDescent="0.2">
      <c r="G6526" s="131"/>
      <c r="H6526" s="131"/>
      <c r="I6526" s="131"/>
      <c r="J6526" s="132"/>
      <c r="K6526" s="131"/>
    </row>
    <row r="6527" spans="7:11" x14ac:dyDescent="0.2">
      <c r="G6527" s="131"/>
      <c r="H6527" s="131"/>
      <c r="I6527" s="131"/>
      <c r="J6527" s="132"/>
      <c r="K6527" s="131"/>
    </row>
    <row r="6528" spans="7:11" x14ac:dyDescent="0.2">
      <c r="G6528" s="131"/>
      <c r="H6528" s="131"/>
      <c r="I6528" s="131"/>
      <c r="J6528" s="132"/>
      <c r="K6528" s="131"/>
    </row>
    <row r="6529" spans="7:11" x14ac:dyDescent="0.2">
      <c r="G6529" s="131"/>
      <c r="H6529" s="131"/>
      <c r="I6529" s="131"/>
      <c r="J6529" s="132"/>
      <c r="K6529" s="131"/>
    </row>
    <row r="6530" spans="7:11" x14ac:dyDescent="0.2">
      <c r="G6530" s="131"/>
      <c r="H6530" s="131"/>
      <c r="I6530" s="131"/>
      <c r="J6530" s="132"/>
      <c r="K6530" s="131"/>
    </row>
    <row r="6531" spans="7:11" x14ac:dyDescent="0.2">
      <c r="G6531" s="131"/>
      <c r="H6531" s="131"/>
      <c r="I6531" s="131"/>
      <c r="J6531" s="132"/>
      <c r="K6531" s="131"/>
    </row>
    <row r="6532" spans="7:11" x14ac:dyDescent="0.2">
      <c r="G6532" s="131"/>
      <c r="H6532" s="131"/>
      <c r="I6532" s="131"/>
      <c r="J6532" s="132"/>
      <c r="K6532" s="131"/>
    </row>
    <row r="6533" spans="7:11" x14ac:dyDescent="0.2">
      <c r="G6533" s="131"/>
      <c r="H6533" s="131"/>
      <c r="I6533" s="131"/>
      <c r="J6533" s="132"/>
      <c r="K6533" s="131"/>
    </row>
    <row r="6534" spans="7:11" x14ac:dyDescent="0.2">
      <c r="G6534" s="131"/>
      <c r="H6534" s="131"/>
      <c r="I6534" s="131"/>
      <c r="J6534" s="132"/>
      <c r="K6534" s="131"/>
    </row>
    <row r="6535" spans="7:11" x14ac:dyDescent="0.2">
      <c r="G6535" s="131"/>
      <c r="H6535" s="131"/>
      <c r="I6535" s="131"/>
      <c r="J6535" s="132"/>
      <c r="K6535" s="131"/>
    </row>
    <row r="6536" spans="7:11" x14ac:dyDescent="0.2">
      <c r="G6536" s="131"/>
      <c r="H6536" s="131"/>
      <c r="I6536" s="131"/>
      <c r="J6536" s="132"/>
      <c r="K6536" s="131"/>
    </row>
    <row r="6537" spans="7:11" x14ac:dyDescent="0.2">
      <c r="G6537" s="131"/>
      <c r="H6537" s="131"/>
      <c r="I6537" s="131"/>
      <c r="J6537" s="132"/>
      <c r="K6537" s="131"/>
    </row>
    <row r="6538" spans="7:11" x14ac:dyDescent="0.2">
      <c r="G6538" s="131"/>
      <c r="H6538" s="131"/>
      <c r="I6538" s="131"/>
      <c r="J6538" s="132"/>
      <c r="K6538" s="131"/>
    </row>
    <row r="6539" spans="7:11" x14ac:dyDescent="0.2">
      <c r="G6539" s="131"/>
      <c r="H6539" s="131"/>
      <c r="I6539" s="131"/>
      <c r="J6539" s="132"/>
      <c r="K6539" s="131"/>
    </row>
    <row r="6540" spans="7:11" x14ac:dyDescent="0.2">
      <c r="G6540" s="131"/>
      <c r="H6540" s="131"/>
      <c r="I6540" s="131"/>
      <c r="J6540" s="132"/>
      <c r="K6540" s="131"/>
    </row>
    <row r="6541" spans="7:11" x14ac:dyDescent="0.2">
      <c r="G6541" s="131"/>
      <c r="H6541" s="131"/>
      <c r="I6541" s="131"/>
      <c r="J6541" s="132"/>
      <c r="K6541" s="131"/>
    </row>
    <row r="6542" spans="7:11" x14ac:dyDescent="0.2">
      <c r="G6542" s="131"/>
      <c r="H6542" s="131"/>
      <c r="I6542" s="131"/>
      <c r="J6542" s="132"/>
      <c r="K6542" s="131"/>
    </row>
    <row r="6543" spans="7:11" x14ac:dyDescent="0.2">
      <c r="G6543" s="131"/>
      <c r="H6543" s="131"/>
      <c r="I6543" s="131"/>
      <c r="J6543" s="132"/>
      <c r="K6543" s="131"/>
    </row>
    <row r="6544" spans="7:11" x14ac:dyDescent="0.2">
      <c r="G6544" s="131"/>
      <c r="H6544" s="131"/>
      <c r="I6544" s="131"/>
      <c r="J6544" s="132"/>
      <c r="K6544" s="131"/>
    </row>
    <row r="6545" spans="7:11" x14ac:dyDescent="0.2">
      <c r="G6545" s="131"/>
      <c r="H6545" s="131"/>
      <c r="I6545" s="131"/>
      <c r="J6545" s="132"/>
      <c r="K6545" s="131"/>
    </row>
    <row r="6546" spans="7:11" x14ac:dyDescent="0.2">
      <c r="G6546" s="131"/>
      <c r="H6546" s="131"/>
      <c r="I6546" s="131"/>
      <c r="J6546" s="132"/>
      <c r="K6546" s="131"/>
    </row>
    <row r="6547" spans="7:11" x14ac:dyDescent="0.2">
      <c r="G6547" s="131"/>
      <c r="H6547" s="131"/>
      <c r="I6547" s="131"/>
      <c r="J6547" s="132"/>
      <c r="K6547" s="131"/>
    </row>
    <row r="6548" spans="7:11" x14ac:dyDescent="0.2">
      <c r="G6548" s="131"/>
      <c r="H6548" s="131"/>
      <c r="I6548" s="131"/>
      <c r="J6548" s="132"/>
      <c r="K6548" s="131"/>
    </row>
    <row r="6549" spans="7:11" x14ac:dyDescent="0.2">
      <c r="G6549" s="131"/>
      <c r="H6549" s="131"/>
      <c r="I6549" s="131"/>
      <c r="J6549" s="132"/>
      <c r="K6549" s="131"/>
    </row>
    <row r="6550" spans="7:11" x14ac:dyDescent="0.2">
      <c r="G6550" s="131"/>
      <c r="H6550" s="131"/>
      <c r="I6550" s="131"/>
      <c r="J6550" s="132"/>
      <c r="K6550" s="131"/>
    </row>
    <row r="6551" spans="7:11" x14ac:dyDescent="0.2">
      <c r="G6551" s="131"/>
      <c r="H6551" s="131"/>
      <c r="I6551" s="131"/>
      <c r="J6551" s="132"/>
      <c r="K6551" s="131"/>
    </row>
    <row r="6552" spans="7:11" x14ac:dyDescent="0.2">
      <c r="G6552" s="131"/>
      <c r="H6552" s="131"/>
      <c r="I6552" s="131"/>
      <c r="J6552" s="132"/>
      <c r="K6552" s="131"/>
    </row>
    <row r="6553" spans="7:11" x14ac:dyDescent="0.2">
      <c r="G6553" s="131"/>
      <c r="H6553" s="131"/>
      <c r="I6553" s="131"/>
      <c r="J6553" s="132"/>
      <c r="K6553" s="131"/>
    </row>
    <row r="6554" spans="7:11" x14ac:dyDescent="0.2">
      <c r="G6554" s="131"/>
      <c r="H6554" s="131"/>
      <c r="I6554" s="131"/>
      <c r="J6554" s="132"/>
      <c r="K6554" s="131"/>
    </row>
    <row r="6555" spans="7:11" x14ac:dyDescent="0.2">
      <c r="G6555" s="131"/>
      <c r="H6555" s="131"/>
      <c r="I6555" s="131"/>
      <c r="J6555" s="132"/>
      <c r="K6555" s="131"/>
    </row>
    <row r="6556" spans="7:11" x14ac:dyDescent="0.2">
      <c r="G6556" s="131"/>
      <c r="H6556" s="131"/>
      <c r="I6556" s="131"/>
      <c r="J6556" s="132"/>
      <c r="K6556" s="131"/>
    </row>
    <row r="6557" spans="7:11" x14ac:dyDescent="0.2">
      <c r="G6557" s="131"/>
      <c r="H6557" s="131"/>
      <c r="I6557" s="131"/>
      <c r="J6557" s="132"/>
      <c r="K6557" s="131"/>
    </row>
    <row r="6558" spans="7:11" x14ac:dyDescent="0.2">
      <c r="G6558" s="131"/>
      <c r="H6558" s="131"/>
      <c r="I6558" s="131"/>
      <c r="J6558" s="132"/>
      <c r="K6558" s="131"/>
    </row>
    <row r="6559" spans="7:11" x14ac:dyDescent="0.2">
      <c r="G6559" s="131"/>
      <c r="H6559" s="131"/>
      <c r="I6559" s="131"/>
      <c r="J6559" s="132"/>
      <c r="K6559" s="131"/>
    </row>
    <row r="6560" spans="7:11" x14ac:dyDescent="0.2">
      <c r="G6560" s="131"/>
      <c r="H6560" s="131"/>
      <c r="I6560" s="131"/>
      <c r="J6560" s="132"/>
      <c r="K6560" s="131"/>
    </row>
    <row r="6561" spans="7:11" x14ac:dyDescent="0.2">
      <c r="G6561" s="131"/>
      <c r="H6561" s="131"/>
      <c r="I6561" s="131"/>
      <c r="J6561" s="132"/>
      <c r="K6561" s="131"/>
    </row>
    <row r="6562" spans="7:11" x14ac:dyDescent="0.2">
      <c r="G6562" s="131"/>
      <c r="H6562" s="131"/>
      <c r="I6562" s="131"/>
      <c r="J6562" s="132"/>
      <c r="K6562" s="131"/>
    </row>
    <row r="6563" spans="7:11" x14ac:dyDescent="0.2">
      <c r="G6563" s="131"/>
      <c r="H6563" s="131"/>
      <c r="I6563" s="131"/>
      <c r="J6563" s="132"/>
      <c r="K6563" s="131"/>
    </row>
    <row r="6564" spans="7:11" x14ac:dyDescent="0.2">
      <c r="G6564" s="131"/>
      <c r="H6564" s="131"/>
      <c r="I6564" s="131"/>
      <c r="J6564" s="132"/>
      <c r="K6564" s="131"/>
    </row>
    <row r="6565" spans="7:11" x14ac:dyDescent="0.2">
      <c r="G6565" s="131"/>
      <c r="H6565" s="131"/>
      <c r="I6565" s="131"/>
      <c r="J6565" s="132"/>
      <c r="K6565" s="131"/>
    </row>
    <row r="6566" spans="7:11" x14ac:dyDescent="0.2">
      <c r="G6566" s="131"/>
      <c r="H6566" s="131"/>
      <c r="I6566" s="131"/>
      <c r="J6566" s="132"/>
      <c r="K6566" s="131"/>
    </row>
    <row r="6567" spans="7:11" x14ac:dyDescent="0.2">
      <c r="G6567" s="131"/>
      <c r="H6567" s="131"/>
      <c r="I6567" s="131"/>
      <c r="J6567" s="132"/>
      <c r="K6567" s="131"/>
    </row>
    <row r="6568" spans="7:11" x14ac:dyDescent="0.2">
      <c r="G6568" s="131"/>
      <c r="H6568" s="131"/>
      <c r="I6568" s="131"/>
      <c r="J6568" s="132"/>
      <c r="K6568" s="131"/>
    </row>
    <row r="6569" spans="7:11" x14ac:dyDescent="0.2">
      <c r="G6569" s="131"/>
      <c r="H6569" s="131"/>
      <c r="I6569" s="131"/>
      <c r="J6569" s="132"/>
      <c r="K6569" s="131"/>
    </row>
    <row r="6570" spans="7:11" x14ac:dyDescent="0.2">
      <c r="G6570" s="131"/>
      <c r="H6570" s="131"/>
      <c r="I6570" s="131"/>
      <c r="J6570" s="132"/>
      <c r="K6570" s="131"/>
    </row>
    <row r="6571" spans="7:11" x14ac:dyDescent="0.2">
      <c r="G6571" s="131"/>
      <c r="H6571" s="131"/>
      <c r="I6571" s="131"/>
      <c r="J6571" s="132"/>
      <c r="K6571" s="131"/>
    </row>
    <row r="6572" spans="7:11" x14ac:dyDescent="0.2">
      <c r="G6572" s="131"/>
      <c r="H6572" s="131"/>
      <c r="I6572" s="131"/>
      <c r="J6572" s="132"/>
      <c r="K6572" s="131"/>
    </row>
    <row r="6573" spans="7:11" x14ac:dyDescent="0.2">
      <c r="G6573" s="131"/>
      <c r="H6573" s="131"/>
      <c r="I6573" s="131"/>
      <c r="J6573" s="132"/>
      <c r="K6573" s="131"/>
    </row>
    <row r="6574" spans="7:11" x14ac:dyDescent="0.2">
      <c r="G6574" s="131"/>
      <c r="H6574" s="131"/>
      <c r="I6574" s="131"/>
      <c r="J6574" s="132"/>
      <c r="K6574" s="131"/>
    </row>
    <row r="6575" spans="7:11" x14ac:dyDescent="0.2">
      <c r="G6575" s="131"/>
      <c r="H6575" s="131"/>
      <c r="I6575" s="131"/>
      <c r="J6575" s="132"/>
      <c r="K6575" s="131"/>
    </row>
    <row r="6576" spans="7:11" x14ac:dyDescent="0.2">
      <c r="G6576" s="131"/>
      <c r="H6576" s="131"/>
      <c r="I6576" s="131"/>
      <c r="J6576" s="132"/>
      <c r="K6576" s="131"/>
    </row>
    <row r="6577" spans="7:11" x14ac:dyDescent="0.2">
      <c r="G6577" s="131"/>
      <c r="H6577" s="131"/>
      <c r="I6577" s="131"/>
      <c r="J6577" s="132"/>
      <c r="K6577" s="131"/>
    </row>
    <row r="6578" spans="7:11" x14ac:dyDescent="0.2">
      <c r="G6578" s="131"/>
      <c r="H6578" s="131"/>
      <c r="I6578" s="131"/>
      <c r="J6578" s="132"/>
      <c r="K6578" s="131"/>
    </row>
    <row r="6579" spans="7:11" x14ac:dyDescent="0.2">
      <c r="G6579" s="131"/>
      <c r="H6579" s="131"/>
      <c r="I6579" s="131"/>
      <c r="J6579" s="132"/>
      <c r="K6579" s="131"/>
    </row>
    <row r="6580" spans="7:11" x14ac:dyDescent="0.2">
      <c r="G6580" s="131"/>
      <c r="H6580" s="131"/>
      <c r="I6580" s="131"/>
      <c r="J6580" s="132"/>
      <c r="K6580" s="131"/>
    </row>
    <row r="6581" spans="7:11" x14ac:dyDescent="0.2">
      <c r="G6581" s="131"/>
      <c r="H6581" s="131"/>
      <c r="I6581" s="131"/>
      <c r="J6581" s="132"/>
      <c r="K6581" s="131"/>
    </row>
    <row r="6582" spans="7:11" x14ac:dyDescent="0.2">
      <c r="G6582" s="131"/>
      <c r="H6582" s="131"/>
      <c r="I6582" s="131"/>
      <c r="J6582" s="132"/>
      <c r="K6582" s="131"/>
    </row>
    <row r="6583" spans="7:11" x14ac:dyDescent="0.2">
      <c r="G6583" s="131"/>
      <c r="H6583" s="131"/>
      <c r="I6583" s="131"/>
      <c r="J6583" s="132"/>
      <c r="K6583" s="131"/>
    </row>
    <row r="6584" spans="7:11" x14ac:dyDescent="0.2">
      <c r="G6584" s="131"/>
      <c r="H6584" s="131"/>
      <c r="I6584" s="131"/>
      <c r="J6584" s="132"/>
      <c r="K6584" s="131"/>
    </row>
    <row r="6585" spans="7:11" x14ac:dyDescent="0.2">
      <c r="G6585" s="131"/>
      <c r="H6585" s="131"/>
      <c r="I6585" s="131"/>
      <c r="J6585" s="132"/>
      <c r="K6585" s="131"/>
    </row>
    <row r="6586" spans="7:11" x14ac:dyDescent="0.2">
      <c r="G6586" s="131"/>
      <c r="H6586" s="131"/>
      <c r="I6586" s="131"/>
      <c r="J6586" s="132"/>
      <c r="K6586" s="131"/>
    </row>
    <row r="6587" spans="7:11" x14ac:dyDescent="0.2">
      <c r="G6587" s="131"/>
      <c r="H6587" s="131"/>
      <c r="I6587" s="131"/>
      <c r="J6587" s="132"/>
      <c r="K6587" s="131"/>
    </row>
    <row r="6588" spans="7:11" x14ac:dyDescent="0.2">
      <c r="G6588" s="131"/>
      <c r="H6588" s="131"/>
      <c r="I6588" s="131"/>
      <c r="J6588" s="132"/>
      <c r="K6588" s="131"/>
    </row>
    <row r="6589" spans="7:11" x14ac:dyDescent="0.2">
      <c r="G6589" s="131"/>
      <c r="H6589" s="131"/>
      <c r="I6589" s="131"/>
      <c r="J6589" s="132"/>
      <c r="K6589" s="131"/>
    </row>
    <row r="6590" spans="7:11" x14ac:dyDescent="0.2">
      <c r="G6590" s="131"/>
      <c r="H6590" s="131"/>
      <c r="I6590" s="131"/>
      <c r="J6590" s="132"/>
      <c r="K6590" s="131"/>
    </row>
    <row r="6591" spans="7:11" x14ac:dyDescent="0.2">
      <c r="G6591" s="131"/>
      <c r="H6591" s="131"/>
      <c r="I6591" s="131"/>
      <c r="J6591" s="132"/>
      <c r="K6591" s="131"/>
    </row>
    <row r="6592" spans="7:11" x14ac:dyDescent="0.2">
      <c r="G6592" s="131"/>
      <c r="H6592" s="131"/>
      <c r="I6592" s="131"/>
      <c r="J6592" s="132"/>
      <c r="K6592" s="131"/>
    </row>
    <row r="6593" spans="7:11" x14ac:dyDescent="0.2">
      <c r="G6593" s="131"/>
      <c r="H6593" s="131"/>
      <c r="I6593" s="131"/>
      <c r="J6593" s="132"/>
      <c r="K6593" s="131"/>
    </row>
    <row r="6594" spans="7:11" x14ac:dyDescent="0.2">
      <c r="G6594" s="131"/>
      <c r="H6594" s="131"/>
      <c r="I6594" s="131"/>
      <c r="J6594" s="132"/>
      <c r="K6594" s="131"/>
    </row>
    <row r="6595" spans="7:11" x14ac:dyDescent="0.2">
      <c r="G6595" s="131"/>
      <c r="H6595" s="131"/>
      <c r="I6595" s="131"/>
      <c r="J6595" s="132"/>
      <c r="K6595" s="131"/>
    </row>
    <row r="6596" spans="7:11" x14ac:dyDescent="0.2">
      <c r="G6596" s="131"/>
      <c r="H6596" s="131"/>
      <c r="I6596" s="131"/>
      <c r="J6596" s="132"/>
      <c r="K6596" s="131"/>
    </row>
    <row r="6597" spans="7:11" x14ac:dyDescent="0.2">
      <c r="G6597" s="131"/>
      <c r="H6597" s="131"/>
      <c r="I6597" s="131"/>
      <c r="J6597" s="132"/>
      <c r="K6597" s="131"/>
    </row>
    <row r="6598" spans="7:11" x14ac:dyDescent="0.2">
      <c r="G6598" s="131"/>
      <c r="H6598" s="131"/>
      <c r="I6598" s="131"/>
      <c r="J6598" s="132"/>
      <c r="K6598" s="131"/>
    </row>
    <row r="6599" spans="7:11" x14ac:dyDescent="0.2">
      <c r="G6599" s="131"/>
      <c r="H6599" s="131"/>
      <c r="I6599" s="131"/>
      <c r="J6599" s="132"/>
      <c r="K6599" s="131"/>
    </row>
    <row r="6600" spans="7:11" x14ac:dyDescent="0.2">
      <c r="G6600" s="131"/>
      <c r="H6600" s="131"/>
      <c r="I6600" s="131"/>
      <c r="J6600" s="132"/>
      <c r="K6600" s="131"/>
    </row>
    <row r="6601" spans="7:11" x14ac:dyDescent="0.2">
      <c r="G6601" s="131"/>
      <c r="H6601" s="131"/>
      <c r="I6601" s="131"/>
      <c r="J6601" s="132"/>
      <c r="K6601" s="131"/>
    </row>
    <row r="6602" spans="7:11" x14ac:dyDescent="0.2">
      <c r="G6602" s="131"/>
      <c r="H6602" s="131"/>
      <c r="I6602" s="131"/>
      <c r="J6602" s="132"/>
      <c r="K6602" s="131"/>
    </row>
    <row r="6603" spans="7:11" x14ac:dyDescent="0.2">
      <c r="G6603" s="131"/>
      <c r="H6603" s="131"/>
      <c r="I6603" s="131"/>
      <c r="J6603" s="132"/>
      <c r="K6603" s="131"/>
    </row>
    <row r="6604" spans="7:11" x14ac:dyDescent="0.2">
      <c r="G6604" s="131"/>
      <c r="H6604" s="131"/>
      <c r="I6604" s="131"/>
      <c r="J6604" s="132"/>
      <c r="K6604" s="131"/>
    </row>
    <row r="6605" spans="7:11" x14ac:dyDescent="0.2">
      <c r="G6605" s="131"/>
      <c r="H6605" s="131"/>
      <c r="I6605" s="131"/>
      <c r="J6605" s="132"/>
      <c r="K6605" s="131"/>
    </row>
    <row r="6606" spans="7:11" x14ac:dyDescent="0.2">
      <c r="G6606" s="131"/>
      <c r="H6606" s="131"/>
      <c r="I6606" s="131"/>
      <c r="J6606" s="132"/>
      <c r="K6606" s="131"/>
    </row>
    <row r="6607" spans="7:11" x14ac:dyDescent="0.2">
      <c r="G6607" s="131"/>
      <c r="H6607" s="131"/>
      <c r="I6607" s="131"/>
      <c r="J6607" s="132"/>
      <c r="K6607" s="131"/>
    </row>
    <row r="6608" spans="7:11" x14ac:dyDescent="0.2">
      <c r="G6608" s="131"/>
      <c r="H6608" s="131"/>
      <c r="I6608" s="131"/>
      <c r="J6608" s="132"/>
      <c r="K6608" s="131"/>
    </row>
    <row r="6609" spans="7:11" x14ac:dyDescent="0.2">
      <c r="G6609" s="131"/>
      <c r="H6609" s="131"/>
      <c r="I6609" s="131"/>
      <c r="J6609" s="132"/>
      <c r="K6609" s="131"/>
    </row>
    <row r="6610" spans="7:11" x14ac:dyDescent="0.2">
      <c r="G6610" s="131"/>
      <c r="H6610" s="131"/>
      <c r="I6610" s="131"/>
      <c r="J6610" s="132"/>
      <c r="K6610" s="131"/>
    </row>
    <row r="6611" spans="7:11" x14ac:dyDescent="0.2">
      <c r="G6611" s="131"/>
      <c r="H6611" s="131"/>
      <c r="I6611" s="131"/>
      <c r="J6611" s="132"/>
      <c r="K6611" s="131"/>
    </row>
    <row r="6612" spans="7:11" x14ac:dyDescent="0.2">
      <c r="G6612" s="131"/>
      <c r="H6612" s="131"/>
      <c r="I6612" s="131"/>
      <c r="J6612" s="132"/>
      <c r="K6612" s="131"/>
    </row>
    <row r="6613" spans="7:11" x14ac:dyDescent="0.2">
      <c r="G6613" s="131"/>
      <c r="H6613" s="131"/>
      <c r="I6613" s="131"/>
      <c r="J6613" s="132"/>
      <c r="K6613" s="131"/>
    </row>
    <row r="6614" spans="7:11" x14ac:dyDescent="0.2">
      <c r="G6614" s="131"/>
      <c r="H6614" s="131"/>
      <c r="I6614" s="131"/>
      <c r="J6614" s="132"/>
      <c r="K6614" s="131"/>
    </row>
    <row r="6615" spans="7:11" x14ac:dyDescent="0.2">
      <c r="G6615" s="131"/>
      <c r="H6615" s="131"/>
      <c r="I6615" s="131"/>
      <c r="J6615" s="132"/>
      <c r="K6615" s="131"/>
    </row>
    <row r="6616" spans="7:11" x14ac:dyDescent="0.2">
      <c r="G6616" s="131"/>
      <c r="H6616" s="131"/>
      <c r="I6616" s="131"/>
      <c r="J6616" s="132"/>
      <c r="K6616" s="131"/>
    </row>
    <row r="6617" spans="7:11" x14ac:dyDescent="0.2">
      <c r="G6617" s="131"/>
      <c r="H6617" s="131"/>
      <c r="I6617" s="131"/>
      <c r="J6617" s="132"/>
      <c r="K6617" s="131"/>
    </row>
    <row r="6618" spans="7:11" x14ac:dyDescent="0.2">
      <c r="G6618" s="131"/>
      <c r="H6618" s="131"/>
      <c r="I6618" s="131"/>
      <c r="J6618" s="132"/>
      <c r="K6618" s="131"/>
    </row>
    <row r="6619" spans="7:11" x14ac:dyDescent="0.2">
      <c r="G6619" s="131"/>
      <c r="H6619" s="131"/>
      <c r="I6619" s="131"/>
      <c r="J6619" s="132"/>
      <c r="K6619" s="131"/>
    </row>
    <row r="6620" spans="7:11" x14ac:dyDescent="0.2">
      <c r="G6620" s="131"/>
      <c r="H6620" s="131"/>
      <c r="I6620" s="131"/>
      <c r="J6620" s="132"/>
      <c r="K6620" s="131"/>
    </row>
    <row r="6621" spans="7:11" x14ac:dyDescent="0.2">
      <c r="G6621" s="131"/>
      <c r="H6621" s="131"/>
      <c r="I6621" s="131"/>
      <c r="J6621" s="132"/>
      <c r="K6621" s="131"/>
    </row>
    <row r="6622" spans="7:11" x14ac:dyDescent="0.2">
      <c r="G6622" s="131"/>
      <c r="H6622" s="131"/>
      <c r="I6622" s="131"/>
      <c r="J6622" s="132"/>
      <c r="K6622" s="131"/>
    </row>
    <row r="6623" spans="7:11" x14ac:dyDescent="0.2">
      <c r="G6623" s="131"/>
      <c r="H6623" s="131"/>
      <c r="I6623" s="131"/>
      <c r="J6623" s="132"/>
      <c r="K6623" s="131"/>
    </row>
    <row r="6624" spans="7:11" x14ac:dyDescent="0.2">
      <c r="G6624" s="131"/>
      <c r="H6624" s="131"/>
      <c r="I6624" s="131"/>
      <c r="J6624" s="132"/>
      <c r="K6624" s="131"/>
    </row>
    <row r="6625" spans="7:11" x14ac:dyDescent="0.2">
      <c r="G6625" s="131"/>
      <c r="H6625" s="131"/>
      <c r="I6625" s="131"/>
      <c r="J6625" s="132"/>
      <c r="K6625" s="131"/>
    </row>
    <row r="6626" spans="7:11" x14ac:dyDescent="0.2">
      <c r="G6626" s="131"/>
      <c r="H6626" s="131"/>
      <c r="I6626" s="131"/>
      <c r="J6626" s="132"/>
      <c r="K6626" s="131"/>
    </row>
    <row r="6627" spans="7:11" x14ac:dyDescent="0.2">
      <c r="G6627" s="131"/>
      <c r="H6627" s="131"/>
      <c r="I6627" s="131"/>
      <c r="J6627" s="132"/>
      <c r="K6627" s="131"/>
    </row>
    <row r="6628" spans="7:11" x14ac:dyDescent="0.2">
      <c r="G6628" s="131"/>
      <c r="H6628" s="131"/>
      <c r="I6628" s="131"/>
      <c r="J6628" s="132"/>
      <c r="K6628" s="131"/>
    </row>
    <row r="6629" spans="7:11" x14ac:dyDescent="0.2">
      <c r="G6629" s="131"/>
      <c r="H6629" s="131"/>
      <c r="I6629" s="131"/>
      <c r="J6629" s="132"/>
      <c r="K6629" s="131"/>
    </row>
    <row r="6630" spans="7:11" x14ac:dyDescent="0.2">
      <c r="G6630" s="131"/>
      <c r="H6630" s="131"/>
      <c r="I6630" s="131"/>
      <c r="J6630" s="132"/>
      <c r="K6630" s="131"/>
    </row>
    <row r="6631" spans="7:11" x14ac:dyDescent="0.2">
      <c r="G6631" s="131"/>
      <c r="H6631" s="131"/>
      <c r="I6631" s="131"/>
      <c r="J6631" s="132"/>
      <c r="K6631" s="131"/>
    </row>
    <row r="6632" spans="7:11" x14ac:dyDescent="0.2">
      <c r="G6632" s="131"/>
      <c r="H6632" s="131"/>
      <c r="I6632" s="131"/>
      <c r="J6632" s="132"/>
      <c r="K6632" s="131"/>
    </row>
    <row r="6633" spans="7:11" x14ac:dyDescent="0.2">
      <c r="G6633" s="131"/>
      <c r="H6633" s="131"/>
      <c r="I6633" s="131"/>
      <c r="J6633" s="132"/>
      <c r="K6633" s="131"/>
    </row>
    <row r="6634" spans="7:11" x14ac:dyDescent="0.2">
      <c r="G6634" s="131"/>
      <c r="H6634" s="131"/>
      <c r="I6634" s="131"/>
      <c r="J6634" s="132"/>
      <c r="K6634" s="131"/>
    </row>
    <row r="6635" spans="7:11" x14ac:dyDescent="0.2">
      <c r="G6635" s="131"/>
      <c r="H6635" s="131"/>
      <c r="I6635" s="131"/>
      <c r="J6635" s="132"/>
      <c r="K6635" s="131"/>
    </row>
    <row r="6636" spans="7:11" x14ac:dyDescent="0.2">
      <c r="G6636" s="131"/>
      <c r="H6636" s="131"/>
      <c r="I6636" s="131"/>
      <c r="J6636" s="132"/>
      <c r="K6636" s="131"/>
    </row>
    <row r="6637" spans="7:11" x14ac:dyDescent="0.2">
      <c r="G6637" s="131"/>
      <c r="H6637" s="131"/>
      <c r="I6637" s="131"/>
      <c r="J6637" s="132"/>
      <c r="K6637" s="131"/>
    </row>
    <row r="6638" spans="7:11" x14ac:dyDescent="0.2">
      <c r="G6638" s="131"/>
      <c r="H6638" s="131"/>
      <c r="I6638" s="131"/>
      <c r="J6638" s="132"/>
      <c r="K6638" s="131"/>
    </row>
    <row r="6639" spans="7:11" x14ac:dyDescent="0.2">
      <c r="G6639" s="131"/>
      <c r="H6639" s="131"/>
      <c r="I6639" s="131"/>
      <c r="J6639" s="132"/>
      <c r="K6639" s="131"/>
    </row>
    <row r="6640" spans="7:11" x14ac:dyDescent="0.2">
      <c r="G6640" s="131"/>
      <c r="H6640" s="131"/>
      <c r="I6640" s="131"/>
      <c r="J6640" s="132"/>
      <c r="K6640" s="131"/>
    </row>
    <row r="6641" spans="7:11" x14ac:dyDescent="0.2">
      <c r="G6641" s="131"/>
      <c r="H6641" s="131"/>
      <c r="I6641" s="131"/>
      <c r="J6641" s="132"/>
      <c r="K6641" s="131"/>
    </row>
    <row r="6642" spans="7:11" x14ac:dyDescent="0.2">
      <c r="G6642" s="131"/>
      <c r="H6642" s="131"/>
      <c r="I6642" s="131"/>
      <c r="J6642" s="132"/>
      <c r="K6642" s="131"/>
    </row>
    <row r="6643" spans="7:11" x14ac:dyDescent="0.2">
      <c r="G6643" s="131"/>
      <c r="H6643" s="131"/>
      <c r="I6643" s="131"/>
      <c r="J6643" s="132"/>
      <c r="K6643" s="131"/>
    </row>
    <row r="6644" spans="7:11" x14ac:dyDescent="0.2">
      <c r="G6644" s="131"/>
      <c r="H6644" s="131"/>
      <c r="I6644" s="131"/>
      <c r="J6644" s="132"/>
      <c r="K6644" s="131"/>
    </row>
    <row r="6645" spans="7:11" x14ac:dyDescent="0.2">
      <c r="G6645" s="131"/>
      <c r="H6645" s="131"/>
      <c r="I6645" s="131"/>
      <c r="J6645" s="132"/>
      <c r="K6645" s="131"/>
    </row>
    <row r="6646" spans="7:11" x14ac:dyDescent="0.2">
      <c r="G6646" s="131"/>
      <c r="H6646" s="131"/>
      <c r="I6646" s="131"/>
      <c r="J6646" s="132"/>
      <c r="K6646" s="131"/>
    </row>
    <row r="6647" spans="7:11" x14ac:dyDescent="0.2">
      <c r="G6647" s="131"/>
      <c r="H6647" s="131"/>
      <c r="I6647" s="131"/>
      <c r="J6647" s="132"/>
      <c r="K6647" s="131"/>
    </row>
    <row r="6648" spans="7:11" x14ac:dyDescent="0.2">
      <c r="G6648" s="131"/>
      <c r="H6648" s="131"/>
      <c r="I6648" s="131"/>
      <c r="J6648" s="132"/>
      <c r="K6648" s="131"/>
    </row>
    <row r="6649" spans="7:11" x14ac:dyDescent="0.2">
      <c r="G6649" s="131"/>
      <c r="H6649" s="131"/>
      <c r="I6649" s="131"/>
      <c r="J6649" s="132"/>
      <c r="K6649" s="131"/>
    </row>
    <row r="6650" spans="7:11" x14ac:dyDescent="0.2">
      <c r="G6650" s="131"/>
      <c r="H6650" s="131"/>
      <c r="I6650" s="131"/>
      <c r="J6650" s="132"/>
      <c r="K6650" s="131"/>
    </row>
    <row r="6651" spans="7:11" x14ac:dyDescent="0.2">
      <c r="G6651" s="131"/>
      <c r="H6651" s="131"/>
      <c r="I6651" s="131"/>
      <c r="J6651" s="132"/>
      <c r="K6651" s="131"/>
    </row>
    <row r="6652" spans="7:11" x14ac:dyDescent="0.2">
      <c r="G6652" s="131"/>
      <c r="H6652" s="131"/>
      <c r="I6652" s="131"/>
      <c r="J6652" s="132"/>
      <c r="K6652" s="131"/>
    </row>
    <row r="6653" spans="7:11" x14ac:dyDescent="0.2">
      <c r="G6653" s="131"/>
      <c r="H6653" s="131"/>
      <c r="I6653" s="131"/>
      <c r="J6653" s="132"/>
      <c r="K6653" s="131"/>
    </row>
    <row r="6654" spans="7:11" x14ac:dyDescent="0.2">
      <c r="G6654" s="131"/>
      <c r="H6654" s="131"/>
      <c r="I6654" s="131"/>
      <c r="J6654" s="132"/>
      <c r="K6654" s="131"/>
    </row>
    <row r="6655" spans="7:11" x14ac:dyDescent="0.2">
      <c r="G6655" s="131"/>
      <c r="H6655" s="131"/>
      <c r="I6655" s="131"/>
      <c r="J6655" s="132"/>
      <c r="K6655" s="131"/>
    </row>
    <row r="6656" spans="7:11" x14ac:dyDescent="0.2">
      <c r="G6656" s="131"/>
      <c r="H6656" s="131"/>
      <c r="I6656" s="131"/>
      <c r="J6656" s="132"/>
      <c r="K6656" s="131"/>
    </row>
    <row r="6657" spans="7:11" x14ac:dyDescent="0.2">
      <c r="G6657" s="131"/>
      <c r="H6657" s="131"/>
      <c r="I6657" s="131"/>
      <c r="J6657" s="132"/>
      <c r="K6657" s="131"/>
    </row>
    <row r="6658" spans="7:11" x14ac:dyDescent="0.2">
      <c r="G6658" s="131"/>
      <c r="H6658" s="131"/>
      <c r="I6658" s="131"/>
      <c r="J6658" s="132"/>
      <c r="K6658" s="131"/>
    </row>
    <row r="6659" spans="7:11" x14ac:dyDescent="0.2">
      <c r="G6659" s="131"/>
      <c r="H6659" s="131"/>
      <c r="I6659" s="131"/>
      <c r="J6659" s="132"/>
      <c r="K6659" s="131"/>
    </row>
    <row r="6660" spans="7:11" x14ac:dyDescent="0.2">
      <c r="G6660" s="131"/>
      <c r="H6660" s="131"/>
      <c r="I6660" s="131"/>
      <c r="J6660" s="132"/>
      <c r="K6660" s="131"/>
    </row>
    <row r="6661" spans="7:11" x14ac:dyDescent="0.2">
      <c r="G6661" s="131"/>
      <c r="H6661" s="131"/>
      <c r="I6661" s="131"/>
      <c r="J6661" s="132"/>
      <c r="K6661" s="131"/>
    </row>
    <row r="6662" spans="7:11" x14ac:dyDescent="0.2">
      <c r="G6662" s="131"/>
      <c r="H6662" s="131"/>
      <c r="I6662" s="131"/>
      <c r="J6662" s="132"/>
      <c r="K6662" s="131"/>
    </row>
    <row r="6663" spans="7:11" x14ac:dyDescent="0.2">
      <c r="G6663" s="131"/>
      <c r="H6663" s="131"/>
      <c r="I6663" s="131"/>
      <c r="J6663" s="132"/>
      <c r="K6663" s="131"/>
    </row>
    <row r="6664" spans="7:11" x14ac:dyDescent="0.2">
      <c r="G6664" s="131"/>
      <c r="H6664" s="131"/>
      <c r="I6664" s="131"/>
      <c r="J6664" s="132"/>
      <c r="K6664" s="131"/>
    </row>
    <row r="6665" spans="7:11" x14ac:dyDescent="0.2">
      <c r="G6665" s="131"/>
      <c r="H6665" s="131"/>
      <c r="I6665" s="131"/>
      <c r="J6665" s="132"/>
      <c r="K6665" s="131"/>
    </row>
    <row r="6666" spans="7:11" x14ac:dyDescent="0.2">
      <c r="G6666" s="131"/>
      <c r="H6666" s="131"/>
      <c r="I6666" s="131"/>
      <c r="J6666" s="132"/>
      <c r="K6666" s="131"/>
    </row>
    <row r="6667" spans="7:11" x14ac:dyDescent="0.2">
      <c r="G6667" s="131"/>
      <c r="H6667" s="131"/>
      <c r="I6667" s="131"/>
      <c r="J6667" s="132"/>
      <c r="K6667" s="131"/>
    </row>
    <row r="6668" spans="7:11" x14ac:dyDescent="0.2">
      <c r="G6668" s="131"/>
      <c r="H6668" s="131"/>
      <c r="I6668" s="131"/>
      <c r="J6668" s="132"/>
      <c r="K6668" s="131"/>
    </row>
    <row r="6669" spans="7:11" x14ac:dyDescent="0.2">
      <c r="G6669" s="131"/>
      <c r="H6669" s="131"/>
      <c r="I6669" s="131"/>
      <c r="J6669" s="132"/>
      <c r="K6669" s="131"/>
    </row>
    <row r="6670" spans="7:11" x14ac:dyDescent="0.2">
      <c r="G6670" s="131"/>
      <c r="H6670" s="131"/>
      <c r="I6670" s="131"/>
      <c r="J6670" s="132"/>
      <c r="K6670" s="131"/>
    </row>
    <row r="6671" spans="7:11" x14ac:dyDescent="0.2">
      <c r="G6671" s="131"/>
      <c r="H6671" s="131"/>
      <c r="I6671" s="131"/>
      <c r="J6671" s="132"/>
      <c r="K6671" s="131"/>
    </row>
    <row r="6672" spans="7:11" x14ac:dyDescent="0.2">
      <c r="G6672" s="131"/>
      <c r="H6672" s="131"/>
      <c r="I6672" s="131"/>
      <c r="J6672" s="132"/>
      <c r="K6672" s="131"/>
    </row>
    <row r="6673" spans="7:11" x14ac:dyDescent="0.2">
      <c r="G6673" s="131"/>
      <c r="H6673" s="131"/>
      <c r="I6673" s="131"/>
      <c r="J6673" s="132"/>
      <c r="K6673" s="131"/>
    </row>
    <row r="6674" spans="7:11" x14ac:dyDescent="0.2">
      <c r="G6674" s="131"/>
      <c r="H6674" s="131"/>
      <c r="I6674" s="131"/>
      <c r="J6674" s="132"/>
      <c r="K6674" s="131"/>
    </row>
    <row r="6675" spans="7:11" x14ac:dyDescent="0.2">
      <c r="G6675" s="131"/>
      <c r="H6675" s="131"/>
      <c r="I6675" s="131"/>
      <c r="J6675" s="132"/>
      <c r="K6675" s="131"/>
    </row>
    <row r="6676" spans="7:11" x14ac:dyDescent="0.2">
      <c r="G6676" s="131"/>
      <c r="H6676" s="131"/>
      <c r="I6676" s="131"/>
      <c r="J6676" s="132"/>
      <c r="K6676" s="131"/>
    </row>
    <row r="6677" spans="7:11" x14ac:dyDescent="0.2">
      <c r="G6677" s="131"/>
      <c r="H6677" s="131"/>
      <c r="I6677" s="131"/>
      <c r="J6677" s="132"/>
      <c r="K6677" s="131"/>
    </row>
    <row r="6678" spans="7:11" x14ac:dyDescent="0.2">
      <c r="G6678" s="131"/>
      <c r="H6678" s="131"/>
      <c r="I6678" s="131"/>
      <c r="J6678" s="132"/>
      <c r="K6678" s="131"/>
    </row>
    <row r="6679" spans="7:11" x14ac:dyDescent="0.2">
      <c r="G6679" s="131"/>
      <c r="H6679" s="131"/>
      <c r="I6679" s="131"/>
      <c r="J6679" s="132"/>
      <c r="K6679" s="131"/>
    </row>
    <row r="6680" spans="7:11" x14ac:dyDescent="0.2">
      <c r="G6680" s="131"/>
      <c r="H6680" s="131"/>
      <c r="I6680" s="131"/>
      <c r="J6680" s="132"/>
      <c r="K6680" s="131"/>
    </row>
    <row r="6681" spans="7:11" x14ac:dyDescent="0.2">
      <c r="G6681" s="131"/>
      <c r="H6681" s="131"/>
      <c r="I6681" s="131"/>
      <c r="J6681" s="132"/>
      <c r="K6681" s="131"/>
    </row>
    <row r="6682" spans="7:11" x14ac:dyDescent="0.2">
      <c r="G6682" s="131"/>
      <c r="H6682" s="131"/>
      <c r="I6682" s="131"/>
      <c r="J6682" s="132"/>
      <c r="K6682" s="131"/>
    </row>
    <row r="6683" spans="7:11" x14ac:dyDescent="0.2">
      <c r="G6683" s="131"/>
      <c r="H6683" s="131"/>
      <c r="I6683" s="131"/>
      <c r="J6683" s="132"/>
      <c r="K6683" s="131"/>
    </row>
    <row r="6684" spans="7:11" x14ac:dyDescent="0.2">
      <c r="G6684" s="131"/>
      <c r="H6684" s="131"/>
      <c r="I6684" s="131"/>
      <c r="J6684" s="132"/>
      <c r="K6684" s="131"/>
    </row>
    <row r="6685" spans="7:11" x14ac:dyDescent="0.2">
      <c r="G6685" s="131"/>
      <c r="H6685" s="131"/>
      <c r="I6685" s="131"/>
      <c r="J6685" s="132"/>
      <c r="K6685" s="131"/>
    </row>
    <row r="6686" spans="7:11" x14ac:dyDescent="0.2">
      <c r="G6686" s="131"/>
      <c r="H6686" s="131"/>
      <c r="I6686" s="131"/>
      <c r="J6686" s="132"/>
      <c r="K6686" s="131"/>
    </row>
    <row r="6687" spans="7:11" x14ac:dyDescent="0.2">
      <c r="G6687" s="131"/>
      <c r="H6687" s="131"/>
      <c r="I6687" s="131"/>
      <c r="J6687" s="132"/>
      <c r="K6687" s="131"/>
    </row>
    <row r="6688" spans="7:11" x14ac:dyDescent="0.2">
      <c r="G6688" s="131"/>
      <c r="H6688" s="131"/>
      <c r="I6688" s="131"/>
      <c r="J6688" s="132"/>
      <c r="K6688" s="131"/>
    </row>
    <row r="6689" spans="7:11" x14ac:dyDescent="0.2">
      <c r="G6689" s="131"/>
      <c r="H6689" s="131"/>
      <c r="I6689" s="131"/>
      <c r="J6689" s="132"/>
      <c r="K6689" s="131"/>
    </row>
    <row r="6690" spans="7:11" x14ac:dyDescent="0.2">
      <c r="G6690" s="131"/>
      <c r="H6690" s="131"/>
      <c r="I6690" s="131"/>
      <c r="J6690" s="132"/>
      <c r="K6690" s="131"/>
    </row>
    <row r="6691" spans="7:11" x14ac:dyDescent="0.2">
      <c r="G6691" s="131"/>
      <c r="H6691" s="131"/>
      <c r="I6691" s="131"/>
      <c r="J6691" s="132"/>
      <c r="K6691" s="131"/>
    </row>
    <row r="6692" spans="7:11" x14ac:dyDescent="0.2">
      <c r="G6692" s="131"/>
      <c r="H6692" s="131"/>
      <c r="I6692" s="131"/>
      <c r="J6692" s="132"/>
      <c r="K6692" s="131"/>
    </row>
    <row r="6693" spans="7:11" x14ac:dyDescent="0.2">
      <c r="G6693" s="131"/>
      <c r="H6693" s="131"/>
      <c r="I6693" s="131"/>
      <c r="J6693" s="132"/>
      <c r="K6693" s="131"/>
    </row>
    <row r="6694" spans="7:11" x14ac:dyDescent="0.2">
      <c r="G6694" s="131"/>
      <c r="H6694" s="131"/>
      <c r="I6694" s="131"/>
      <c r="J6694" s="132"/>
      <c r="K6694" s="131"/>
    </row>
    <row r="6695" spans="7:11" x14ac:dyDescent="0.2">
      <c r="G6695" s="131"/>
      <c r="H6695" s="131"/>
      <c r="I6695" s="131"/>
      <c r="J6695" s="132"/>
      <c r="K6695" s="131"/>
    </row>
    <row r="6696" spans="7:11" x14ac:dyDescent="0.2">
      <c r="G6696" s="131"/>
      <c r="H6696" s="131"/>
      <c r="I6696" s="131"/>
      <c r="J6696" s="132"/>
      <c r="K6696" s="131"/>
    </row>
    <row r="6697" spans="7:11" x14ac:dyDescent="0.2">
      <c r="G6697" s="131"/>
      <c r="H6697" s="131"/>
      <c r="I6697" s="131"/>
      <c r="J6697" s="132"/>
      <c r="K6697" s="131"/>
    </row>
    <row r="6698" spans="7:11" x14ac:dyDescent="0.2">
      <c r="G6698" s="131"/>
      <c r="H6698" s="131"/>
      <c r="I6698" s="131"/>
      <c r="J6698" s="132"/>
      <c r="K6698" s="131"/>
    </row>
    <row r="6699" spans="7:11" x14ac:dyDescent="0.2">
      <c r="G6699" s="131"/>
      <c r="H6699" s="131"/>
      <c r="I6699" s="131"/>
      <c r="J6699" s="132"/>
      <c r="K6699" s="131"/>
    </row>
    <row r="6700" spans="7:11" x14ac:dyDescent="0.2">
      <c r="G6700" s="131"/>
      <c r="H6700" s="131"/>
      <c r="I6700" s="131"/>
      <c r="J6700" s="132"/>
      <c r="K6700" s="131"/>
    </row>
    <row r="6701" spans="7:11" x14ac:dyDescent="0.2">
      <c r="G6701" s="131"/>
      <c r="H6701" s="131"/>
      <c r="I6701" s="131"/>
      <c r="J6701" s="132"/>
      <c r="K6701" s="131"/>
    </row>
    <row r="6702" spans="7:11" x14ac:dyDescent="0.2">
      <c r="G6702" s="131"/>
      <c r="H6702" s="131"/>
      <c r="I6702" s="131"/>
      <c r="J6702" s="132"/>
      <c r="K6702" s="131"/>
    </row>
    <row r="6703" spans="7:11" x14ac:dyDescent="0.2">
      <c r="G6703" s="131"/>
      <c r="H6703" s="131"/>
      <c r="I6703" s="131"/>
      <c r="J6703" s="132"/>
      <c r="K6703" s="131"/>
    </row>
    <row r="6704" spans="7:11" x14ac:dyDescent="0.2">
      <c r="G6704" s="131"/>
      <c r="H6704" s="131"/>
      <c r="I6704" s="131"/>
      <c r="J6704" s="132"/>
      <c r="K6704" s="131"/>
    </row>
    <row r="6705" spans="7:11" x14ac:dyDescent="0.2">
      <c r="G6705" s="131"/>
      <c r="H6705" s="131"/>
      <c r="I6705" s="131"/>
      <c r="J6705" s="132"/>
      <c r="K6705" s="131"/>
    </row>
    <row r="6706" spans="7:11" x14ac:dyDescent="0.2">
      <c r="G6706" s="131"/>
      <c r="H6706" s="131"/>
      <c r="I6706" s="131"/>
      <c r="J6706" s="132"/>
      <c r="K6706" s="131"/>
    </row>
    <row r="6707" spans="7:11" x14ac:dyDescent="0.2">
      <c r="G6707" s="131"/>
      <c r="H6707" s="131"/>
      <c r="I6707" s="131"/>
      <c r="J6707" s="132"/>
      <c r="K6707" s="131"/>
    </row>
    <row r="6708" spans="7:11" x14ac:dyDescent="0.2">
      <c r="G6708" s="131"/>
      <c r="H6708" s="131"/>
      <c r="I6708" s="131"/>
      <c r="J6708" s="132"/>
      <c r="K6708" s="131"/>
    </row>
    <row r="6709" spans="7:11" x14ac:dyDescent="0.2">
      <c r="G6709" s="131"/>
      <c r="H6709" s="131"/>
      <c r="I6709" s="131"/>
      <c r="J6709" s="132"/>
      <c r="K6709" s="131"/>
    </row>
    <row r="6710" spans="7:11" x14ac:dyDescent="0.2">
      <c r="G6710" s="131"/>
      <c r="H6710" s="131"/>
      <c r="I6710" s="131"/>
      <c r="J6710" s="132"/>
      <c r="K6710" s="131"/>
    </row>
    <row r="6711" spans="7:11" x14ac:dyDescent="0.2">
      <c r="G6711" s="131"/>
      <c r="H6711" s="131"/>
      <c r="I6711" s="131"/>
      <c r="J6711" s="132"/>
      <c r="K6711" s="131"/>
    </row>
    <row r="6712" spans="7:11" x14ac:dyDescent="0.2">
      <c r="G6712" s="131"/>
      <c r="H6712" s="131"/>
      <c r="I6712" s="131"/>
      <c r="J6712" s="132"/>
      <c r="K6712" s="131"/>
    </row>
    <row r="6713" spans="7:11" x14ac:dyDescent="0.2">
      <c r="G6713" s="131"/>
      <c r="H6713" s="131"/>
      <c r="I6713" s="131"/>
      <c r="J6713" s="132"/>
      <c r="K6713" s="131"/>
    </row>
    <row r="6714" spans="7:11" x14ac:dyDescent="0.2">
      <c r="G6714" s="131"/>
      <c r="H6714" s="131"/>
      <c r="I6714" s="131"/>
      <c r="J6714" s="132"/>
      <c r="K6714" s="131"/>
    </row>
    <row r="6715" spans="7:11" x14ac:dyDescent="0.2">
      <c r="G6715" s="131"/>
      <c r="H6715" s="131"/>
      <c r="I6715" s="131"/>
      <c r="J6715" s="132"/>
      <c r="K6715" s="131"/>
    </row>
    <row r="6716" spans="7:11" x14ac:dyDescent="0.2">
      <c r="G6716" s="131"/>
      <c r="H6716" s="131"/>
      <c r="I6716" s="131"/>
      <c r="J6716" s="132"/>
      <c r="K6716" s="131"/>
    </row>
    <row r="6717" spans="7:11" x14ac:dyDescent="0.2">
      <c r="G6717" s="131"/>
      <c r="H6717" s="131"/>
      <c r="I6717" s="131"/>
      <c r="J6717" s="132"/>
      <c r="K6717" s="131"/>
    </row>
    <row r="6718" spans="7:11" x14ac:dyDescent="0.2">
      <c r="G6718" s="131"/>
      <c r="H6718" s="131"/>
      <c r="I6718" s="131"/>
      <c r="J6718" s="132"/>
      <c r="K6718" s="131"/>
    </row>
    <row r="6719" spans="7:11" x14ac:dyDescent="0.2">
      <c r="G6719" s="131"/>
      <c r="H6719" s="131"/>
      <c r="I6719" s="131"/>
      <c r="J6719" s="132"/>
      <c r="K6719" s="131"/>
    </row>
    <row r="6720" spans="7:11" x14ac:dyDescent="0.2">
      <c r="G6720" s="131"/>
      <c r="H6720" s="131"/>
      <c r="I6720" s="131"/>
      <c r="J6720" s="132"/>
      <c r="K6720" s="131"/>
    </row>
    <row r="6721" spans="7:11" x14ac:dyDescent="0.2">
      <c r="G6721" s="131"/>
      <c r="H6721" s="131"/>
      <c r="I6721" s="131"/>
      <c r="J6721" s="132"/>
      <c r="K6721" s="131"/>
    </row>
    <row r="6722" spans="7:11" x14ac:dyDescent="0.2">
      <c r="G6722" s="131"/>
      <c r="H6722" s="131"/>
      <c r="I6722" s="131"/>
      <c r="J6722" s="132"/>
      <c r="K6722" s="131"/>
    </row>
    <row r="6723" spans="7:11" x14ac:dyDescent="0.2">
      <c r="G6723" s="131"/>
      <c r="H6723" s="131"/>
      <c r="I6723" s="131"/>
      <c r="J6723" s="132"/>
      <c r="K6723" s="131"/>
    </row>
    <row r="6724" spans="7:11" x14ac:dyDescent="0.2">
      <c r="G6724" s="131"/>
      <c r="H6724" s="131"/>
      <c r="I6724" s="131"/>
      <c r="J6724" s="132"/>
      <c r="K6724" s="131"/>
    </row>
    <row r="6725" spans="7:11" x14ac:dyDescent="0.2">
      <c r="G6725" s="131"/>
      <c r="H6725" s="131"/>
      <c r="I6725" s="131"/>
      <c r="J6725" s="132"/>
      <c r="K6725" s="131"/>
    </row>
    <row r="6726" spans="7:11" x14ac:dyDescent="0.2">
      <c r="G6726" s="131"/>
      <c r="H6726" s="131"/>
      <c r="I6726" s="131"/>
      <c r="J6726" s="132"/>
      <c r="K6726" s="131"/>
    </row>
    <row r="6727" spans="7:11" x14ac:dyDescent="0.2">
      <c r="G6727" s="131"/>
      <c r="H6727" s="131"/>
      <c r="I6727" s="131"/>
      <c r="J6727" s="132"/>
      <c r="K6727" s="131"/>
    </row>
    <row r="6728" spans="7:11" x14ac:dyDescent="0.2">
      <c r="G6728" s="131"/>
      <c r="H6728" s="131"/>
      <c r="I6728" s="131"/>
      <c r="J6728" s="132"/>
      <c r="K6728" s="131"/>
    </row>
    <row r="6729" spans="7:11" x14ac:dyDescent="0.2">
      <c r="G6729" s="131"/>
      <c r="H6729" s="131"/>
      <c r="I6729" s="131"/>
      <c r="J6729" s="132"/>
      <c r="K6729" s="131"/>
    </row>
    <row r="6730" spans="7:11" x14ac:dyDescent="0.2">
      <c r="G6730" s="131"/>
      <c r="H6730" s="131"/>
      <c r="I6730" s="131"/>
      <c r="J6730" s="132"/>
      <c r="K6730" s="131"/>
    </row>
    <row r="6731" spans="7:11" x14ac:dyDescent="0.2">
      <c r="G6731" s="131"/>
      <c r="H6731" s="131"/>
      <c r="I6731" s="131"/>
      <c r="J6731" s="132"/>
      <c r="K6731" s="131"/>
    </row>
    <row r="6732" spans="7:11" x14ac:dyDescent="0.2">
      <c r="G6732" s="131"/>
      <c r="H6732" s="131"/>
      <c r="I6732" s="131"/>
      <c r="J6732" s="132"/>
      <c r="K6732" s="131"/>
    </row>
    <row r="6733" spans="7:11" x14ac:dyDescent="0.2">
      <c r="G6733" s="131"/>
      <c r="H6733" s="131"/>
      <c r="I6733" s="131"/>
      <c r="J6733" s="132"/>
      <c r="K6733" s="131"/>
    </row>
    <row r="6734" spans="7:11" x14ac:dyDescent="0.2">
      <c r="G6734" s="131"/>
      <c r="H6734" s="131"/>
      <c r="I6734" s="131"/>
      <c r="J6734" s="132"/>
      <c r="K6734" s="131"/>
    </row>
    <row r="6735" spans="7:11" x14ac:dyDescent="0.2">
      <c r="G6735" s="131"/>
      <c r="H6735" s="131"/>
      <c r="I6735" s="131"/>
      <c r="J6735" s="132"/>
      <c r="K6735" s="131"/>
    </row>
    <row r="6736" spans="7:11" x14ac:dyDescent="0.2">
      <c r="G6736" s="131"/>
      <c r="H6736" s="131"/>
      <c r="I6736" s="131"/>
      <c r="J6736" s="132"/>
      <c r="K6736" s="131"/>
    </row>
    <row r="6737" spans="7:11" x14ac:dyDescent="0.2">
      <c r="G6737" s="131"/>
      <c r="H6737" s="131"/>
      <c r="I6737" s="131"/>
      <c r="J6737" s="132"/>
      <c r="K6737" s="131"/>
    </row>
    <row r="6738" spans="7:11" x14ac:dyDescent="0.2">
      <c r="G6738" s="131"/>
      <c r="H6738" s="131"/>
      <c r="I6738" s="131"/>
      <c r="J6738" s="132"/>
      <c r="K6738" s="131"/>
    </row>
    <row r="6739" spans="7:11" x14ac:dyDescent="0.2">
      <c r="G6739" s="131"/>
      <c r="H6739" s="131"/>
      <c r="I6739" s="131"/>
      <c r="J6739" s="132"/>
      <c r="K6739" s="131"/>
    </row>
    <row r="6740" spans="7:11" x14ac:dyDescent="0.2">
      <c r="G6740" s="131"/>
      <c r="H6740" s="131"/>
      <c r="I6740" s="131"/>
      <c r="J6740" s="132"/>
      <c r="K6740" s="131"/>
    </row>
    <row r="6741" spans="7:11" x14ac:dyDescent="0.2">
      <c r="G6741" s="131"/>
      <c r="H6741" s="131"/>
      <c r="I6741" s="131"/>
      <c r="J6741" s="132"/>
      <c r="K6741" s="131"/>
    </row>
    <row r="6742" spans="7:11" x14ac:dyDescent="0.2">
      <c r="G6742" s="131"/>
      <c r="H6742" s="131"/>
      <c r="I6742" s="131"/>
      <c r="J6742" s="132"/>
      <c r="K6742" s="131"/>
    </row>
    <row r="6743" spans="7:11" x14ac:dyDescent="0.2">
      <c r="G6743" s="131"/>
      <c r="H6743" s="131"/>
      <c r="I6743" s="131"/>
      <c r="J6743" s="132"/>
      <c r="K6743" s="131"/>
    </row>
    <row r="6744" spans="7:11" x14ac:dyDescent="0.2">
      <c r="G6744" s="131"/>
      <c r="H6744" s="131"/>
      <c r="I6744" s="131"/>
      <c r="J6744" s="132"/>
      <c r="K6744" s="131"/>
    </row>
    <row r="6745" spans="7:11" x14ac:dyDescent="0.2">
      <c r="G6745" s="131"/>
      <c r="H6745" s="131"/>
      <c r="I6745" s="131"/>
      <c r="J6745" s="132"/>
      <c r="K6745" s="131"/>
    </row>
    <row r="6746" spans="7:11" x14ac:dyDescent="0.2">
      <c r="G6746" s="131"/>
      <c r="H6746" s="131"/>
      <c r="I6746" s="131"/>
      <c r="J6746" s="132"/>
      <c r="K6746" s="131"/>
    </row>
    <row r="6747" spans="7:11" x14ac:dyDescent="0.2">
      <c r="G6747" s="131"/>
      <c r="H6747" s="131"/>
      <c r="I6747" s="131"/>
      <c r="J6747" s="132"/>
      <c r="K6747" s="131"/>
    </row>
    <row r="6748" spans="7:11" x14ac:dyDescent="0.2">
      <c r="G6748" s="131"/>
      <c r="H6748" s="131"/>
      <c r="I6748" s="131"/>
      <c r="J6748" s="132"/>
      <c r="K6748" s="131"/>
    </row>
    <row r="6749" spans="7:11" x14ac:dyDescent="0.2">
      <c r="G6749" s="131"/>
      <c r="H6749" s="131"/>
      <c r="I6749" s="131"/>
      <c r="J6749" s="132"/>
      <c r="K6749" s="131"/>
    </row>
    <row r="6750" spans="7:11" x14ac:dyDescent="0.2">
      <c r="G6750" s="131"/>
      <c r="H6750" s="131"/>
      <c r="I6750" s="131"/>
      <c r="J6750" s="132"/>
      <c r="K6750" s="131"/>
    </row>
    <row r="6751" spans="7:11" x14ac:dyDescent="0.2">
      <c r="G6751" s="131"/>
      <c r="H6751" s="131"/>
      <c r="I6751" s="131"/>
      <c r="J6751" s="132"/>
      <c r="K6751" s="131"/>
    </row>
    <row r="6752" spans="7:11" x14ac:dyDescent="0.2">
      <c r="G6752" s="131"/>
      <c r="H6752" s="131"/>
      <c r="I6752" s="131"/>
      <c r="J6752" s="132"/>
      <c r="K6752" s="131"/>
    </row>
    <row r="6753" spans="7:11" x14ac:dyDescent="0.2">
      <c r="G6753" s="131"/>
      <c r="H6753" s="131"/>
      <c r="I6753" s="131"/>
      <c r="J6753" s="132"/>
      <c r="K6753" s="131"/>
    </row>
    <row r="6754" spans="7:11" x14ac:dyDescent="0.2">
      <c r="G6754" s="131"/>
      <c r="H6754" s="131"/>
      <c r="I6754" s="131"/>
      <c r="J6754" s="132"/>
      <c r="K6754" s="131"/>
    </row>
    <row r="6755" spans="7:11" x14ac:dyDescent="0.2">
      <c r="G6755" s="131"/>
      <c r="H6755" s="131"/>
      <c r="I6755" s="131"/>
      <c r="J6755" s="132"/>
      <c r="K6755" s="131"/>
    </row>
    <row r="6756" spans="7:11" x14ac:dyDescent="0.2">
      <c r="G6756" s="131"/>
      <c r="H6756" s="131"/>
      <c r="I6756" s="131"/>
      <c r="J6756" s="132"/>
      <c r="K6756" s="131"/>
    </row>
    <row r="6757" spans="7:11" x14ac:dyDescent="0.2">
      <c r="G6757" s="131"/>
      <c r="H6757" s="131"/>
      <c r="I6757" s="131"/>
      <c r="J6757" s="132"/>
      <c r="K6757" s="131"/>
    </row>
    <row r="6758" spans="7:11" x14ac:dyDescent="0.2">
      <c r="G6758" s="131"/>
      <c r="H6758" s="131"/>
      <c r="I6758" s="131"/>
      <c r="J6758" s="132"/>
      <c r="K6758" s="131"/>
    </row>
    <row r="6759" spans="7:11" x14ac:dyDescent="0.2">
      <c r="G6759" s="131"/>
      <c r="H6759" s="131"/>
      <c r="I6759" s="131"/>
      <c r="J6759" s="132"/>
      <c r="K6759" s="131"/>
    </row>
    <row r="6760" spans="7:11" x14ac:dyDescent="0.2">
      <c r="G6760" s="131"/>
      <c r="H6760" s="131"/>
      <c r="I6760" s="131"/>
      <c r="J6760" s="132"/>
      <c r="K6760" s="131"/>
    </row>
    <row r="6761" spans="7:11" x14ac:dyDescent="0.2">
      <c r="G6761" s="131"/>
      <c r="H6761" s="131"/>
      <c r="I6761" s="131"/>
      <c r="J6761" s="132"/>
      <c r="K6761" s="131"/>
    </row>
    <row r="6762" spans="7:11" x14ac:dyDescent="0.2">
      <c r="G6762" s="131"/>
      <c r="H6762" s="131"/>
      <c r="I6762" s="131"/>
      <c r="J6762" s="132"/>
      <c r="K6762" s="131"/>
    </row>
    <row r="6763" spans="7:11" x14ac:dyDescent="0.2">
      <c r="G6763" s="131"/>
      <c r="H6763" s="131"/>
      <c r="I6763" s="131"/>
      <c r="J6763" s="132"/>
      <c r="K6763" s="131"/>
    </row>
    <row r="6764" spans="7:11" x14ac:dyDescent="0.2">
      <c r="G6764" s="131"/>
      <c r="H6764" s="131"/>
      <c r="I6764" s="131"/>
      <c r="J6764" s="132"/>
      <c r="K6764" s="131"/>
    </row>
    <row r="6765" spans="7:11" x14ac:dyDescent="0.2">
      <c r="G6765" s="131"/>
      <c r="H6765" s="131"/>
      <c r="I6765" s="131"/>
      <c r="J6765" s="132"/>
      <c r="K6765" s="131"/>
    </row>
    <row r="6766" spans="7:11" x14ac:dyDescent="0.2">
      <c r="G6766" s="131"/>
      <c r="H6766" s="131"/>
      <c r="I6766" s="131"/>
      <c r="J6766" s="132"/>
      <c r="K6766" s="131"/>
    </row>
    <row r="6767" spans="7:11" x14ac:dyDescent="0.2">
      <c r="G6767" s="131"/>
      <c r="H6767" s="131"/>
      <c r="I6767" s="131"/>
      <c r="J6767" s="132"/>
      <c r="K6767" s="131"/>
    </row>
    <row r="6768" spans="7:11" x14ac:dyDescent="0.2">
      <c r="G6768" s="131"/>
      <c r="H6768" s="131"/>
      <c r="I6768" s="131"/>
      <c r="J6768" s="132"/>
      <c r="K6768" s="131"/>
    </row>
    <row r="6769" spans="7:11" x14ac:dyDescent="0.2">
      <c r="G6769" s="131"/>
      <c r="H6769" s="131"/>
      <c r="I6769" s="131"/>
      <c r="J6769" s="132"/>
      <c r="K6769" s="131"/>
    </row>
    <row r="6770" spans="7:11" x14ac:dyDescent="0.2">
      <c r="G6770" s="131"/>
      <c r="H6770" s="131"/>
      <c r="I6770" s="131"/>
      <c r="J6770" s="132"/>
      <c r="K6770" s="131"/>
    </row>
    <row r="6771" spans="7:11" x14ac:dyDescent="0.2">
      <c r="G6771" s="131"/>
      <c r="H6771" s="131"/>
      <c r="I6771" s="131"/>
      <c r="J6771" s="132"/>
      <c r="K6771" s="131"/>
    </row>
    <row r="6772" spans="7:11" x14ac:dyDescent="0.2">
      <c r="G6772" s="131"/>
      <c r="H6772" s="131"/>
      <c r="I6772" s="131"/>
      <c r="J6772" s="132"/>
      <c r="K6772" s="131"/>
    </row>
    <row r="6773" spans="7:11" x14ac:dyDescent="0.2">
      <c r="G6773" s="131"/>
      <c r="H6773" s="131"/>
      <c r="I6773" s="131"/>
      <c r="J6773" s="132"/>
      <c r="K6773" s="131"/>
    </row>
    <row r="6774" spans="7:11" x14ac:dyDescent="0.2">
      <c r="G6774" s="131"/>
      <c r="H6774" s="131"/>
      <c r="I6774" s="131"/>
      <c r="J6774" s="132"/>
      <c r="K6774" s="131"/>
    </row>
    <row r="6775" spans="7:11" x14ac:dyDescent="0.2">
      <c r="G6775" s="131"/>
      <c r="H6775" s="131"/>
      <c r="I6775" s="131"/>
      <c r="J6775" s="132"/>
      <c r="K6775" s="131"/>
    </row>
    <row r="6776" spans="7:11" x14ac:dyDescent="0.2">
      <c r="G6776" s="131"/>
      <c r="H6776" s="131"/>
      <c r="I6776" s="131"/>
      <c r="J6776" s="132"/>
      <c r="K6776" s="131"/>
    </row>
    <row r="6777" spans="7:11" x14ac:dyDescent="0.2">
      <c r="G6777" s="131"/>
      <c r="H6777" s="131"/>
      <c r="I6777" s="131"/>
      <c r="J6777" s="132"/>
      <c r="K6777" s="131"/>
    </row>
    <row r="6778" spans="7:11" x14ac:dyDescent="0.2">
      <c r="G6778" s="131"/>
      <c r="H6778" s="131"/>
      <c r="I6778" s="131"/>
      <c r="J6778" s="132"/>
      <c r="K6778" s="131"/>
    </row>
    <row r="6779" spans="7:11" x14ac:dyDescent="0.2">
      <c r="G6779" s="131"/>
      <c r="H6779" s="131"/>
      <c r="I6779" s="131"/>
      <c r="J6779" s="132"/>
      <c r="K6779" s="131"/>
    </row>
    <row r="6780" spans="7:11" x14ac:dyDescent="0.2">
      <c r="G6780" s="131"/>
      <c r="H6780" s="131"/>
      <c r="I6780" s="131"/>
      <c r="J6780" s="132"/>
      <c r="K6780" s="131"/>
    </row>
    <row r="6781" spans="7:11" x14ac:dyDescent="0.2">
      <c r="G6781" s="131"/>
      <c r="H6781" s="131"/>
      <c r="I6781" s="131"/>
      <c r="J6781" s="132"/>
      <c r="K6781" s="131"/>
    </row>
    <row r="6782" spans="7:11" x14ac:dyDescent="0.2">
      <c r="G6782" s="131"/>
      <c r="H6782" s="131"/>
      <c r="I6782" s="131"/>
      <c r="J6782" s="132"/>
      <c r="K6782" s="131"/>
    </row>
    <row r="6783" spans="7:11" x14ac:dyDescent="0.2">
      <c r="G6783" s="131"/>
      <c r="H6783" s="131"/>
      <c r="I6783" s="131"/>
      <c r="J6783" s="132"/>
      <c r="K6783" s="131"/>
    </row>
    <row r="6784" spans="7:11" x14ac:dyDescent="0.2">
      <c r="G6784" s="131"/>
      <c r="H6784" s="131"/>
      <c r="I6784" s="131"/>
      <c r="J6784" s="132"/>
      <c r="K6784" s="131"/>
    </row>
    <row r="6785" spans="7:11" x14ac:dyDescent="0.2">
      <c r="G6785" s="131"/>
      <c r="H6785" s="131"/>
      <c r="I6785" s="131"/>
      <c r="J6785" s="132"/>
      <c r="K6785" s="131"/>
    </row>
    <row r="6786" spans="7:11" x14ac:dyDescent="0.2">
      <c r="G6786" s="131"/>
      <c r="H6786" s="131"/>
      <c r="I6786" s="131"/>
      <c r="J6786" s="132"/>
      <c r="K6786" s="131"/>
    </row>
    <row r="6787" spans="7:11" x14ac:dyDescent="0.2">
      <c r="G6787" s="131"/>
      <c r="H6787" s="131"/>
      <c r="I6787" s="131"/>
      <c r="J6787" s="132"/>
      <c r="K6787" s="131"/>
    </row>
    <row r="6788" spans="7:11" x14ac:dyDescent="0.2">
      <c r="G6788" s="131"/>
      <c r="H6788" s="131"/>
      <c r="I6788" s="131"/>
      <c r="J6788" s="132"/>
      <c r="K6788" s="131"/>
    </row>
    <row r="6789" spans="7:11" x14ac:dyDescent="0.2">
      <c r="G6789" s="131"/>
      <c r="H6789" s="131"/>
      <c r="I6789" s="131"/>
      <c r="J6789" s="132"/>
      <c r="K6789" s="131"/>
    </row>
    <row r="6790" spans="7:11" x14ac:dyDescent="0.2">
      <c r="G6790" s="131"/>
      <c r="H6790" s="131"/>
      <c r="I6790" s="131"/>
      <c r="J6790" s="132"/>
      <c r="K6790" s="131"/>
    </row>
    <row r="6791" spans="7:11" x14ac:dyDescent="0.2">
      <c r="G6791" s="131"/>
      <c r="H6791" s="131"/>
      <c r="I6791" s="131"/>
      <c r="J6791" s="132"/>
      <c r="K6791" s="131"/>
    </row>
    <row r="6792" spans="7:11" x14ac:dyDescent="0.2">
      <c r="G6792" s="131"/>
      <c r="H6792" s="131"/>
      <c r="I6792" s="131"/>
      <c r="J6792" s="132"/>
      <c r="K6792" s="131"/>
    </row>
    <row r="6793" spans="7:11" x14ac:dyDescent="0.2">
      <c r="G6793" s="131"/>
      <c r="H6793" s="131"/>
      <c r="I6793" s="131"/>
      <c r="J6793" s="132"/>
      <c r="K6793" s="131"/>
    </row>
    <row r="6794" spans="7:11" x14ac:dyDescent="0.2">
      <c r="G6794" s="131"/>
      <c r="H6794" s="131"/>
      <c r="I6794" s="131"/>
      <c r="J6794" s="132"/>
      <c r="K6794" s="131"/>
    </row>
    <row r="6795" spans="7:11" x14ac:dyDescent="0.2">
      <c r="G6795" s="131"/>
      <c r="H6795" s="131"/>
      <c r="I6795" s="131"/>
      <c r="J6795" s="132"/>
      <c r="K6795" s="131"/>
    </row>
    <row r="6796" spans="7:11" x14ac:dyDescent="0.2">
      <c r="G6796" s="131"/>
      <c r="H6796" s="131"/>
      <c r="I6796" s="131"/>
      <c r="J6796" s="132"/>
      <c r="K6796" s="131"/>
    </row>
    <row r="6797" spans="7:11" x14ac:dyDescent="0.2">
      <c r="G6797" s="131"/>
      <c r="H6797" s="131"/>
      <c r="I6797" s="131"/>
      <c r="J6797" s="132"/>
      <c r="K6797" s="131"/>
    </row>
    <row r="6798" spans="7:11" x14ac:dyDescent="0.2">
      <c r="G6798" s="131"/>
      <c r="H6798" s="131"/>
      <c r="I6798" s="131"/>
      <c r="J6798" s="132"/>
      <c r="K6798" s="131"/>
    </row>
    <row r="6799" spans="7:11" x14ac:dyDescent="0.2">
      <c r="G6799" s="131"/>
      <c r="H6799" s="131"/>
      <c r="I6799" s="131"/>
      <c r="J6799" s="132"/>
      <c r="K6799" s="131"/>
    </row>
    <row r="6800" spans="7:11" x14ac:dyDescent="0.2">
      <c r="G6800" s="131"/>
      <c r="H6800" s="131"/>
      <c r="I6800" s="131"/>
      <c r="J6800" s="132"/>
      <c r="K6800" s="131"/>
    </row>
    <row r="6801" spans="7:11" x14ac:dyDescent="0.2">
      <c r="G6801" s="131"/>
      <c r="H6801" s="131"/>
      <c r="I6801" s="131"/>
      <c r="J6801" s="132"/>
      <c r="K6801" s="131"/>
    </row>
    <row r="6802" spans="7:11" x14ac:dyDescent="0.2">
      <c r="G6802" s="131"/>
      <c r="H6802" s="131"/>
      <c r="I6802" s="131"/>
      <c r="J6802" s="132"/>
      <c r="K6802" s="131"/>
    </row>
    <row r="6803" spans="7:11" x14ac:dyDescent="0.2">
      <c r="G6803" s="131"/>
      <c r="H6803" s="131"/>
      <c r="I6803" s="131"/>
      <c r="J6803" s="132"/>
      <c r="K6803" s="131"/>
    </row>
    <row r="6804" spans="7:11" x14ac:dyDescent="0.2">
      <c r="G6804" s="131"/>
      <c r="H6804" s="131"/>
      <c r="I6804" s="131"/>
      <c r="J6804" s="132"/>
      <c r="K6804" s="131"/>
    </row>
    <row r="6805" spans="7:11" x14ac:dyDescent="0.2">
      <c r="G6805" s="131"/>
      <c r="H6805" s="131"/>
      <c r="I6805" s="131"/>
      <c r="J6805" s="132"/>
      <c r="K6805" s="131"/>
    </row>
    <row r="6806" spans="7:11" x14ac:dyDescent="0.2">
      <c r="G6806" s="131"/>
      <c r="H6806" s="131"/>
      <c r="I6806" s="131"/>
      <c r="J6806" s="132"/>
      <c r="K6806" s="131"/>
    </row>
    <row r="6807" spans="7:11" x14ac:dyDescent="0.2">
      <c r="G6807" s="131"/>
      <c r="H6807" s="131"/>
      <c r="I6807" s="131"/>
      <c r="J6807" s="132"/>
      <c r="K6807" s="131"/>
    </row>
    <row r="6808" spans="7:11" x14ac:dyDescent="0.2">
      <c r="G6808" s="131"/>
      <c r="H6808" s="131"/>
      <c r="I6808" s="131"/>
      <c r="J6808" s="132"/>
      <c r="K6808" s="131"/>
    </row>
    <row r="6809" spans="7:11" x14ac:dyDescent="0.2">
      <c r="G6809" s="131"/>
      <c r="H6809" s="131"/>
      <c r="I6809" s="131"/>
      <c r="J6809" s="132"/>
      <c r="K6809" s="131"/>
    </row>
    <row r="6810" spans="7:11" x14ac:dyDescent="0.2">
      <c r="G6810" s="131"/>
      <c r="H6810" s="131"/>
      <c r="I6810" s="131"/>
      <c r="J6810" s="132"/>
      <c r="K6810" s="131"/>
    </row>
    <row r="6811" spans="7:11" x14ac:dyDescent="0.2">
      <c r="G6811" s="131"/>
      <c r="H6811" s="131"/>
      <c r="I6811" s="131"/>
      <c r="J6811" s="132"/>
      <c r="K6811" s="131"/>
    </row>
    <row r="6812" spans="7:11" x14ac:dyDescent="0.2">
      <c r="G6812" s="131"/>
      <c r="H6812" s="131"/>
      <c r="I6812" s="131"/>
      <c r="J6812" s="132"/>
      <c r="K6812" s="131"/>
    </row>
    <row r="6813" spans="7:11" x14ac:dyDescent="0.2">
      <c r="G6813" s="131"/>
      <c r="H6813" s="131"/>
      <c r="I6813" s="131"/>
      <c r="J6813" s="132"/>
      <c r="K6813" s="131"/>
    </row>
    <row r="6814" spans="7:11" x14ac:dyDescent="0.2">
      <c r="G6814" s="131"/>
      <c r="H6814" s="131"/>
      <c r="I6814" s="131"/>
      <c r="J6814" s="132"/>
      <c r="K6814" s="131"/>
    </row>
    <row r="6815" spans="7:11" x14ac:dyDescent="0.2">
      <c r="G6815" s="131"/>
      <c r="H6815" s="131"/>
      <c r="I6815" s="131"/>
      <c r="J6815" s="132"/>
      <c r="K6815" s="131"/>
    </row>
    <row r="6816" spans="7:11" x14ac:dyDescent="0.2">
      <c r="G6816" s="131"/>
      <c r="H6816" s="131"/>
      <c r="I6816" s="131"/>
      <c r="J6816" s="132"/>
      <c r="K6816" s="131"/>
    </row>
    <row r="6817" spans="7:11" x14ac:dyDescent="0.2">
      <c r="G6817" s="131"/>
      <c r="H6817" s="131"/>
      <c r="I6817" s="131"/>
      <c r="J6817" s="132"/>
      <c r="K6817" s="131"/>
    </row>
    <row r="6818" spans="7:11" x14ac:dyDescent="0.2">
      <c r="G6818" s="131"/>
      <c r="H6818" s="131"/>
      <c r="I6818" s="131"/>
      <c r="J6818" s="132"/>
      <c r="K6818" s="131"/>
    </row>
    <row r="6819" spans="7:11" x14ac:dyDescent="0.2">
      <c r="G6819" s="131"/>
      <c r="H6819" s="131"/>
      <c r="I6819" s="131"/>
      <c r="J6819" s="132"/>
      <c r="K6819" s="131"/>
    </row>
    <row r="6820" spans="7:11" x14ac:dyDescent="0.2">
      <c r="G6820" s="131"/>
      <c r="H6820" s="131"/>
      <c r="I6820" s="131"/>
      <c r="J6820" s="132"/>
      <c r="K6820" s="131"/>
    </row>
    <row r="6821" spans="7:11" x14ac:dyDescent="0.2">
      <c r="G6821" s="131"/>
      <c r="H6821" s="131"/>
      <c r="I6821" s="131"/>
      <c r="J6821" s="132"/>
      <c r="K6821" s="131"/>
    </row>
    <row r="6822" spans="7:11" x14ac:dyDescent="0.2">
      <c r="G6822" s="131"/>
      <c r="H6822" s="131"/>
      <c r="I6822" s="131"/>
      <c r="J6822" s="132"/>
      <c r="K6822" s="131"/>
    </row>
    <row r="6823" spans="7:11" x14ac:dyDescent="0.2">
      <c r="G6823" s="131"/>
      <c r="H6823" s="131"/>
      <c r="I6823" s="131"/>
      <c r="J6823" s="132"/>
      <c r="K6823" s="131"/>
    </row>
    <row r="6824" spans="7:11" x14ac:dyDescent="0.2">
      <c r="G6824" s="131"/>
      <c r="H6824" s="131"/>
      <c r="I6824" s="131"/>
      <c r="J6824" s="132"/>
      <c r="K6824" s="131"/>
    </row>
    <row r="6825" spans="7:11" x14ac:dyDescent="0.2">
      <c r="G6825" s="131"/>
      <c r="H6825" s="131"/>
      <c r="I6825" s="131"/>
      <c r="J6825" s="132"/>
      <c r="K6825" s="131"/>
    </row>
    <row r="6826" spans="7:11" x14ac:dyDescent="0.2">
      <c r="G6826" s="131"/>
      <c r="H6826" s="131"/>
      <c r="I6826" s="131"/>
      <c r="J6826" s="132"/>
      <c r="K6826" s="131"/>
    </row>
    <row r="6827" spans="7:11" x14ac:dyDescent="0.2">
      <c r="G6827" s="131"/>
      <c r="H6827" s="131"/>
      <c r="I6827" s="131"/>
      <c r="J6827" s="132"/>
      <c r="K6827" s="131"/>
    </row>
    <row r="6828" spans="7:11" x14ac:dyDescent="0.2">
      <c r="G6828" s="131"/>
      <c r="H6828" s="131"/>
      <c r="I6828" s="131"/>
      <c r="J6828" s="132"/>
      <c r="K6828" s="131"/>
    </row>
    <row r="6829" spans="7:11" x14ac:dyDescent="0.2">
      <c r="G6829" s="131"/>
      <c r="H6829" s="131"/>
      <c r="I6829" s="131"/>
      <c r="J6829" s="132"/>
      <c r="K6829" s="131"/>
    </row>
    <row r="6830" spans="7:11" x14ac:dyDescent="0.2">
      <c r="G6830" s="131"/>
      <c r="H6830" s="131"/>
      <c r="I6830" s="131"/>
      <c r="J6830" s="132"/>
      <c r="K6830" s="131"/>
    </row>
    <row r="6831" spans="7:11" x14ac:dyDescent="0.2">
      <c r="G6831" s="131"/>
      <c r="H6831" s="131"/>
      <c r="I6831" s="131"/>
      <c r="J6831" s="132"/>
      <c r="K6831" s="131"/>
    </row>
    <row r="6832" spans="7:11" x14ac:dyDescent="0.2">
      <c r="G6832" s="131"/>
      <c r="H6832" s="131"/>
      <c r="I6832" s="131"/>
      <c r="J6832" s="132"/>
      <c r="K6832" s="131"/>
    </row>
    <row r="6833" spans="7:11" x14ac:dyDescent="0.2">
      <c r="G6833" s="131"/>
      <c r="H6833" s="131"/>
      <c r="I6833" s="131"/>
      <c r="J6833" s="132"/>
      <c r="K6833" s="131"/>
    </row>
    <row r="6834" spans="7:11" x14ac:dyDescent="0.2">
      <c r="G6834" s="131"/>
      <c r="H6834" s="131"/>
      <c r="I6834" s="131"/>
      <c r="J6834" s="132"/>
      <c r="K6834" s="131"/>
    </row>
    <row r="6835" spans="7:11" x14ac:dyDescent="0.2">
      <c r="G6835" s="131"/>
      <c r="H6835" s="131"/>
      <c r="I6835" s="131"/>
      <c r="J6835" s="132"/>
      <c r="K6835" s="131"/>
    </row>
    <row r="6836" spans="7:11" x14ac:dyDescent="0.2">
      <c r="G6836" s="131"/>
      <c r="H6836" s="131"/>
      <c r="I6836" s="131"/>
      <c r="J6836" s="132"/>
      <c r="K6836" s="131"/>
    </row>
    <row r="6837" spans="7:11" x14ac:dyDescent="0.2">
      <c r="G6837" s="131"/>
      <c r="H6837" s="131"/>
      <c r="I6837" s="131"/>
      <c r="J6837" s="132"/>
      <c r="K6837" s="131"/>
    </row>
    <row r="6838" spans="7:11" x14ac:dyDescent="0.2">
      <c r="G6838" s="131"/>
      <c r="H6838" s="131"/>
      <c r="I6838" s="131"/>
      <c r="J6838" s="132"/>
      <c r="K6838" s="131"/>
    </row>
    <row r="6839" spans="7:11" x14ac:dyDescent="0.2">
      <c r="G6839" s="131"/>
      <c r="H6839" s="131"/>
      <c r="I6839" s="131"/>
      <c r="J6839" s="132"/>
      <c r="K6839" s="131"/>
    </row>
    <row r="6840" spans="7:11" x14ac:dyDescent="0.2">
      <c r="G6840" s="131"/>
      <c r="H6840" s="131"/>
      <c r="I6840" s="131"/>
      <c r="J6840" s="132"/>
      <c r="K6840" s="131"/>
    </row>
    <row r="6841" spans="7:11" x14ac:dyDescent="0.2">
      <c r="G6841" s="131"/>
      <c r="H6841" s="131"/>
      <c r="I6841" s="131"/>
      <c r="J6841" s="132"/>
      <c r="K6841" s="131"/>
    </row>
    <row r="6842" spans="7:11" x14ac:dyDescent="0.2">
      <c r="G6842" s="131"/>
      <c r="H6842" s="131"/>
      <c r="I6842" s="131"/>
      <c r="J6842" s="132"/>
      <c r="K6842" s="131"/>
    </row>
    <row r="6843" spans="7:11" x14ac:dyDescent="0.2">
      <c r="G6843" s="131"/>
      <c r="H6843" s="131"/>
      <c r="I6843" s="131"/>
      <c r="J6843" s="132"/>
      <c r="K6843" s="131"/>
    </row>
    <row r="6844" spans="7:11" x14ac:dyDescent="0.2">
      <c r="G6844" s="131"/>
      <c r="H6844" s="131"/>
      <c r="I6844" s="131"/>
      <c r="J6844" s="132"/>
      <c r="K6844" s="131"/>
    </row>
    <row r="6845" spans="7:11" x14ac:dyDescent="0.2">
      <c r="G6845" s="131"/>
      <c r="H6845" s="131"/>
      <c r="I6845" s="131"/>
      <c r="J6845" s="132"/>
      <c r="K6845" s="131"/>
    </row>
    <row r="6846" spans="7:11" x14ac:dyDescent="0.2">
      <c r="G6846" s="131"/>
      <c r="H6846" s="131"/>
      <c r="I6846" s="131"/>
      <c r="J6846" s="132"/>
      <c r="K6846" s="131"/>
    </row>
    <row r="6847" spans="7:11" x14ac:dyDescent="0.2">
      <c r="G6847" s="131"/>
      <c r="H6847" s="131"/>
      <c r="I6847" s="131"/>
      <c r="J6847" s="132"/>
      <c r="K6847" s="131"/>
    </row>
    <row r="6848" spans="7:11" x14ac:dyDescent="0.2">
      <c r="G6848" s="131"/>
      <c r="H6848" s="131"/>
      <c r="I6848" s="131"/>
      <c r="J6848" s="132"/>
      <c r="K6848" s="131"/>
    </row>
    <row r="6849" spans="7:11" x14ac:dyDescent="0.2">
      <c r="G6849" s="131"/>
      <c r="H6849" s="131"/>
      <c r="I6849" s="131"/>
      <c r="J6849" s="132"/>
      <c r="K6849" s="131"/>
    </row>
    <row r="6850" spans="7:11" x14ac:dyDescent="0.2">
      <c r="G6850" s="131"/>
      <c r="H6850" s="131"/>
      <c r="I6850" s="131"/>
      <c r="J6850" s="132"/>
      <c r="K6850" s="131"/>
    </row>
    <row r="6851" spans="7:11" x14ac:dyDescent="0.2">
      <c r="G6851" s="131"/>
      <c r="H6851" s="131"/>
      <c r="I6851" s="131"/>
      <c r="J6851" s="132"/>
      <c r="K6851" s="131"/>
    </row>
    <row r="6852" spans="7:11" x14ac:dyDescent="0.2">
      <c r="G6852" s="131"/>
      <c r="H6852" s="131"/>
      <c r="I6852" s="131"/>
      <c r="J6852" s="132"/>
      <c r="K6852" s="131"/>
    </row>
    <row r="6853" spans="7:11" x14ac:dyDescent="0.2">
      <c r="G6853" s="131"/>
      <c r="H6853" s="131"/>
      <c r="I6853" s="131"/>
      <c r="J6853" s="132"/>
      <c r="K6853" s="131"/>
    </row>
    <row r="6854" spans="7:11" x14ac:dyDescent="0.2">
      <c r="G6854" s="131"/>
      <c r="H6854" s="131"/>
      <c r="I6854" s="131"/>
      <c r="J6854" s="132"/>
      <c r="K6854" s="131"/>
    </row>
    <row r="6855" spans="7:11" x14ac:dyDescent="0.2">
      <c r="G6855" s="131"/>
      <c r="H6855" s="131"/>
      <c r="I6855" s="131"/>
      <c r="J6855" s="132"/>
      <c r="K6855" s="131"/>
    </row>
    <row r="6856" spans="7:11" x14ac:dyDescent="0.2">
      <c r="G6856" s="131"/>
      <c r="H6856" s="131"/>
      <c r="I6856" s="131"/>
      <c r="J6856" s="132"/>
      <c r="K6856" s="131"/>
    </row>
    <row r="6857" spans="7:11" x14ac:dyDescent="0.2">
      <c r="G6857" s="131"/>
      <c r="H6857" s="131"/>
      <c r="I6857" s="131"/>
      <c r="J6857" s="132"/>
      <c r="K6857" s="131"/>
    </row>
    <row r="6858" spans="7:11" x14ac:dyDescent="0.2">
      <c r="G6858" s="131"/>
      <c r="H6858" s="131"/>
      <c r="I6858" s="131"/>
      <c r="J6858" s="132"/>
      <c r="K6858" s="131"/>
    </row>
    <row r="6859" spans="7:11" x14ac:dyDescent="0.2">
      <c r="G6859" s="131"/>
      <c r="H6859" s="131"/>
      <c r="I6859" s="131"/>
      <c r="J6859" s="132"/>
      <c r="K6859" s="131"/>
    </row>
    <row r="6860" spans="7:11" x14ac:dyDescent="0.2">
      <c r="G6860" s="131"/>
      <c r="H6860" s="131"/>
      <c r="I6860" s="131"/>
      <c r="J6860" s="132"/>
      <c r="K6860" s="131"/>
    </row>
    <row r="6861" spans="7:11" x14ac:dyDescent="0.2">
      <c r="G6861" s="131"/>
      <c r="H6861" s="131"/>
      <c r="I6861" s="131"/>
      <c r="J6861" s="132"/>
      <c r="K6861" s="131"/>
    </row>
    <row r="6862" spans="7:11" x14ac:dyDescent="0.2">
      <c r="G6862" s="131"/>
      <c r="H6862" s="131"/>
      <c r="I6862" s="131"/>
      <c r="J6862" s="132"/>
      <c r="K6862" s="131"/>
    </row>
    <row r="6863" spans="7:11" x14ac:dyDescent="0.2">
      <c r="G6863" s="131"/>
      <c r="H6863" s="131"/>
      <c r="I6863" s="131"/>
      <c r="J6863" s="132"/>
      <c r="K6863" s="131"/>
    </row>
    <row r="6864" spans="7:11" x14ac:dyDescent="0.2">
      <c r="G6864" s="131"/>
      <c r="H6864" s="131"/>
      <c r="I6864" s="131"/>
      <c r="J6864" s="132"/>
      <c r="K6864" s="131"/>
    </row>
    <row r="6865" spans="7:11" x14ac:dyDescent="0.2">
      <c r="G6865" s="131"/>
      <c r="H6865" s="131"/>
      <c r="I6865" s="131"/>
      <c r="J6865" s="132"/>
      <c r="K6865" s="131"/>
    </row>
    <row r="6866" spans="7:11" x14ac:dyDescent="0.2">
      <c r="G6866" s="131"/>
      <c r="H6866" s="131"/>
      <c r="I6866" s="131"/>
      <c r="J6866" s="132"/>
      <c r="K6866" s="131"/>
    </row>
    <row r="6867" spans="7:11" x14ac:dyDescent="0.2">
      <c r="G6867" s="131"/>
      <c r="H6867" s="131"/>
      <c r="I6867" s="131"/>
      <c r="J6867" s="132"/>
      <c r="K6867" s="131"/>
    </row>
    <row r="6868" spans="7:11" x14ac:dyDescent="0.2">
      <c r="G6868" s="131"/>
      <c r="H6868" s="131"/>
      <c r="I6868" s="131"/>
      <c r="J6868" s="132"/>
      <c r="K6868" s="131"/>
    </row>
    <row r="6869" spans="7:11" x14ac:dyDescent="0.2">
      <c r="G6869" s="131"/>
      <c r="H6869" s="131"/>
      <c r="I6869" s="131"/>
      <c r="J6869" s="132"/>
      <c r="K6869" s="131"/>
    </row>
    <row r="6870" spans="7:11" x14ac:dyDescent="0.2">
      <c r="G6870" s="131"/>
      <c r="H6870" s="131"/>
      <c r="I6870" s="131"/>
      <c r="J6870" s="132"/>
      <c r="K6870" s="131"/>
    </row>
    <row r="6871" spans="7:11" x14ac:dyDescent="0.2">
      <c r="G6871" s="131"/>
      <c r="H6871" s="131"/>
      <c r="I6871" s="131"/>
      <c r="J6871" s="132"/>
      <c r="K6871" s="131"/>
    </row>
    <row r="6872" spans="7:11" x14ac:dyDescent="0.2">
      <c r="G6872" s="131"/>
      <c r="H6872" s="131"/>
      <c r="I6872" s="131"/>
      <c r="J6872" s="132"/>
      <c r="K6872" s="131"/>
    </row>
    <row r="6873" spans="7:11" x14ac:dyDescent="0.2">
      <c r="G6873" s="131"/>
      <c r="H6873" s="131"/>
      <c r="I6873" s="131"/>
      <c r="J6873" s="132"/>
      <c r="K6873" s="131"/>
    </row>
    <row r="6874" spans="7:11" x14ac:dyDescent="0.2">
      <c r="G6874" s="131"/>
      <c r="H6874" s="131"/>
      <c r="I6874" s="131"/>
      <c r="J6874" s="132"/>
      <c r="K6874" s="131"/>
    </row>
    <row r="6875" spans="7:11" x14ac:dyDescent="0.2">
      <c r="G6875" s="131"/>
      <c r="H6875" s="131"/>
      <c r="I6875" s="131"/>
      <c r="J6875" s="132"/>
      <c r="K6875" s="131"/>
    </row>
    <row r="6876" spans="7:11" x14ac:dyDescent="0.2">
      <c r="G6876" s="131"/>
      <c r="H6876" s="131"/>
      <c r="I6876" s="131"/>
      <c r="J6876" s="132"/>
      <c r="K6876" s="131"/>
    </row>
    <row r="6877" spans="7:11" x14ac:dyDescent="0.2">
      <c r="G6877" s="131"/>
      <c r="H6877" s="131"/>
      <c r="I6877" s="131"/>
      <c r="J6877" s="132"/>
      <c r="K6877" s="131"/>
    </row>
    <row r="6878" spans="7:11" x14ac:dyDescent="0.2">
      <c r="G6878" s="131"/>
      <c r="H6878" s="131"/>
      <c r="I6878" s="131"/>
      <c r="J6878" s="132"/>
      <c r="K6878" s="131"/>
    </row>
    <row r="6879" spans="7:11" x14ac:dyDescent="0.2">
      <c r="G6879" s="131"/>
      <c r="H6879" s="131"/>
      <c r="I6879" s="131"/>
      <c r="J6879" s="132"/>
      <c r="K6879" s="131"/>
    </row>
    <row r="6880" spans="7:11" x14ac:dyDescent="0.2">
      <c r="G6880" s="131"/>
      <c r="H6880" s="131"/>
      <c r="I6880" s="131"/>
      <c r="J6880" s="132"/>
      <c r="K6880" s="131"/>
    </row>
    <row r="6881" spans="7:11" x14ac:dyDescent="0.2">
      <c r="G6881" s="131"/>
      <c r="H6881" s="131"/>
      <c r="I6881" s="131"/>
      <c r="J6881" s="132"/>
      <c r="K6881" s="131"/>
    </row>
    <row r="6882" spans="7:11" x14ac:dyDescent="0.2">
      <c r="G6882" s="131"/>
      <c r="H6882" s="131"/>
      <c r="I6882" s="131"/>
      <c r="J6882" s="132"/>
      <c r="K6882" s="131"/>
    </row>
    <row r="6883" spans="7:11" x14ac:dyDescent="0.2">
      <c r="G6883" s="131"/>
      <c r="H6883" s="131"/>
      <c r="I6883" s="131"/>
      <c r="J6883" s="132"/>
      <c r="K6883" s="131"/>
    </row>
    <row r="6884" spans="7:11" x14ac:dyDescent="0.2">
      <c r="G6884" s="131"/>
      <c r="H6884" s="131"/>
      <c r="I6884" s="131"/>
      <c r="J6884" s="132"/>
      <c r="K6884" s="131"/>
    </row>
    <row r="6885" spans="7:11" x14ac:dyDescent="0.2">
      <c r="G6885" s="131"/>
      <c r="H6885" s="131"/>
      <c r="I6885" s="131"/>
      <c r="J6885" s="132"/>
      <c r="K6885" s="131"/>
    </row>
    <row r="6886" spans="7:11" x14ac:dyDescent="0.2">
      <c r="G6886" s="131"/>
      <c r="H6886" s="131"/>
      <c r="I6886" s="131"/>
      <c r="J6886" s="132"/>
      <c r="K6886" s="131"/>
    </row>
    <row r="6887" spans="7:11" x14ac:dyDescent="0.2">
      <c r="G6887" s="131"/>
      <c r="H6887" s="131"/>
      <c r="I6887" s="131"/>
      <c r="J6887" s="132"/>
      <c r="K6887" s="131"/>
    </row>
    <row r="6888" spans="7:11" x14ac:dyDescent="0.2">
      <c r="G6888" s="131"/>
      <c r="H6888" s="131"/>
      <c r="I6888" s="131"/>
      <c r="J6888" s="132"/>
      <c r="K6888" s="131"/>
    </row>
    <row r="6889" spans="7:11" x14ac:dyDescent="0.2">
      <c r="G6889" s="131"/>
      <c r="H6889" s="131"/>
      <c r="I6889" s="131"/>
      <c r="J6889" s="132"/>
      <c r="K6889" s="131"/>
    </row>
    <row r="6890" spans="7:11" x14ac:dyDescent="0.2">
      <c r="G6890" s="131"/>
      <c r="H6890" s="131"/>
      <c r="I6890" s="131"/>
      <c r="J6890" s="132"/>
      <c r="K6890" s="131"/>
    </row>
    <row r="6891" spans="7:11" x14ac:dyDescent="0.2">
      <c r="G6891" s="131"/>
      <c r="H6891" s="131"/>
      <c r="I6891" s="131"/>
      <c r="J6891" s="132"/>
      <c r="K6891" s="131"/>
    </row>
    <row r="6892" spans="7:11" x14ac:dyDescent="0.2">
      <c r="G6892" s="131"/>
      <c r="H6892" s="131"/>
      <c r="I6892" s="131"/>
      <c r="J6892" s="132"/>
      <c r="K6892" s="131"/>
    </row>
    <row r="6893" spans="7:11" x14ac:dyDescent="0.2">
      <c r="G6893" s="131"/>
      <c r="H6893" s="131"/>
      <c r="I6893" s="131"/>
      <c r="J6893" s="132"/>
      <c r="K6893" s="131"/>
    </row>
    <row r="6894" spans="7:11" x14ac:dyDescent="0.2">
      <c r="G6894" s="131"/>
      <c r="H6894" s="131"/>
      <c r="I6894" s="131"/>
      <c r="J6894" s="132"/>
      <c r="K6894" s="131"/>
    </row>
    <row r="6895" spans="7:11" x14ac:dyDescent="0.2">
      <c r="G6895" s="131"/>
      <c r="H6895" s="131"/>
      <c r="I6895" s="131"/>
      <c r="J6895" s="132"/>
      <c r="K6895" s="131"/>
    </row>
    <row r="6896" spans="7:11" x14ac:dyDescent="0.2">
      <c r="G6896" s="131"/>
      <c r="H6896" s="131"/>
      <c r="I6896" s="131"/>
      <c r="J6896" s="132"/>
      <c r="K6896" s="131"/>
    </row>
    <row r="6897" spans="7:11" x14ac:dyDescent="0.2">
      <c r="G6897" s="131"/>
      <c r="H6897" s="131"/>
      <c r="I6897" s="131"/>
      <c r="J6897" s="132"/>
      <c r="K6897" s="131"/>
    </row>
    <row r="6898" spans="7:11" x14ac:dyDescent="0.2">
      <c r="G6898" s="131"/>
      <c r="H6898" s="131"/>
      <c r="I6898" s="131"/>
      <c r="J6898" s="132"/>
      <c r="K6898" s="131"/>
    </row>
    <row r="6899" spans="7:11" x14ac:dyDescent="0.2">
      <c r="G6899" s="131"/>
      <c r="H6899" s="131"/>
      <c r="I6899" s="131"/>
      <c r="J6899" s="132"/>
      <c r="K6899" s="131"/>
    </row>
    <row r="6900" spans="7:11" x14ac:dyDescent="0.2">
      <c r="G6900" s="131"/>
      <c r="H6900" s="131"/>
      <c r="I6900" s="131"/>
      <c r="J6900" s="132"/>
      <c r="K6900" s="131"/>
    </row>
    <row r="6901" spans="7:11" x14ac:dyDescent="0.2">
      <c r="G6901" s="131"/>
      <c r="H6901" s="131"/>
      <c r="I6901" s="131"/>
      <c r="J6901" s="132"/>
      <c r="K6901" s="131"/>
    </row>
    <row r="6902" spans="7:11" x14ac:dyDescent="0.2">
      <c r="G6902" s="131"/>
      <c r="H6902" s="131"/>
      <c r="I6902" s="131"/>
      <c r="J6902" s="132"/>
      <c r="K6902" s="131"/>
    </row>
    <row r="6903" spans="7:11" x14ac:dyDescent="0.2">
      <c r="G6903" s="131"/>
      <c r="H6903" s="131"/>
      <c r="I6903" s="131"/>
      <c r="J6903" s="132"/>
      <c r="K6903" s="131"/>
    </row>
    <row r="6904" spans="7:11" x14ac:dyDescent="0.2">
      <c r="G6904" s="131"/>
      <c r="H6904" s="131"/>
      <c r="I6904" s="131"/>
      <c r="J6904" s="132"/>
      <c r="K6904" s="131"/>
    </row>
    <row r="6905" spans="7:11" x14ac:dyDescent="0.2">
      <c r="G6905" s="131"/>
      <c r="H6905" s="131"/>
      <c r="I6905" s="131"/>
      <c r="J6905" s="132"/>
      <c r="K6905" s="131"/>
    </row>
    <row r="6906" spans="7:11" x14ac:dyDescent="0.2">
      <c r="G6906" s="131"/>
      <c r="H6906" s="131"/>
      <c r="I6906" s="131"/>
      <c r="J6906" s="132"/>
      <c r="K6906" s="131"/>
    </row>
    <row r="6907" spans="7:11" x14ac:dyDescent="0.2">
      <c r="G6907" s="131"/>
      <c r="H6907" s="131"/>
      <c r="I6907" s="131"/>
      <c r="J6907" s="132"/>
      <c r="K6907" s="131"/>
    </row>
    <row r="6908" spans="7:11" x14ac:dyDescent="0.2">
      <c r="G6908" s="131"/>
      <c r="H6908" s="131"/>
      <c r="I6908" s="131"/>
      <c r="J6908" s="132"/>
      <c r="K6908" s="131"/>
    </row>
    <row r="6909" spans="7:11" x14ac:dyDescent="0.2">
      <c r="G6909" s="131"/>
      <c r="H6909" s="131"/>
      <c r="I6909" s="131"/>
      <c r="J6909" s="132"/>
      <c r="K6909" s="131"/>
    </row>
    <row r="6910" spans="7:11" x14ac:dyDescent="0.2">
      <c r="G6910" s="131"/>
      <c r="H6910" s="131"/>
      <c r="I6910" s="131"/>
      <c r="J6910" s="132"/>
      <c r="K6910" s="131"/>
    </row>
    <row r="6911" spans="7:11" x14ac:dyDescent="0.2">
      <c r="G6911" s="131"/>
      <c r="H6911" s="131"/>
      <c r="I6911" s="131"/>
      <c r="J6911" s="132"/>
      <c r="K6911" s="131"/>
    </row>
    <row r="6912" spans="7:11" x14ac:dyDescent="0.2">
      <c r="G6912" s="131"/>
      <c r="H6912" s="131"/>
      <c r="I6912" s="131"/>
      <c r="J6912" s="132"/>
      <c r="K6912" s="131"/>
    </row>
    <row r="6913" spans="7:11" x14ac:dyDescent="0.2">
      <c r="G6913" s="131"/>
      <c r="H6913" s="131"/>
      <c r="I6913" s="131"/>
      <c r="J6913" s="132"/>
      <c r="K6913" s="131"/>
    </row>
    <row r="6914" spans="7:11" x14ac:dyDescent="0.2">
      <c r="G6914" s="131"/>
      <c r="H6914" s="131"/>
      <c r="I6914" s="131"/>
      <c r="J6914" s="132"/>
      <c r="K6914" s="131"/>
    </row>
    <row r="6915" spans="7:11" x14ac:dyDescent="0.2">
      <c r="G6915" s="131"/>
      <c r="H6915" s="131"/>
      <c r="I6915" s="131"/>
      <c r="J6915" s="132"/>
      <c r="K6915" s="131"/>
    </row>
    <row r="6916" spans="7:11" x14ac:dyDescent="0.2">
      <c r="G6916" s="131"/>
      <c r="H6916" s="131"/>
      <c r="I6916" s="131"/>
      <c r="J6916" s="132"/>
      <c r="K6916" s="131"/>
    </row>
    <row r="6917" spans="7:11" x14ac:dyDescent="0.2">
      <c r="G6917" s="131"/>
      <c r="H6917" s="131"/>
      <c r="I6917" s="131"/>
      <c r="J6917" s="132"/>
      <c r="K6917" s="131"/>
    </row>
    <row r="6918" spans="7:11" x14ac:dyDescent="0.2">
      <c r="G6918" s="131"/>
      <c r="H6918" s="131"/>
      <c r="I6918" s="131"/>
      <c r="J6918" s="132"/>
      <c r="K6918" s="131"/>
    </row>
    <row r="6919" spans="7:11" x14ac:dyDescent="0.2">
      <c r="G6919" s="131"/>
      <c r="H6919" s="131"/>
      <c r="I6919" s="131"/>
      <c r="J6919" s="132"/>
      <c r="K6919" s="131"/>
    </row>
    <row r="6920" spans="7:11" x14ac:dyDescent="0.2">
      <c r="G6920" s="131"/>
      <c r="H6920" s="131"/>
      <c r="I6920" s="131"/>
      <c r="J6920" s="132"/>
      <c r="K6920" s="131"/>
    </row>
    <row r="6921" spans="7:11" x14ac:dyDescent="0.2">
      <c r="G6921" s="131"/>
      <c r="H6921" s="131"/>
      <c r="I6921" s="131"/>
      <c r="J6921" s="132"/>
      <c r="K6921" s="131"/>
    </row>
    <row r="6922" spans="7:11" x14ac:dyDescent="0.2">
      <c r="G6922" s="131"/>
      <c r="H6922" s="131"/>
      <c r="I6922" s="131"/>
      <c r="J6922" s="132"/>
      <c r="K6922" s="131"/>
    </row>
    <row r="6923" spans="7:11" x14ac:dyDescent="0.2">
      <c r="G6923" s="131"/>
      <c r="H6923" s="131"/>
      <c r="I6923" s="131"/>
      <c r="J6923" s="132"/>
      <c r="K6923" s="131"/>
    </row>
    <row r="6924" spans="7:11" x14ac:dyDescent="0.2">
      <c r="G6924" s="131"/>
      <c r="H6924" s="131"/>
      <c r="I6924" s="131"/>
      <c r="J6924" s="132"/>
      <c r="K6924" s="131"/>
    </row>
    <row r="6925" spans="7:11" x14ac:dyDescent="0.2">
      <c r="G6925" s="131"/>
      <c r="H6925" s="131"/>
      <c r="I6925" s="131"/>
      <c r="J6925" s="132"/>
      <c r="K6925" s="131"/>
    </row>
    <row r="6926" spans="7:11" x14ac:dyDescent="0.2">
      <c r="G6926" s="131"/>
      <c r="H6926" s="131"/>
      <c r="I6926" s="131"/>
      <c r="J6926" s="132"/>
      <c r="K6926" s="131"/>
    </row>
    <row r="6927" spans="7:11" x14ac:dyDescent="0.2">
      <c r="G6927" s="131"/>
      <c r="H6927" s="131"/>
      <c r="I6927" s="131"/>
      <c r="J6927" s="132"/>
      <c r="K6927" s="131"/>
    </row>
    <row r="6928" spans="7:11" x14ac:dyDescent="0.2">
      <c r="G6928" s="131"/>
      <c r="H6928" s="131"/>
      <c r="I6928" s="131"/>
      <c r="J6928" s="132"/>
      <c r="K6928" s="131"/>
    </row>
    <row r="6929" spans="7:11" x14ac:dyDescent="0.2">
      <c r="G6929" s="131"/>
      <c r="H6929" s="131"/>
      <c r="I6929" s="131"/>
      <c r="J6929" s="132"/>
      <c r="K6929" s="131"/>
    </row>
    <row r="6930" spans="7:11" x14ac:dyDescent="0.2">
      <c r="G6930" s="131"/>
      <c r="H6930" s="131"/>
      <c r="I6930" s="131"/>
      <c r="J6930" s="132"/>
      <c r="K6930" s="131"/>
    </row>
    <row r="6931" spans="7:11" x14ac:dyDescent="0.2">
      <c r="G6931" s="131"/>
      <c r="H6931" s="131"/>
      <c r="I6931" s="131"/>
      <c r="J6931" s="132"/>
      <c r="K6931" s="131"/>
    </row>
    <row r="6932" spans="7:11" x14ac:dyDescent="0.2">
      <c r="G6932" s="131"/>
      <c r="H6932" s="131"/>
      <c r="I6932" s="131"/>
      <c r="J6932" s="132"/>
      <c r="K6932" s="131"/>
    </row>
    <row r="6933" spans="7:11" x14ac:dyDescent="0.2">
      <c r="G6933" s="131"/>
      <c r="H6933" s="131"/>
      <c r="I6933" s="131"/>
      <c r="J6933" s="132"/>
      <c r="K6933" s="131"/>
    </row>
    <row r="6934" spans="7:11" x14ac:dyDescent="0.2">
      <c r="G6934" s="131"/>
      <c r="H6934" s="131"/>
      <c r="I6934" s="131"/>
      <c r="J6934" s="132"/>
      <c r="K6934" s="131"/>
    </row>
    <row r="6935" spans="7:11" x14ac:dyDescent="0.2">
      <c r="G6935" s="131"/>
      <c r="H6935" s="131"/>
      <c r="I6935" s="131"/>
      <c r="J6935" s="132"/>
      <c r="K6935" s="131"/>
    </row>
    <row r="6936" spans="7:11" x14ac:dyDescent="0.2">
      <c r="G6936" s="131"/>
      <c r="H6936" s="131"/>
      <c r="I6936" s="131"/>
      <c r="J6936" s="132"/>
      <c r="K6936" s="131"/>
    </row>
    <row r="6937" spans="7:11" x14ac:dyDescent="0.2">
      <c r="G6937" s="131"/>
      <c r="H6937" s="131"/>
      <c r="I6937" s="131"/>
      <c r="J6937" s="132"/>
      <c r="K6937" s="131"/>
    </row>
    <row r="6938" spans="7:11" x14ac:dyDescent="0.2">
      <c r="G6938" s="131"/>
      <c r="H6938" s="131"/>
      <c r="I6938" s="131"/>
      <c r="J6938" s="132"/>
      <c r="K6938" s="131"/>
    </row>
    <row r="6939" spans="7:11" x14ac:dyDescent="0.2">
      <c r="G6939" s="131"/>
      <c r="H6939" s="131"/>
      <c r="I6939" s="131"/>
      <c r="J6939" s="132"/>
      <c r="K6939" s="131"/>
    </row>
    <row r="6940" spans="7:11" x14ac:dyDescent="0.2">
      <c r="G6940" s="131"/>
      <c r="H6940" s="131"/>
      <c r="I6940" s="131"/>
      <c r="J6940" s="132"/>
      <c r="K6940" s="131"/>
    </row>
    <row r="6941" spans="7:11" x14ac:dyDescent="0.2">
      <c r="G6941" s="131"/>
      <c r="H6941" s="131"/>
      <c r="I6941" s="131"/>
      <c r="J6941" s="132"/>
      <c r="K6941" s="131"/>
    </row>
    <row r="6942" spans="7:11" x14ac:dyDescent="0.2">
      <c r="G6942" s="131"/>
      <c r="H6942" s="131"/>
      <c r="I6942" s="131"/>
      <c r="J6942" s="132"/>
      <c r="K6942" s="131"/>
    </row>
    <row r="6943" spans="7:11" x14ac:dyDescent="0.2">
      <c r="G6943" s="131"/>
      <c r="H6943" s="131"/>
      <c r="I6943" s="131"/>
      <c r="J6943" s="132"/>
      <c r="K6943" s="131"/>
    </row>
    <row r="6944" spans="7:11" x14ac:dyDescent="0.2">
      <c r="G6944" s="131"/>
      <c r="H6944" s="131"/>
      <c r="I6944" s="131"/>
      <c r="J6944" s="132"/>
      <c r="K6944" s="131"/>
    </row>
    <row r="6945" spans="7:11" x14ac:dyDescent="0.2">
      <c r="G6945" s="131"/>
      <c r="H6945" s="131"/>
      <c r="I6945" s="131"/>
      <c r="J6945" s="132"/>
      <c r="K6945" s="131"/>
    </row>
    <row r="6946" spans="7:11" x14ac:dyDescent="0.2">
      <c r="G6946" s="131"/>
      <c r="H6946" s="131"/>
      <c r="I6946" s="131"/>
      <c r="J6946" s="132"/>
      <c r="K6946" s="131"/>
    </row>
    <row r="6947" spans="7:11" x14ac:dyDescent="0.2">
      <c r="G6947" s="131"/>
      <c r="H6947" s="131"/>
      <c r="I6947" s="131"/>
      <c r="J6947" s="132"/>
      <c r="K6947" s="131"/>
    </row>
    <row r="6948" spans="7:11" x14ac:dyDescent="0.2">
      <c r="G6948" s="131"/>
      <c r="H6948" s="131"/>
      <c r="I6948" s="131"/>
      <c r="J6948" s="132"/>
      <c r="K6948" s="131"/>
    </row>
    <row r="6949" spans="7:11" x14ac:dyDescent="0.2">
      <c r="G6949" s="131"/>
      <c r="H6949" s="131"/>
      <c r="I6949" s="131"/>
      <c r="J6949" s="132"/>
      <c r="K6949" s="131"/>
    </row>
    <row r="6950" spans="7:11" x14ac:dyDescent="0.2">
      <c r="G6950" s="131"/>
      <c r="H6950" s="131"/>
      <c r="I6950" s="131"/>
      <c r="J6950" s="132"/>
      <c r="K6950" s="131"/>
    </row>
    <row r="6951" spans="7:11" x14ac:dyDescent="0.2">
      <c r="G6951" s="131"/>
      <c r="H6951" s="131"/>
      <c r="I6951" s="131"/>
      <c r="J6951" s="132"/>
      <c r="K6951" s="131"/>
    </row>
    <row r="6952" spans="7:11" x14ac:dyDescent="0.2">
      <c r="G6952" s="131"/>
      <c r="H6952" s="131"/>
      <c r="I6952" s="131"/>
      <c r="J6952" s="132"/>
      <c r="K6952" s="131"/>
    </row>
    <row r="6953" spans="7:11" x14ac:dyDescent="0.2">
      <c r="G6953" s="131"/>
      <c r="H6953" s="131"/>
      <c r="I6953" s="131"/>
      <c r="J6953" s="132"/>
      <c r="K6953" s="131"/>
    </row>
    <row r="6954" spans="7:11" x14ac:dyDescent="0.2">
      <c r="G6954" s="131"/>
      <c r="H6954" s="131"/>
      <c r="I6954" s="131"/>
      <c r="J6954" s="132"/>
      <c r="K6954" s="131"/>
    </row>
    <row r="6955" spans="7:11" x14ac:dyDescent="0.2">
      <c r="G6955" s="131"/>
      <c r="H6955" s="131"/>
      <c r="I6955" s="131"/>
      <c r="J6955" s="132"/>
      <c r="K6955" s="131"/>
    </row>
    <row r="6956" spans="7:11" x14ac:dyDescent="0.2">
      <c r="G6956" s="131"/>
      <c r="H6956" s="131"/>
      <c r="I6956" s="131"/>
      <c r="J6956" s="132"/>
      <c r="K6956" s="131"/>
    </row>
    <row r="6957" spans="7:11" x14ac:dyDescent="0.2">
      <c r="G6957" s="131"/>
      <c r="H6957" s="131"/>
      <c r="I6957" s="131"/>
      <c r="J6957" s="132"/>
      <c r="K6957" s="131"/>
    </row>
    <row r="6958" spans="7:11" x14ac:dyDescent="0.2">
      <c r="G6958" s="131"/>
      <c r="H6958" s="131"/>
      <c r="I6958" s="131"/>
      <c r="J6958" s="132"/>
      <c r="K6958" s="131"/>
    </row>
    <row r="6959" spans="7:11" x14ac:dyDescent="0.2">
      <c r="G6959" s="131"/>
      <c r="H6959" s="131"/>
      <c r="I6959" s="131"/>
      <c r="J6959" s="132"/>
      <c r="K6959" s="131"/>
    </row>
    <row r="6960" spans="7:11" x14ac:dyDescent="0.2">
      <c r="G6960" s="131"/>
      <c r="H6960" s="131"/>
      <c r="I6960" s="131"/>
      <c r="J6960" s="132"/>
      <c r="K6960" s="131"/>
    </row>
    <row r="6961" spans="7:11" x14ac:dyDescent="0.2">
      <c r="G6961" s="131"/>
      <c r="H6961" s="131"/>
      <c r="I6961" s="131"/>
      <c r="J6961" s="132"/>
      <c r="K6961" s="131"/>
    </row>
    <row r="6962" spans="7:11" x14ac:dyDescent="0.2">
      <c r="G6962" s="131"/>
      <c r="H6962" s="131"/>
      <c r="I6962" s="131"/>
      <c r="J6962" s="132"/>
      <c r="K6962" s="131"/>
    </row>
    <row r="6963" spans="7:11" x14ac:dyDescent="0.2">
      <c r="G6963" s="131"/>
      <c r="H6963" s="131"/>
      <c r="I6963" s="131"/>
      <c r="J6963" s="132"/>
      <c r="K6963" s="131"/>
    </row>
    <row r="6964" spans="7:11" x14ac:dyDescent="0.2">
      <c r="G6964" s="131"/>
      <c r="H6964" s="131"/>
      <c r="I6964" s="131"/>
      <c r="J6964" s="132"/>
      <c r="K6964" s="131"/>
    </row>
    <row r="6965" spans="7:11" x14ac:dyDescent="0.2">
      <c r="G6965" s="131"/>
      <c r="H6965" s="131"/>
      <c r="I6965" s="131"/>
      <c r="J6965" s="132"/>
      <c r="K6965" s="131"/>
    </row>
    <row r="6966" spans="7:11" x14ac:dyDescent="0.2">
      <c r="G6966" s="131"/>
      <c r="H6966" s="131"/>
      <c r="I6966" s="131"/>
      <c r="J6966" s="132"/>
      <c r="K6966" s="131"/>
    </row>
    <row r="6967" spans="7:11" x14ac:dyDescent="0.2">
      <c r="G6967" s="131"/>
      <c r="H6967" s="131"/>
      <c r="I6967" s="131"/>
      <c r="J6967" s="132"/>
      <c r="K6967" s="131"/>
    </row>
    <row r="6968" spans="7:11" x14ac:dyDescent="0.2">
      <c r="G6968" s="131"/>
      <c r="H6968" s="131"/>
      <c r="I6968" s="131"/>
      <c r="J6968" s="132"/>
      <c r="K6968" s="131"/>
    </row>
    <row r="6969" spans="7:11" x14ac:dyDescent="0.2">
      <c r="G6969" s="131"/>
      <c r="H6969" s="131"/>
      <c r="I6969" s="131"/>
      <c r="J6969" s="132"/>
      <c r="K6969" s="131"/>
    </row>
    <row r="6970" spans="7:11" x14ac:dyDescent="0.2">
      <c r="G6970" s="131"/>
      <c r="H6970" s="131"/>
      <c r="I6970" s="131"/>
      <c r="J6970" s="132"/>
      <c r="K6970" s="131"/>
    </row>
    <row r="6971" spans="7:11" x14ac:dyDescent="0.2">
      <c r="G6971" s="131"/>
      <c r="H6971" s="131"/>
      <c r="I6971" s="131"/>
      <c r="J6971" s="132"/>
      <c r="K6971" s="131"/>
    </row>
    <row r="6972" spans="7:11" x14ac:dyDescent="0.2">
      <c r="G6972" s="131"/>
      <c r="H6972" s="131"/>
      <c r="I6972" s="131"/>
      <c r="J6972" s="132"/>
      <c r="K6972" s="131"/>
    </row>
    <row r="6973" spans="7:11" x14ac:dyDescent="0.2">
      <c r="G6973" s="131"/>
      <c r="H6973" s="131"/>
      <c r="I6973" s="131"/>
      <c r="J6973" s="132"/>
      <c r="K6973" s="131"/>
    </row>
    <row r="6974" spans="7:11" x14ac:dyDescent="0.2">
      <c r="G6974" s="131"/>
      <c r="H6974" s="131"/>
      <c r="I6974" s="131"/>
      <c r="J6974" s="132"/>
      <c r="K6974" s="131"/>
    </row>
    <row r="6975" spans="7:11" x14ac:dyDescent="0.2">
      <c r="G6975" s="131"/>
      <c r="H6975" s="131"/>
      <c r="I6975" s="131"/>
      <c r="J6975" s="132"/>
      <c r="K6975" s="131"/>
    </row>
    <row r="6976" spans="7:11" x14ac:dyDescent="0.2">
      <c r="G6976" s="131"/>
      <c r="H6976" s="131"/>
      <c r="I6976" s="131"/>
      <c r="J6976" s="132"/>
      <c r="K6976" s="131"/>
    </row>
    <row r="6977" spans="7:11" x14ac:dyDescent="0.2">
      <c r="G6977" s="131"/>
      <c r="H6977" s="131"/>
      <c r="I6977" s="131"/>
      <c r="J6977" s="132"/>
      <c r="K6977" s="131"/>
    </row>
    <row r="6978" spans="7:11" x14ac:dyDescent="0.2">
      <c r="G6978" s="131"/>
      <c r="H6978" s="131"/>
      <c r="I6978" s="131"/>
      <c r="J6978" s="132"/>
      <c r="K6978" s="131"/>
    </row>
    <row r="6979" spans="7:11" x14ac:dyDescent="0.2">
      <c r="G6979" s="131"/>
      <c r="H6979" s="131"/>
      <c r="I6979" s="131"/>
      <c r="J6979" s="132"/>
      <c r="K6979" s="131"/>
    </row>
  </sheetData>
  <mergeCells count="1830">
    <mergeCell ref="G76:G78"/>
    <mergeCell ref="B205:B207"/>
    <mergeCell ref="C205:C207"/>
    <mergeCell ref="D205:D207"/>
    <mergeCell ref="F91:F93"/>
    <mergeCell ref="E91:E93"/>
    <mergeCell ref="F85:F87"/>
    <mergeCell ref="F88:F90"/>
    <mergeCell ref="C76:C78"/>
    <mergeCell ref="D82:D84"/>
    <mergeCell ref="D76:D78"/>
    <mergeCell ref="G79:G81"/>
    <mergeCell ref="H79:H81"/>
    <mergeCell ref="I79:I81"/>
    <mergeCell ref="J79:J81"/>
    <mergeCell ref="K79:K81"/>
    <mergeCell ref="X79:X81"/>
    <mergeCell ref="F115:F117"/>
    <mergeCell ref="G115:G117"/>
    <mergeCell ref="J115:J117"/>
    <mergeCell ref="K115:K117"/>
    <mergeCell ref="X115:X117"/>
    <mergeCell ref="H115:H117"/>
    <mergeCell ref="E124:E126"/>
    <mergeCell ref="F124:F126"/>
    <mergeCell ref="G124:G126"/>
    <mergeCell ref="J124:J126"/>
    <mergeCell ref="K124:K126"/>
    <mergeCell ref="X124:X126"/>
    <mergeCell ref="B145:B147"/>
    <mergeCell ref="B103:B105"/>
    <mergeCell ref="G85:G87"/>
    <mergeCell ref="B70:B72"/>
    <mergeCell ref="C70:C72"/>
    <mergeCell ref="D70:D72"/>
    <mergeCell ref="E70:E72"/>
    <mergeCell ref="F70:F72"/>
    <mergeCell ref="G70:G72"/>
    <mergeCell ref="J70:J72"/>
    <mergeCell ref="K70:K72"/>
    <mergeCell ref="X70:X72"/>
    <mergeCell ref="H70:H72"/>
    <mergeCell ref="I70:I72"/>
    <mergeCell ref="B79:B81"/>
    <mergeCell ref="C79:C81"/>
    <mergeCell ref="D79:D81"/>
    <mergeCell ref="F79:F81"/>
    <mergeCell ref="E85:E87"/>
    <mergeCell ref="B199:B201"/>
    <mergeCell ref="C199:C201"/>
    <mergeCell ref="D184:D186"/>
    <mergeCell ref="B193:B195"/>
    <mergeCell ref="C184:C186"/>
    <mergeCell ref="I190:I192"/>
    <mergeCell ref="I193:I195"/>
    <mergeCell ref="I115:I117"/>
    <mergeCell ref="H157:H159"/>
    <mergeCell ref="I157:I159"/>
    <mergeCell ref="I124:I126"/>
    <mergeCell ref="G196:G198"/>
    <mergeCell ref="B115:B117"/>
    <mergeCell ref="C115:C117"/>
    <mergeCell ref="D115:D117"/>
    <mergeCell ref="E115:E117"/>
    <mergeCell ref="X214:X216"/>
    <mergeCell ref="B157:B159"/>
    <mergeCell ref="C157:C159"/>
    <mergeCell ref="D157:D159"/>
    <mergeCell ref="E157:E159"/>
    <mergeCell ref="F157:F159"/>
    <mergeCell ref="G157:G159"/>
    <mergeCell ref="J157:J159"/>
    <mergeCell ref="K157:K159"/>
    <mergeCell ref="X157:X159"/>
    <mergeCell ref="H139:H141"/>
    <mergeCell ref="I139:I141"/>
    <mergeCell ref="H124:H126"/>
    <mergeCell ref="H205:H207"/>
    <mergeCell ref="H214:H216"/>
    <mergeCell ref="K139:K141"/>
    <mergeCell ref="J139:J141"/>
    <mergeCell ref="X139:X141"/>
    <mergeCell ref="E172:E174"/>
    <mergeCell ref="G172:G174"/>
    <mergeCell ref="F172:F174"/>
    <mergeCell ref="E169:E171"/>
    <mergeCell ref="G175:G177"/>
    <mergeCell ref="F175:F177"/>
    <mergeCell ref="E166:E168"/>
    <mergeCell ref="B124:B126"/>
    <mergeCell ref="C124:C126"/>
    <mergeCell ref="D124:D126"/>
    <mergeCell ref="D199:D201"/>
    <mergeCell ref="E133:E135"/>
    <mergeCell ref="B202:B204"/>
    <mergeCell ref="C202:C204"/>
    <mergeCell ref="K273:K275"/>
    <mergeCell ref="X220:X222"/>
    <mergeCell ref="X223:X225"/>
    <mergeCell ref="X202:X204"/>
    <mergeCell ref="X208:X210"/>
    <mergeCell ref="X211:X213"/>
    <mergeCell ref="X217:X219"/>
    <mergeCell ref="AM34:AM36"/>
    <mergeCell ref="X226:X228"/>
    <mergeCell ref="AK31:AK33"/>
    <mergeCell ref="AL31:AL33"/>
    <mergeCell ref="AK40:AK42"/>
    <mergeCell ref="AK43:AK45"/>
    <mergeCell ref="AL34:AL36"/>
    <mergeCell ref="AL43:AL45"/>
    <mergeCell ref="AL46:AL48"/>
    <mergeCell ref="AL40:AL42"/>
    <mergeCell ref="AL37:AL39"/>
    <mergeCell ref="AL49:AL51"/>
    <mergeCell ref="AK46:AK48"/>
    <mergeCell ref="AK49:AK51"/>
    <mergeCell ref="X151:X153"/>
    <mergeCell ref="X118:X120"/>
    <mergeCell ref="X121:X123"/>
    <mergeCell ref="X133:X135"/>
    <mergeCell ref="X136:X138"/>
    <mergeCell ref="X190:X192"/>
    <mergeCell ref="X193:X195"/>
    <mergeCell ref="X142:X144"/>
    <mergeCell ref="X145:X147"/>
    <mergeCell ref="X196:X198"/>
    <mergeCell ref="K226:K228"/>
    <mergeCell ref="AC29:AD29"/>
    <mergeCell ref="AE29:AF29"/>
    <mergeCell ref="AI29:AL29"/>
    <mergeCell ref="J37:J39"/>
    <mergeCell ref="K37:K39"/>
    <mergeCell ref="X199:X201"/>
    <mergeCell ref="X169:X171"/>
    <mergeCell ref="X172:X174"/>
    <mergeCell ref="X175:X177"/>
    <mergeCell ref="X148:X150"/>
    <mergeCell ref="X154:X156"/>
    <mergeCell ref="X160:X162"/>
    <mergeCell ref="X163:X165"/>
    <mergeCell ref="X184:X186"/>
    <mergeCell ref="X187:X189"/>
    <mergeCell ref="X178:X180"/>
    <mergeCell ref="X181:X183"/>
    <mergeCell ref="X166:X168"/>
    <mergeCell ref="X97:X99"/>
    <mergeCell ref="X85:X87"/>
    <mergeCell ref="X88:X90"/>
    <mergeCell ref="X91:X93"/>
    <mergeCell ref="X94:X96"/>
    <mergeCell ref="X127:X129"/>
    <mergeCell ref="X130:X132"/>
    <mergeCell ref="X100:X102"/>
    <mergeCell ref="X103:X105"/>
    <mergeCell ref="X106:X108"/>
    <mergeCell ref="X109:X111"/>
    <mergeCell ref="X112:X114"/>
    <mergeCell ref="K193:K195"/>
    <mergeCell ref="J178:J180"/>
    <mergeCell ref="A217:A225"/>
    <mergeCell ref="A151:A162"/>
    <mergeCell ref="A127:A138"/>
    <mergeCell ref="F190:F192"/>
    <mergeCell ref="E190:E192"/>
    <mergeCell ref="C190:C192"/>
    <mergeCell ref="B166:B168"/>
    <mergeCell ref="A169:A186"/>
    <mergeCell ref="B169:B171"/>
    <mergeCell ref="C175:C177"/>
    <mergeCell ref="C169:C171"/>
    <mergeCell ref="A58:A60"/>
    <mergeCell ref="B58:B60"/>
    <mergeCell ref="E61:E63"/>
    <mergeCell ref="A202:A213"/>
    <mergeCell ref="A187:A201"/>
    <mergeCell ref="B175:B177"/>
    <mergeCell ref="B73:B75"/>
    <mergeCell ref="A106:A111"/>
    <mergeCell ref="B172:B174"/>
    <mergeCell ref="B184:B186"/>
    <mergeCell ref="B190:B192"/>
    <mergeCell ref="A76:A84"/>
    <mergeCell ref="B139:B141"/>
    <mergeCell ref="C139:C141"/>
    <mergeCell ref="D139:D141"/>
    <mergeCell ref="E139:E141"/>
    <mergeCell ref="F139:F141"/>
    <mergeCell ref="B214:B216"/>
    <mergeCell ref="C214:C216"/>
    <mergeCell ref="D214:D216"/>
    <mergeCell ref="E214:E216"/>
    <mergeCell ref="X43:X45"/>
    <mergeCell ref="X46:X48"/>
    <mergeCell ref="X49:X51"/>
    <mergeCell ref="C223:C225"/>
    <mergeCell ref="E223:E225"/>
    <mergeCell ref="F223:F225"/>
    <mergeCell ref="D223:D225"/>
    <mergeCell ref="G217:G219"/>
    <mergeCell ref="C217:C219"/>
    <mergeCell ref="X55:X57"/>
    <mergeCell ref="X61:X63"/>
    <mergeCell ref="X64:X66"/>
    <mergeCell ref="X67:X69"/>
    <mergeCell ref="X73:X75"/>
    <mergeCell ref="X76:X78"/>
    <mergeCell ref="X82:X84"/>
    <mergeCell ref="J52:J54"/>
    <mergeCell ref="K46:K48"/>
    <mergeCell ref="K49:K51"/>
    <mergeCell ref="G139:G141"/>
    <mergeCell ref="G73:G75"/>
    <mergeCell ref="E193:E195"/>
    <mergeCell ref="E199:E201"/>
    <mergeCell ref="G223:G225"/>
    <mergeCell ref="E205:E207"/>
    <mergeCell ref="F205:F207"/>
    <mergeCell ref="G205:G207"/>
    <mergeCell ref="J205:J207"/>
    <mergeCell ref="K205:K207"/>
    <mergeCell ref="X205:X207"/>
    <mergeCell ref="G202:G204"/>
    <mergeCell ref="G199:G201"/>
    <mergeCell ref="F217:F219"/>
    <mergeCell ref="E220:E222"/>
    <mergeCell ref="F220:F222"/>
    <mergeCell ref="F67:F69"/>
    <mergeCell ref="G67:G69"/>
    <mergeCell ref="F37:F39"/>
    <mergeCell ref="K43:K45"/>
    <mergeCell ref="G49:G51"/>
    <mergeCell ref="F49:F51"/>
    <mergeCell ref="J49:J51"/>
    <mergeCell ref="F52:F54"/>
    <mergeCell ref="G52:G54"/>
    <mergeCell ref="K52:K54"/>
    <mergeCell ref="E82:E84"/>
    <mergeCell ref="F76:F78"/>
    <mergeCell ref="K184:K186"/>
    <mergeCell ref="K196:K198"/>
    <mergeCell ref="E184:E186"/>
    <mergeCell ref="E196:E198"/>
    <mergeCell ref="F184:F186"/>
    <mergeCell ref="I187:I189"/>
    <mergeCell ref="E58:E60"/>
    <mergeCell ref="G61:G63"/>
    <mergeCell ref="F61:F63"/>
    <mergeCell ref="E79:E81"/>
    <mergeCell ref="F196:F198"/>
    <mergeCell ref="J73:J75"/>
    <mergeCell ref="J61:J63"/>
    <mergeCell ref="F214:F216"/>
    <mergeCell ref="G214:G216"/>
    <mergeCell ref="J214:J216"/>
    <mergeCell ref="K214:K216"/>
    <mergeCell ref="D37:D39"/>
    <mergeCell ref="E34:E36"/>
    <mergeCell ref="C40:C42"/>
    <mergeCell ref="E40:E42"/>
    <mergeCell ref="A37:A54"/>
    <mergeCell ref="B43:B45"/>
    <mergeCell ref="K40:K42"/>
    <mergeCell ref="G37:G39"/>
    <mergeCell ref="G46:G48"/>
    <mergeCell ref="F46:F48"/>
    <mergeCell ref="H37:H39"/>
    <mergeCell ref="H40:H42"/>
    <mergeCell ref="H43:H45"/>
    <mergeCell ref="H46:H48"/>
    <mergeCell ref="J43:J45"/>
    <mergeCell ref="J46:J48"/>
    <mergeCell ref="E43:E45"/>
    <mergeCell ref="G43:G45"/>
    <mergeCell ref="F43:F45"/>
    <mergeCell ref="F40:F42"/>
    <mergeCell ref="J40:J42"/>
    <mergeCell ref="G34:G36"/>
    <mergeCell ref="F34:F36"/>
    <mergeCell ref="A31:A36"/>
    <mergeCell ref="B31:B33"/>
    <mergeCell ref="C31:C33"/>
    <mergeCell ref="B34:B36"/>
    <mergeCell ref="C34:C36"/>
    <mergeCell ref="B52:B54"/>
    <mergeCell ref="C52:C54"/>
    <mergeCell ref="E52:E54"/>
    <mergeCell ref="B46:B48"/>
    <mergeCell ref="B25:C25"/>
    <mergeCell ref="L25:M25"/>
    <mergeCell ref="M26:P26"/>
    <mergeCell ref="N25:V25"/>
    <mergeCell ref="Q26:R26"/>
    <mergeCell ref="U27:V27"/>
    <mergeCell ref="E46:E48"/>
    <mergeCell ref="C49:C51"/>
    <mergeCell ref="E49:E51"/>
    <mergeCell ref="D46:D48"/>
    <mergeCell ref="D49:D51"/>
    <mergeCell ref="D52:D54"/>
    <mergeCell ref="B49:B51"/>
    <mergeCell ref="D34:D36"/>
    <mergeCell ref="B37:B39"/>
    <mergeCell ref="C43:C45"/>
    <mergeCell ref="C37:C39"/>
    <mergeCell ref="B40:B42"/>
    <mergeCell ref="E37:E39"/>
    <mergeCell ref="D40:D42"/>
    <mergeCell ref="H31:H33"/>
    <mergeCell ref="H34:H36"/>
    <mergeCell ref="E31:E33"/>
    <mergeCell ref="G40:G42"/>
    <mergeCell ref="K34:K36"/>
    <mergeCell ref="J31:J33"/>
    <mergeCell ref="J34:J36"/>
    <mergeCell ref="B28:B29"/>
    <mergeCell ref="D31:D33"/>
    <mergeCell ref="G27:K27"/>
    <mergeCell ref="G28:G29"/>
    <mergeCell ref="K28:K29"/>
    <mergeCell ref="F28:F29"/>
    <mergeCell ref="J28:J29"/>
    <mergeCell ref="H28:H29"/>
    <mergeCell ref="I28:I29"/>
    <mergeCell ref="B27:C27"/>
    <mergeCell ref="E28:E29"/>
    <mergeCell ref="D28:D29"/>
    <mergeCell ref="C28:C29"/>
    <mergeCell ref="F31:F33"/>
    <mergeCell ref="G31:G33"/>
    <mergeCell ref="I31:I33"/>
    <mergeCell ref="I34:I36"/>
    <mergeCell ref="K31:K33"/>
    <mergeCell ref="A55:A57"/>
    <mergeCell ref="A67:A75"/>
    <mergeCell ref="A61:A66"/>
    <mergeCell ref="F64:F66"/>
    <mergeCell ref="B64:B66"/>
    <mergeCell ref="B55:B57"/>
    <mergeCell ref="C55:C57"/>
    <mergeCell ref="F58:F60"/>
    <mergeCell ref="C64:C66"/>
    <mergeCell ref="C67:C69"/>
    <mergeCell ref="C73:C75"/>
    <mergeCell ref="E73:E75"/>
    <mergeCell ref="E67:E69"/>
    <mergeCell ref="E64:E66"/>
    <mergeCell ref="F73:F75"/>
    <mergeCell ref="D58:D60"/>
    <mergeCell ref="B67:B69"/>
    <mergeCell ref="D64:D66"/>
    <mergeCell ref="D61:D63"/>
    <mergeCell ref="H49:H51"/>
    <mergeCell ref="K82:K84"/>
    <mergeCell ref="F169:F171"/>
    <mergeCell ref="B82:B84"/>
    <mergeCell ref="K97:K99"/>
    <mergeCell ref="K100:K102"/>
    <mergeCell ref="K109:K111"/>
    <mergeCell ref="B76:B78"/>
    <mergeCell ref="D88:D90"/>
    <mergeCell ref="B85:B87"/>
    <mergeCell ref="C85:C87"/>
    <mergeCell ref="B88:B90"/>
    <mergeCell ref="D160:D162"/>
    <mergeCell ref="B136:B138"/>
    <mergeCell ref="B154:B156"/>
    <mergeCell ref="K160:K162"/>
    <mergeCell ref="B91:B93"/>
    <mergeCell ref="B94:B96"/>
    <mergeCell ref="B130:B132"/>
    <mergeCell ref="B121:B123"/>
    <mergeCell ref="C121:C123"/>
    <mergeCell ref="C109:C111"/>
    <mergeCell ref="C88:C90"/>
    <mergeCell ref="D85:D87"/>
    <mergeCell ref="D106:D108"/>
    <mergeCell ref="D91:D93"/>
    <mergeCell ref="F94:F96"/>
    <mergeCell ref="E94:E96"/>
    <mergeCell ref="E88:E90"/>
    <mergeCell ref="H88:H90"/>
    <mergeCell ref="H91:H93"/>
    <mergeCell ref="G100:G102"/>
    <mergeCell ref="G226:G228"/>
    <mergeCell ref="B178:B180"/>
    <mergeCell ref="C178:C180"/>
    <mergeCell ref="E202:E204"/>
    <mergeCell ref="C193:C195"/>
    <mergeCell ref="E175:E177"/>
    <mergeCell ref="C46:C48"/>
    <mergeCell ref="B61:B63"/>
    <mergeCell ref="C61:C63"/>
    <mergeCell ref="D142:D144"/>
    <mergeCell ref="D145:D147"/>
    <mergeCell ref="C58:C60"/>
    <mergeCell ref="C94:C96"/>
    <mergeCell ref="C91:C93"/>
    <mergeCell ref="C97:C99"/>
    <mergeCell ref="E97:E99"/>
    <mergeCell ref="D100:D102"/>
    <mergeCell ref="E136:E138"/>
    <mergeCell ref="B142:B144"/>
    <mergeCell ref="C181:C183"/>
    <mergeCell ref="C172:C174"/>
    <mergeCell ref="D181:D183"/>
    <mergeCell ref="E181:E183"/>
    <mergeCell ref="B181:B183"/>
    <mergeCell ref="D175:D177"/>
    <mergeCell ref="G88:G90"/>
    <mergeCell ref="C151:C153"/>
    <mergeCell ref="F145:F147"/>
    <mergeCell ref="E142:E144"/>
    <mergeCell ref="C106:C108"/>
    <mergeCell ref="F82:F84"/>
    <mergeCell ref="G82:G84"/>
    <mergeCell ref="C82:C84"/>
    <mergeCell ref="B187:B189"/>
    <mergeCell ref="C187:C189"/>
    <mergeCell ref="E187:E189"/>
    <mergeCell ref="F187:F189"/>
    <mergeCell ref="B118:B120"/>
    <mergeCell ref="C118:C120"/>
    <mergeCell ref="B106:B108"/>
    <mergeCell ref="E118:E120"/>
    <mergeCell ref="E154:E156"/>
    <mergeCell ref="D130:D132"/>
    <mergeCell ref="G121:G123"/>
    <mergeCell ref="F130:F132"/>
    <mergeCell ref="G136:G138"/>
    <mergeCell ref="E121:E123"/>
    <mergeCell ref="F121:F123"/>
    <mergeCell ref="G148:G150"/>
    <mergeCell ref="E130:E132"/>
    <mergeCell ref="D121:D123"/>
    <mergeCell ref="C133:C135"/>
    <mergeCell ref="C103:C105"/>
    <mergeCell ref="E103:E105"/>
    <mergeCell ref="G109:G111"/>
    <mergeCell ref="E106:E108"/>
    <mergeCell ref="F163:F165"/>
    <mergeCell ref="E148:E150"/>
    <mergeCell ref="G97:G99"/>
    <mergeCell ref="G94:G96"/>
    <mergeCell ref="F19:F21"/>
    <mergeCell ref="E76:E78"/>
    <mergeCell ref="G58:G60"/>
    <mergeCell ref="G55:G57"/>
    <mergeCell ref="E55:E57"/>
    <mergeCell ref="K103:K105"/>
    <mergeCell ref="D163:D165"/>
    <mergeCell ref="I61:I63"/>
    <mergeCell ref="I64:I66"/>
    <mergeCell ref="K64:K66"/>
    <mergeCell ref="J67:J69"/>
    <mergeCell ref="G64:G66"/>
    <mergeCell ref="K61:K63"/>
    <mergeCell ref="H73:H75"/>
    <mergeCell ref="H76:H78"/>
    <mergeCell ref="J76:J78"/>
    <mergeCell ref="K136:K138"/>
    <mergeCell ref="K94:K96"/>
    <mergeCell ref="F55:F57"/>
    <mergeCell ref="F106:F108"/>
    <mergeCell ref="E145:E147"/>
    <mergeCell ref="H52:H54"/>
    <mergeCell ref="H55:H57"/>
    <mergeCell ref="H58:H60"/>
    <mergeCell ref="K73:K75"/>
    <mergeCell ref="K67:K69"/>
    <mergeCell ref="K55:K57"/>
    <mergeCell ref="H142:H144"/>
    <mergeCell ref="H145:H147"/>
    <mergeCell ref="H97:H99"/>
    <mergeCell ref="H100:H102"/>
    <mergeCell ref="H85:H87"/>
    <mergeCell ref="B196:B198"/>
    <mergeCell ref="C196:C198"/>
    <mergeCell ref="F148:F150"/>
    <mergeCell ref="J181:J183"/>
    <mergeCell ref="J184:J186"/>
    <mergeCell ref="G169:G171"/>
    <mergeCell ref="G166:G168"/>
    <mergeCell ref="G151:G153"/>
    <mergeCell ref="G145:G147"/>
    <mergeCell ref="B226:B228"/>
    <mergeCell ref="K217:K219"/>
    <mergeCell ref="G190:G192"/>
    <mergeCell ref="G220:G222"/>
    <mergeCell ref="F178:F180"/>
    <mergeCell ref="D193:D195"/>
    <mergeCell ref="B223:B225"/>
    <mergeCell ref="B217:B219"/>
    <mergeCell ref="B220:B222"/>
    <mergeCell ref="C220:C222"/>
    <mergeCell ref="D217:D219"/>
    <mergeCell ref="D220:D222"/>
    <mergeCell ref="E217:E219"/>
    <mergeCell ref="E178:E180"/>
    <mergeCell ref="K178:K180"/>
    <mergeCell ref="J172:J174"/>
    <mergeCell ref="D166:D168"/>
    <mergeCell ref="D169:D171"/>
    <mergeCell ref="K202:K204"/>
    <mergeCell ref="K145:K147"/>
    <mergeCell ref="C226:C228"/>
    <mergeCell ref="C211:C213"/>
    <mergeCell ref="B208:B210"/>
    <mergeCell ref="F202:F204"/>
    <mergeCell ref="J133:J135"/>
    <mergeCell ref="J136:J138"/>
    <mergeCell ref="K190:K192"/>
    <mergeCell ref="F118:F120"/>
    <mergeCell ref="J121:J123"/>
    <mergeCell ref="F112:F114"/>
    <mergeCell ref="G112:G114"/>
    <mergeCell ref="G91:G93"/>
    <mergeCell ref="C130:C132"/>
    <mergeCell ref="C145:C147"/>
    <mergeCell ref="C100:C102"/>
    <mergeCell ref="E100:E102"/>
    <mergeCell ref="D94:D96"/>
    <mergeCell ref="H94:H96"/>
    <mergeCell ref="I94:I96"/>
    <mergeCell ref="F97:F99"/>
    <mergeCell ref="F100:F102"/>
    <mergeCell ref="F127:F129"/>
    <mergeCell ref="G163:G165"/>
    <mergeCell ref="F133:F135"/>
    <mergeCell ref="F136:F138"/>
    <mergeCell ref="H166:H168"/>
    <mergeCell ref="H169:H171"/>
    <mergeCell ref="H133:H135"/>
    <mergeCell ref="H136:H138"/>
    <mergeCell ref="K112:K114"/>
    <mergeCell ref="K163:K165"/>
    <mergeCell ref="K106:K108"/>
    <mergeCell ref="I106:I108"/>
    <mergeCell ref="I109:I111"/>
    <mergeCell ref="I133:I135"/>
    <mergeCell ref="D67:D69"/>
    <mergeCell ref="H67:H69"/>
    <mergeCell ref="D196:D198"/>
    <mergeCell ref="D190:D192"/>
    <mergeCell ref="D187:D189"/>
    <mergeCell ref="D178:D180"/>
    <mergeCell ref="D202:D204"/>
    <mergeCell ref="I163:I165"/>
    <mergeCell ref="F211:F213"/>
    <mergeCell ref="G211:G213"/>
    <mergeCell ref="F208:F210"/>
    <mergeCell ref="G208:G210"/>
    <mergeCell ref="K211:K213"/>
    <mergeCell ref="J211:J213"/>
    <mergeCell ref="F193:F195"/>
    <mergeCell ref="G160:G162"/>
    <mergeCell ref="G154:G156"/>
    <mergeCell ref="G187:G189"/>
    <mergeCell ref="G127:G129"/>
    <mergeCell ref="G133:G135"/>
    <mergeCell ref="K130:K132"/>
    <mergeCell ref="K199:K201"/>
    <mergeCell ref="K187:K189"/>
    <mergeCell ref="G184:G186"/>
    <mergeCell ref="F181:F183"/>
    <mergeCell ref="F160:F162"/>
    <mergeCell ref="F142:F144"/>
    <mergeCell ref="G130:G132"/>
    <mergeCell ref="H130:H132"/>
    <mergeCell ref="J187:J189"/>
    <mergeCell ref="F154:F156"/>
    <mergeCell ref="F151:F153"/>
    <mergeCell ref="A97:A105"/>
    <mergeCell ref="F103:F105"/>
    <mergeCell ref="G103:G105"/>
    <mergeCell ref="B100:B102"/>
    <mergeCell ref="B112:B114"/>
    <mergeCell ref="C112:C114"/>
    <mergeCell ref="J112:J114"/>
    <mergeCell ref="J106:J108"/>
    <mergeCell ref="J109:J111"/>
    <mergeCell ref="G106:G108"/>
    <mergeCell ref="B109:B111"/>
    <mergeCell ref="D103:D105"/>
    <mergeCell ref="F109:F111"/>
    <mergeCell ref="D109:D111"/>
    <mergeCell ref="E109:E111"/>
    <mergeCell ref="D112:D114"/>
    <mergeCell ref="C166:C168"/>
    <mergeCell ref="D97:D99"/>
    <mergeCell ref="E112:E114"/>
    <mergeCell ref="C136:C138"/>
    <mergeCell ref="J118:J120"/>
    <mergeCell ref="D127:D129"/>
    <mergeCell ref="C127:C129"/>
    <mergeCell ref="E127:E129"/>
    <mergeCell ref="H118:H120"/>
    <mergeCell ref="H121:H123"/>
    <mergeCell ref="B127:B129"/>
    <mergeCell ref="J160:J162"/>
    <mergeCell ref="J163:J165"/>
    <mergeCell ref="B97:B99"/>
    <mergeCell ref="G118:G120"/>
    <mergeCell ref="A112:A120"/>
    <mergeCell ref="B211:B213"/>
    <mergeCell ref="C208:C210"/>
    <mergeCell ref="E211:E213"/>
    <mergeCell ref="D211:D213"/>
    <mergeCell ref="D208:D210"/>
    <mergeCell ref="I97:I99"/>
    <mergeCell ref="I100:I102"/>
    <mergeCell ref="I181:I183"/>
    <mergeCell ref="G193:G195"/>
    <mergeCell ref="F199:F201"/>
    <mergeCell ref="F166:F168"/>
    <mergeCell ref="J127:J129"/>
    <mergeCell ref="K118:K120"/>
    <mergeCell ref="H127:H129"/>
    <mergeCell ref="C154:C156"/>
    <mergeCell ref="E151:E153"/>
    <mergeCell ref="D148:D150"/>
    <mergeCell ref="G142:G144"/>
    <mergeCell ref="B160:B162"/>
    <mergeCell ref="C160:C162"/>
    <mergeCell ref="B163:B165"/>
    <mergeCell ref="E160:E162"/>
    <mergeCell ref="C163:C165"/>
    <mergeCell ref="E163:E165"/>
    <mergeCell ref="B133:B135"/>
    <mergeCell ref="B151:B153"/>
    <mergeCell ref="B148:B150"/>
    <mergeCell ref="D154:D156"/>
    <mergeCell ref="C148:C150"/>
    <mergeCell ref="C142:C144"/>
    <mergeCell ref="E208:E210"/>
    <mergeCell ref="I103:I105"/>
    <mergeCell ref="D226:D228"/>
    <mergeCell ref="D118:D120"/>
    <mergeCell ref="D133:D135"/>
    <mergeCell ref="D136:D138"/>
    <mergeCell ref="H193:H195"/>
    <mergeCell ref="H196:H198"/>
    <mergeCell ref="H199:H201"/>
    <mergeCell ref="K166:K168"/>
    <mergeCell ref="K208:K210"/>
    <mergeCell ref="J166:J168"/>
    <mergeCell ref="G181:G183"/>
    <mergeCell ref="J169:J171"/>
    <mergeCell ref="H178:H180"/>
    <mergeCell ref="J223:J225"/>
    <mergeCell ref="J199:J201"/>
    <mergeCell ref="J196:J198"/>
    <mergeCell ref="D151:D153"/>
    <mergeCell ref="J202:J204"/>
    <mergeCell ref="J208:J210"/>
    <mergeCell ref="J193:J195"/>
    <mergeCell ref="J226:J228"/>
    <mergeCell ref="H226:H228"/>
    <mergeCell ref="I166:I168"/>
    <mergeCell ref="I169:I171"/>
    <mergeCell ref="I172:I174"/>
    <mergeCell ref="I175:I177"/>
    <mergeCell ref="I178:I180"/>
    <mergeCell ref="D172:D174"/>
    <mergeCell ref="K223:K225"/>
    <mergeCell ref="E226:E228"/>
    <mergeCell ref="F226:F228"/>
    <mergeCell ref="I226:I228"/>
    <mergeCell ref="M2:W7"/>
    <mergeCell ref="N15:W17"/>
    <mergeCell ref="N18:W20"/>
    <mergeCell ref="M9:M11"/>
    <mergeCell ref="M12:M14"/>
    <mergeCell ref="G178:G180"/>
    <mergeCell ref="N9:W11"/>
    <mergeCell ref="N12:W14"/>
    <mergeCell ref="J190:J192"/>
    <mergeCell ref="J82:J84"/>
    <mergeCell ref="J64:J66"/>
    <mergeCell ref="J55:J57"/>
    <mergeCell ref="J58:J60"/>
    <mergeCell ref="K58:K60"/>
    <mergeCell ref="J85:J87"/>
    <mergeCell ref="K85:K87"/>
    <mergeCell ref="J154:J156"/>
    <mergeCell ref="K154:K156"/>
    <mergeCell ref="H148:H150"/>
    <mergeCell ref="H151:H153"/>
    <mergeCell ref="J97:J99"/>
    <mergeCell ref="H103:H105"/>
    <mergeCell ref="H106:H108"/>
    <mergeCell ref="H109:H111"/>
    <mergeCell ref="M22:W23"/>
    <mergeCell ref="O27:Q27"/>
    <mergeCell ref="R27:T27"/>
    <mergeCell ref="K127:K129"/>
    <mergeCell ref="K148:K150"/>
    <mergeCell ref="K151:K153"/>
    <mergeCell ref="K175:K177"/>
    <mergeCell ref="I55:I57"/>
    <mergeCell ref="AG29:AH29"/>
    <mergeCell ref="M15:M17"/>
    <mergeCell ref="Y31:Y33"/>
    <mergeCell ref="M18:M20"/>
    <mergeCell ref="AD34:AD36"/>
    <mergeCell ref="AC31:AC33"/>
    <mergeCell ref="AD31:AD33"/>
    <mergeCell ref="Z103:Z105"/>
    <mergeCell ref="AA40:AA42"/>
    <mergeCell ref="AA43:AA45"/>
    <mergeCell ref="AA46:AA48"/>
    <mergeCell ref="AA49:AA51"/>
    <mergeCell ref="AA82:AA84"/>
    <mergeCell ref="AA52:AA54"/>
    <mergeCell ref="AA91:AA93"/>
    <mergeCell ref="AA94:AA96"/>
    <mergeCell ref="AB55:AB57"/>
    <mergeCell ref="AC61:AC63"/>
    <mergeCell ref="AC64:AC66"/>
    <mergeCell ref="AE37:AE39"/>
    <mergeCell ref="AF37:AF39"/>
    <mergeCell ref="Y52:Y54"/>
    <mergeCell ref="Y40:Y42"/>
    <mergeCell ref="Z31:Z33"/>
    <mergeCell ref="X34:X36"/>
    <mergeCell ref="X37:X39"/>
    <mergeCell ref="X40:X42"/>
    <mergeCell ref="Y43:Y45"/>
    <mergeCell ref="M27:N27"/>
    <mergeCell ref="Y46:Y48"/>
    <mergeCell ref="Y49:Y51"/>
    <mergeCell ref="AG37:AG39"/>
    <mergeCell ref="AE31:AE33"/>
    <mergeCell ref="AF31:AF33"/>
    <mergeCell ref="AG31:AG33"/>
    <mergeCell ref="AA31:AA33"/>
    <mergeCell ref="AB31:AB33"/>
    <mergeCell ref="X58:X60"/>
    <mergeCell ref="X52:X54"/>
    <mergeCell ref="AO34:AO36"/>
    <mergeCell ref="AI37:AI39"/>
    <mergeCell ref="AJ37:AJ39"/>
    <mergeCell ref="AO37:AO39"/>
    <mergeCell ref="AI34:AI36"/>
    <mergeCell ref="AN34:AN36"/>
    <mergeCell ref="AM37:AM39"/>
    <mergeCell ref="AJ34:AJ36"/>
    <mergeCell ref="Z55:Z57"/>
    <mergeCell ref="Z58:Z60"/>
    <mergeCell ref="Z40:Z42"/>
    <mergeCell ref="Z43:Z45"/>
    <mergeCell ref="Z46:Z48"/>
    <mergeCell ref="Z49:Z51"/>
    <mergeCell ref="Z52:Z54"/>
    <mergeCell ref="AO31:AO33"/>
    <mergeCell ref="AB40:AB42"/>
    <mergeCell ref="AB43:AB45"/>
    <mergeCell ref="AB46:AB48"/>
    <mergeCell ref="AB49:AB51"/>
    <mergeCell ref="AB52:AB54"/>
    <mergeCell ref="AC46:AC48"/>
    <mergeCell ref="AC49:AC51"/>
    <mergeCell ref="AC52:AC54"/>
    <mergeCell ref="AC40:AC42"/>
    <mergeCell ref="AM29:AN29"/>
    <mergeCell ref="X31:X33"/>
    <mergeCell ref="AO29:AP29"/>
    <mergeCell ref="Y29:Z29"/>
    <mergeCell ref="AA29:AB29"/>
    <mergeCell ref="AP31:AP33"/>
    <mergeCell ref="Y34:Y36"/>
    <mergeCell ref="Y37:Y39"/>
    <mergeCell ref="Z34:Z36"/>
    <mergeCell ref="Z37:Z39"/>
    <mergeCell ref="AC34:AC36"/>
    <mergeCell ref="AC37:AC39"/>
    <mergeCell ref="AG34:AG36"/>
    <mergeCell ref="AH34:AH36"/>
    <mergeCell ref="AE34:AE36"/>
    <mergeCell ref="AN31:AN33"/>
    <mergeCell ref="AK34:AK36"/>
    <mergeCell ref="AK37:AK39"/>
    <mergeCell ref="AA34:AA36"/>
    <mergeCell ref="AA37:AA39"/>
    <mergeCell ref="AB34:AB36"/>
    <mergeCell ref="AB37:AB39"/>
    <mergeCell ref="AD37:AD39"/>
    <mergeCell ref="AH37:AH39"/>
    <mergeCell ref="AH31:AH33"/>
    <mergeCell ref="AF34:AF36"/>
    <mergeCell ref="AJ31:AJ33"/>
    <mergeCell ref="AM31:AM33"/>
    <mergeCell ref="AI31:AI33"/>
    <mergeCell ref="AP34:AP36"/>
    <mergeCell ref="AP37:AP39"/>
    <mergeCell ref="AN37:AN39"/>
    <mergeCell ref="Y121:Y123"/>
    <mergeCell ref="Y127:Y129"/>
    <mergeCell ref="Y130:Y132"/>
    <mergeCell ref="Y133:Y135"/>
    <mergeCell ref="Y136:Y138"/>
    <mergeCell ref="Y73:Y75"/>
    <mergeCell ref="Y76:Y78"/>
    <mergeCell ref="Y82:Y84"/>
    <mergeCell ref="Y55:Y57"/>
    <mergeCell ref="Y64:Y66"/>
    <mergeCell ref="Y58:Y60"/>
    <mergeCell ref="Y172:Y174"/>
    <mergeCell ref="Y175:Y177"/>
    <mergeCell ref="Y178:Y180"/>
    <mergeCell ref="Y181:Y183"/>
    <mergeCell ref="Y184:Y186"/>
    <mergeCell ref="Y106:Y108"/>
    <mergeCell ref="Y109:Y111"/>
    <mergeCell ref="Y112:Y114"/>
    <mergeCell ref="Y118:Y120"/>
    <mergeCell ref="Y97:Y99"/>
    <mergeCell ref="Y100:Y102"/>
    <mergeCell ref="Y103:Y105"/>
    <mergeCell ref="Y85:Y87"/>
    <mergeCell ref="Y88:Y90"/>
    <mergeCell ref="Y91:Y93"/>
    <mergeCell ref="Y94:Y96"/>
    <mergeCell ref="Y61:Y63"/>
    <mergeCell ref="Y67:Y69"/>
    <mergeCell ref="Y187:Y189"/>
    <mergeCell ref="Y154:Y156"/>
    <mergeCell ref="Y160:Y162"/>
    <mergeCell ref="Y163:Y165"/>
    <mergeCell ref="Y166:Y168"/>
    <mergeCell ref="Y169:Y171"/>
    <mergeCell ref="Y142:Y144"/>
    <mergeCell ref="Y145:Y147"/>
    <mergeCell ref="Y148:Y150"/>
    <mergeCell ref="Y151:Y153"/>
    <mergeCell ref="Y217:Y219"/>
    <mergeCell ref="Y220:Y222"/>
    <mergeCell ref="Y223:Y225"/>
    <mergeCell ref="Y226:Y228"/>
    <mergeCell ref="Y208:Y210"/>
    <mergeCell ref="Y211:Y213"/>
    <mergeCell ref="Y190:Y192"/>
    <mergeCell ref="Y193:Y195"/>
    <mergeCell ref="Y196:Y198"/>
    <mergeCell ref="Y199:Y201"/>
    <mergeCell ref="Y202:Y204"/>
    <mergeCell ref="Z106:Z108"/>
    <mergeCell ref="Z91:Z93"/>
    <mergeCell ref="Z94:Z96"/>
    <mergeCell ref="Z85:Z87"/>
    <mergeCell ref="Z88:Z90"/>
    <mergeCell ref="Z67:Z69"/>
    <mergeCell ref="Z73:Z75"/>
    <mergeCell ref="Z76:Z78"/>
    <mergeCell ref="Z82:Z84"/>
    <mergeCell ref="Z61:Z63"/>
    <mergeCell ref="Z64:Z66"/>
    <mergeCell ref="Z226:Z228"/>
    <mergeCell ref="Z217:Z219"/>
    <mergeCell ref="Z220:Z222"/>
    <mergeCell ref="Z223:Z225"/>
    <mergeCell ref="Z178:Z180"/>
    <mergeCell ref="Z181:Z183"/>
    <mergeCell ref="Z184:Z186"/>
    <mergeCell ref="Z187:Z189"/>
    <mergeCell ref="Z190:Z192"/>
    <mergeCell ref="Z193:Z195"/>
    <mergeCell ref="Z160:Z162"/>
    <mergeCell ref="Z163:Z165"/>
    <mergeCell ref="Z166:Z168"/>
    <mergeCell ref="Z169:Z171"/>
    <mergeCell ref="Z172:Z174"/>
    <mergeCell ref="Z175:Z177"/>
    <mergeCell ref="Z211:Z213"/>
    <mergeCell ref="Z208:Z210"/>
    <mergeCell ref="Z196:Z198"/>
    <mergeCell ref="Z199:Z201"/>
    <mergeCell ref="Z202:Z204"/>
    <mergeCell ref="Z142:Z144"/>
    <mergeCell ref="Z145:Z147"/>
    <mergeCell ref="Z148:Z150"/>
    <mergeCell ref="Z151:Z153"/>
    <mergeCell ref="Z154:Z156"/>
    <mergeCell ref="Z127:Z129"/>
    <mergeCell ref="Z130:Z132"/>
    <mergeCell ref="Z133:Z135"/>
    <mergeCell ref="Z136:Z138"/>
    <mergeCell ref="Z109:Z111"/>
    <mergeCell ref="AA85:AA87"/>
    <mergeCell ref="AA88:AA90"/>
    <mergeCell ref="AA67:AA69"/>
    <mergeCell ref="AA73:AA75"/>
    <mergeCell ref="AA76:AA78"/>
    <mergeCell ref="AA55:AA57"/>
    <mergeCell ref="AA61:AA63"/>
    <mergeCell ref="AA64:AA66"/>
    <mergeCell ref="AA58:AA60"/>
    <mergeCell ref="Z112:Z114"/>
    <mergeCell ref="Z118:Z120"/>
    <mergeCell ref="Z121:Z123"/>
    <mergeCell ref="Z97:Z99"/>
    <mergeCell ref="Z100:Z102"/>
    <mergeCell ref="AA109:AA111"/>
    <mergeCell ref="AA112:AA114"/>
    <mergeCell ref="AA118:AA120"/>
    <mergeCell ref="AA121:AA123"/>
    <mergeCell ref="AA97:AA99"/>
    <mergeCell ref="AA100:AA102"/>
    <mergeCell ref="AA103:AA105"/>
    <mergeCell ref="AA106:AA108"/>
    <mergeCell ref="AA217:AA219"/>
    <mergeCell ref="AA196:AA198"/>
    <mergeCell ref="AA199:AA201"/>
    <mergeCell ref="AA202:AA204"/>
    <mergeCell ref="AA208:AA210"/>
    <mergeCell ref="AA178:AA180"/>
    <mergeCell ref="AA181:AA183"/>
    <mergeCell ref="AA184:AA186"/>
    <mergeCell ref="AA187:AA189"/>
    <mergeCell ref="AB61:AB63"/>
    <mergeCell ref="AB64:AB66"/>
    <mergeCell ref="AB67:AB69"/>
    <mergeCell ref="AB73:AB75"/>
    <mergeCell ref="AB76:AB78"/>
    <mergeCell ref="AB58:AB60"/>
    <mergeCell ref="AB118:AB120"/>
    <mergeCell ref="AB82:AB84"/>
    <mergeCell ref="AB142:AB144"/>
    <mergeCell ref="AB145:AB147"/>
    <mergeCell ref="AB148:AB150"/>
    <mergeCell ref="AB202:AB204"/>
    <mergeCell ref="AA190:AA192"/>
    <mergeCell ref="AA193:AA195"/>
    <mergeCell ref="AA160:AA162"/>
    <mergeCell ref="AA151:AA153"/>
    <mergeCell ref="AA154:AA156"/>
    <mergeCell ref="AA127:AA129"/>
    <mergeCell ref="AA130:AA132"/>
    <mergeCell ref="AA133:AA135"/>
    <mergeCell ref="AA136:AA138"/>
    <mergeCell ref="AC43:AC45"/>
    <mergeCell ref="AB220:AB222"/>
    <mergeCell ref="AB223:AB225"/>
    <mergeCell ref="AB208:AB210"/>
    <mergeCell ref="AB211:AB213"/>
    <mergeCell ref="AC91:AC93"/>
    <mergeCell ref="AC94:AC96"/>
    <mergeCell ref="AC97:AC99"/>
    <mergeCell ref="AC100:AC102"/>
    <mergeCell ref="AB100:AB102"/>
    <mergeCell ref="AB103:AB105"/>
    <mergeCell ref="AB106:AB108"/>
    <mergeCell ref="AB109:AB111"/>
    <mergeCell ref="AB112:AB114"/>
    <mergeCell ref="AB190:AB192"/>
    <mergeCell ref="AB193:AB195"/>
    <mergeCell ref="AC163:AC165"/>
    <mergeCell ref="AC118:AC120"/>
    <mergeCell ref="AB217:AB219"/>
    <mergeCell ref="AB85:AB87"/>
    <mergeCell ref="AB88:AB90"/>
    <mergeCell ref="AB199:AB201"/>
    <mergeCell ref="AB127:AB129"/>
    <mergeCell ref="AB130:AB132"/>
    <mergeCell ref="AB133:AB135"/>
    <mergeCell ref="AB121:AB123"/>
    <mergeCell ref="AB196:AB198"/>
    <mergeCell ref="AC145:AC147"/>
    <mergeCell ref="AC85:AC87"/>
    <mergeCell ref="AC199:AC201"/>
    <mergeCell ref="AC178:AC180"/>
    <mergeCell ref="AC181:AC183"/>
    <mergeCell ref="B273:B275"/>
    <mergeCell ref="C273:C275"/>
    <mergeCell ref="J273:J275"/>
    <mergeCell ref="AC88:AC90"/>
    <mergeCell ref="AC166:AC168"/>
    <mergeCell ref="AC169:AC171"/>
    <mergeCell ref="AC172:AC174"/>
    <mergeCell ref="AC175:AC177"/>
    <mergeCell ref="AC196:AC198"/>
    <mergeCell ref="AC133:AC135"/>
    <mergeCell ref="AC136:AC138"/>
    <mergeCell ref="AC142:AC144"/>
    <mergeCell ref="AC148:AC150"/>
    <mergeCell ref="AC151:AC153"/>
    <mergeCell ref="AC154:AC156"/>
    <mergeCell ref="AC160:AC162"/>
    <mergeCell ref="AC67:AC69"/>
    <mergeCell ref="AC73:AC75"/>
    <mergeCell ref="AC76:AC78"/>
    <mergeCell ref="AB97:AB99"/>
    <mergeCell ref="AB151:AB153"/>
    <mergeCell ref="AB154:AB156"/>
    <mergeCell ref="AB160:AB162"/>
    <mergeCell ref="AB163:AB165"/>
    <mergeCell ref="AB166:AB168"/>
    <mergeCell ref="AB136:AB138"/>
    <mergeCell ref="AB226:AB228"/>
    <mergeCell ref="AB91:AB93"/>
    <mergeCell ref="AB94:AB96"/>
    <mergeCell ref="AB172:AB174"/>
    <mergeCell ref="AB175:AB177"/>
    <mergeCell ref="AB178:AB180"/>
    <mergeCell ref="AC184:AC186"/>
    <mergeCell ref="AC187:AC189"/>
    <mergeCell ref="AC106:AC108"/>
    <mergeCell ref="AC109:AC111"/>
    <mergeCell ref="AC112:AC114"/>
    <mergeCell ref="AC55:AC57"/>
    <mergeCell ref="AC58:AC60"/>
    <mergeCell ref="E273:E275"/>
    <mergeCell ref="F273:F275"/>
    <mergeCell ref="G273:G275"/>
    <mergeCell ref="H273:H275"/>
    <mergeCell ref="I273:I275"/>
    <mergeCell ref="AB181:AB183"/>
    <mergeCell ref="AB184:AB186"/>
    <mergeCell ref="AB187:AB189"/>
    <mergeCell ref="AB169:AB171"/>
    <mergeCell ref="AA220:AA222"/>
    <mergeCell ref="AA223:AA225"/>
    <mergeCell ref="AA226:AA228"/>
    <mergeCell ref="AA163:AA165"/>
    <mergeCell ref="AA166:AA168"/>
    <mergeCell ref="AA169:AA171"/>
    <mergeCell ref="AA172:AA174"/>
    <mergeCell ref="AA175:AA177"/>
    <mergeCell ref="AA142:AA144"/>
    <mergeCell ref="AA145:AA147"/>
    <mergeCell ref="AA148:AA150"/>
    <mergeCell ref="AC82:AC84"/>
    <mergeCell ref="AA211:AA213"/>
    <mergeCell ref="I199:I201"/>
    <mergeCell ref="J175:J177"/>
    <mergeCell ref="J151:J153"/>
    <mergeCell ref="AD223:AD225"/>
    <mergeCell ref="AD118:AD120"/>
    <mergeCell ref="AD121:AD123"/>
    <mergeCell ref="AD127:AD129"/>
    <mergeCell ref="AD130:AD132"/>
    <mergeCell ref="AD133:AD135"/>
    <mergeCell ref="AD136:AD138"/>
    <mergeCell ref="AD226:AD228"/>
    <mergeCell ref="AD211:AD213"/>
    <mergeCell ref="AD58:AD60"/>
    <mergeCell ref="AD61:AD63"/>
    <mergeCell ref="AD103:AD105"/>
    <mergeCell ref="AD67:AD69"/>
    <mergeCell ref="AD208:AD210"/>
    <mergeCell ref="AD220:AD222"/>
    <mergeCell ref="AC121:AC123"/>
    <mergeCell ref="AC127:AC129"/>
    <mergeCell ref="AC130:AC132"/>
    <mergeCell ref="AC103:AC105"/>
    <mergeCell ref="AC226:AC228"/>
    <mergeCell ref="AC190:AC192"/>
    <mergeCell ref="AC193:AC195"/>
    <mergeCell ref="AC202:AC204"/>
    <mergeCell ref="AC208:AC210"/>
    <mergeCell ref="AC217:AC219"/>
    <mergeCell ref="AC220:AC222"/>
    <mergeCell ref="AC223:AC225"/>
    <mergeCell ref="AC211:AC213"/>
    <mergeCell ref="AD217:AD219"/>
    <mergeCell ref="AD178:AD180"/>
    <mergeCell ref="AD202:AD204"/>
    <mergeCell ref="AD166:AD168"/>
    <mergeCell ref="AD169:AD171"/>
    <mergeCell ref="AD172:AD174"/>
    <mergeCell ref="AF40:AF42"/>
    <mergeCell ref="AD193:AD195"/>
    <mergeCell ref="AD196:AD198"/>
    <mergeCell ref="AD199:AD201"/>
    <mergeCell ref="AD160:AD162"/>
    <mergeCell ref="AD163:AD165"/>
    <mergeCell ref="AD85:AD87"/>
    <mergeCell ref="AD88:AD90"/>
    <mergeCell ref="AD91:AD93"/>
    <mergeCell ref="AD97:AD99"/>
    <mergeCell ref="AD100:AD102"/>
    <mergeCell ref="AD142:AD144"/>
    <mergeCell ref="AD145:AD147"/>
    <mergeCell ref="AD148:AD150"/>
    <mergeCell ref="AD151:AD153"/>
    <mergeCell ref="AD154:AD156"/>
    <mergeCell ref="AD106:AD108"/>
    <mergeCell ref="AD109:AD111"/>
    <mergeCell ref="AD112:AD114"/>
    <mergeCell ref="AE46:AE48"/>
    <mergeCell ref="AF46:AF48"/>
    <mergeCell ref="AD64:AD66"/>
    <mergeCell ref="AP40:AP42"/>
    <mergeCell ref="AP43:AP45"/>
    <mergeCell ref="AD175:AD177"/>
    <mergeCell ref="AD181:AD183"/>
    <mergeCell ref="AD184:AD186"/>
    <mergeCell ref="AD187:AD189"/>
    <mergeCell ref="AD190:AD192"/>
    <mergeCell ref="AD94:AD96"/>
    <mergeCell ref="AD40:AD42"/>
    <mergeCell ref="AD43:AD45"/>
    <mergeCell ref="AD46:AD48"/>
    <mergeCell ref="AD55:AD57"/>
    <mergeCell ref="AD73:AD75"/>
    <mergeCell ref="AD76:AD78"/>
    <mergeCell ref="AD82:AD84"/>
    <mergeCell ref="AD49:AD51"/>
    <mergeCell ref="AD52:AD54"/>
    <mergeCell ref="AI40:AI42"/>
    <mergeCell ref="AE40:AE42"/>
    <mergeCell ref="AM40:AM42"/>
    <mergeCell ref="AN40:AN42"/>
    <mergeCell ref="AM43:AM45"/>
    <mergeCell ref="AM46:AM48"/>
    <mergeCell ref="AN46:AN48"/>
    <mergeCell ref="AH43:AH45"/>
    <mergeCell ref="AI46:AI48"/>
    <mergeCell ref="AG46:AG48"/>
    <mergeCell ref="AF49:AF51"/>
    <mergeCell ref="AE43:AE45"/>
    <mergeCell ref="AF43:AF45"/>
    <mergeCell ref="AG43:AG45"/>
    <mergeCell ref="AG40:AG42"/>
    <mergeCell ref="AH40:AH42"/>
    <mergeCell ref="AJ40:AJ42"/>
    <mergeCell ref="AN43:AN45"/>
    <mergeCell ref="AI43:AI45"/>
    <mergeCell ref="AM49:AM51"/>
    <mergeCell ref="AN49:AN51"/>
    <mergeCell ref="AO43:AO45"/>
    <mergeCell ref="AJ43:AJ45"/>
    <mergeCell ref="AI52:AI54"/>
    <mergeCell ref="AI49:AI51"/>
    <mergeCell ref="AG52:AG54"/>
    <mergeCell ref="AH52:AH54"/>
    <mergeCell ref="AG49:AG51"/>
    <mergeCell ref="AH49:AH51"/>
    <mergeCell ref="AJ52:AJ54"/>
    <mergeCell ref="AO46:AO48"/>
    <mergeCell ref="AO40:AO42"/>
    <mergeCell ref="AP46:AP48"/>
    <mergeCell ref="AO49:AO51"/>
    <mergeCell ref="AP49:AP51"/>
    <mergeCell ref="AO52:AO54"/>
    <mergeCell ref="AP52:AP54"/>
    <mergeCell ref="AJ46:AJ48"/>
    <mergeCell ref="AN52:AN54"/>
    <mergeCell ref="AK52:AK54"/>
    <mergeCell ref="AL52:AL54"/>
    <mergeCell ref="AE49:AE51"/>
    <mergeCell ref="AM52:AM54"/>
    <mergeCell ref="AE52:AE54"/>
    <mergeCell ref="AF52:AF54"/>
    <mergeCell ref="AJ49:AJ51"/>
    <mergeCell ref="AI55:AI57"/>
    <mergeCell ref="AJ55:AJ57"/>
    <mergeCell ref="AE55:AE57"/>
    <mergeCell ref="AF55:AF57"/>
    <mergeCell ref="AG55:AG57"/>
    <mergeCell ref="AH55:AH57"/>
    <mergeCell ref="AO55:AO57"/>
    <mergeCell ref="AP55:AP57"/>
    <mergeCell ref="AK55:AK57"/>
    <mergeCell ref="AL55:AL57"/>
    <mergeCell ref="AM55:AM57"/>
    <mergeCell ref="AN55:AN57"/>
    <mergeCell ref="AH46:AH48"/>
    <mergeCell ref="AI58:AI60"/>
    <mergeCell ref="AJ58:AJ60"/>
    <mergeCell ref="AE58:AE60"/>
    <mergeCell ref="AF58:AF60"/>
    <mergeCell ref="AG58:AG60"/>
    <mergeCell ref="AH58:AH60"/>
    <mergeCell ref="AO58:AO60"/>
    <mergeCell ref="AP58:AP60"/>
    <mergeCell ref="AK58:AK60"/>
    <mergeCell ref="AL58:AL60"/>
    <mergeCell ref="AM58:AM60"/>
    <mergeCell ref="AN58:AN60"/>
    <mergeCell ref="AO64:AO66"/>
    <mergeCell ref="AP64:AP66"/>
    <mergeCell ref="AK64:AK66"/>
    <mergeCell ref="AL64:AL66"/>
    <mergeCell ref="AM64:AM66"/>
    <mergeCell ref="AN64:AN66"/>
    <mergeCell ref="AE64:AE66"/>
    <mergeCell ref="AF64:AF66"/>
    <mergeCell ref="AG64:AG66"/>
    <mergeCell ref="AH64:AH66"/>
    <mergeCell ref="AI64:AI66"/>
    <mergeCell ref="AJ64:AJ66"/>
    <mergeCell ref="AI61:AI63"/>
    <mergeCell ref="AJ61:AJ63"/>
    <mergeCell ref="AE61:AE63"/>
    <mergeCell ref="AF61:AF63"/>
    <mergeCell ref="AG61:AG63"/>
    <mergeCell ref="AH61:AH63"/>
    <mergeCell ref="AO61:AO63"/>
    <mergeCell ref="AP61:AP63"/>
    <mergeCell ref="AK61:AK63"/>
    <mergeCell ref="AL61:AL63"/>
    <mergeCell ref="AM61:AM63"/>
    <mergeCell ref="AN61:AN63"/>
    <mergeCell ref="AI67:AI69"/>
    <mergeCell ref="AJ67:AJ69"/>
    <mergeCell ref="AE67:AE69"/>
    <mergeCell ref="AF67:AF69"/>
    <mergeCell ref="AG67:AG69"/>
    <mergeCell ref="AH67:AH69"/>
    <mergeCell ref="AO67:AO69"/>
    <mergeCell ref="AP67:AP69"/>
    <mergeCell ref="AK67:AK69"/>
    <mergeCell ref="AL67:AL69"/>
    <mergeCell ref="AM67:AM69"/>
    <mergeCell ref="AN67:AN69"/>
    <mergeCell ref="AO76:AO78"/>
    <mergeCell ref="AP76:AP78"/>
    <mergeCell ref="AK76:AK78"/>
    <mergeCell ref="AL76:AL78"/>
    <mergeCell ref="AM76:AM78"/>
    <mergeCell ref="AN76:AN78"/>
    <mergeCell ref="AE76:AE78"/>
    <mergeCell ref="AF76:AF78"/>
    <mergeCell ref="AG76:AG78"/>
    <mergeCell ref="AH76:AH78"/>
    <mergeCell ref="AI76:AI78"/>
    <mergeCell ref="AJ76:AJ78"/>
    <mergeCell ref="AI73:AI75"/>
    <mergeCell ref="AJ73:AJ75"/>
    <mergeCell ref="AE73:AE75"/>
    <mergeCell ref="AF73:AF75"/>
    <mergeCell ref="AG73:AG75"/>
    <mergeCell ref="AH73:AH75"/>
    <mergeCell ref="AO73:AO75"/>
    <mergeCell ref="AP73:AP75"/>
    <mergeCell ref="AK73:AK75"/>
    <mergeCell ref="AL73:AL75"/>
    <mergeCell ref="AM73:AM75"/>
    <mergeCell ref="AN73:AN75"/>
    <mergeCell ref="AI82:AI84"/>
    <mergeCell ref="AJ82:AJ84"/>
    <mergeCell ref="AE82:AE84"/>
    <mergeCell ref="AF82:AF84"/>
    <mergeCell ref="AG82:AG84"/>
    <mergeCell ref="AH82:AH84"/>
    <mergeCell ref="AO82:AO84"/>
    <mergeCell ref="AP82:AP84"/>
    <mergeCell ref="AK82:AK84"/>
    <mergeCell ref="AL82:AL84"/>
    <mergeCell ref="AM82:AM84"/>
    <mergeCell ref="AN82:AN84"/>
    <mergeCell ref="AO88:AO90"/>
    <mergeCell ref="AP88:AP90"/>
    <mergeCell ref="AK88:AK90"/>
    <mergeCell ref="AL88:AL90"/>
    <mergeCell ref="AM88:AM90"/>
    <mergeCell ref="AN88:AN90"/>
    <mergeCell ref="AE88:AE90"/>
    <mergeCell ref="AF88:AF90"/>
    <mergeCell ref="AG88:AG90"/>
    <mergeCell ref="AH88:AH90"/>
    <mergeCell ref="AI88:AI90"/>
    <mergeCell ref="AJ88:AJ90"/>
    <mergeCell ref="AI85:AI87"/>
    <mergeCell ref="AJ85:AJ87"/>
    <mergeCell ref="AE85:AE87"/>
    <mergeCell ref="AF85:AF87"/>
    <mergeCell ref="AG85:AG87"/>
    <mergeCell ref="AH85:AH87"/>
    <mergeCell ref="AO85:AO87"/>
    <mergeCell ref="AP85:AP87"/>
    <mergeCell ref="AK85:AK87"/>
    <mergeCell ref="AL85:AL87"/>
    <mergeCell ref="AM85:AM87"/>
    <mergeCell ref="AN85:AN87"/>
    <mergeCell ref="AO91:AO93"/>
    <mergeCell ref="AP91:AP93"/>
    <mergeCell ref="AK91:AK93"/>
    <mergeCell ref="AL91:AL93"/>
    <mergeCell ref="AM91:AM93"/>
    <mergeCell ref="AN91:AN93"/>
    <mergeCell ref="AE91:AE93"/>
    <mergeCell ref="AF91:AF93"/>
    <mergeCell ref="AG91:AG93"/>
    <mergeCell ref="AH91:AH93"/>
    <mergeCell ref="AI91:AI93"/>
    <mergeCell ref="AJ91:AJ93"/>
    <mergeCell ref="AI94:AI96"/>
    <mergeCell ref="AJ94:AJ96"/>
    <mergeCell ref="AE94:AE96"/>
    <mergeCell ref="AF94:AF96"/>
    <mergeCell ref="AG94:AG96"/>
    <mergeCell ref="AH94:AH96"/>
    <mergeCell ref="AO94:AO96"/>
    <mergeCell ref="AP94:AP96"/>
    <mergeCell ref="AK94:AK96"/>
    <mergeCell ref="AL94:AL96"/>
    <mergeCell ref="AM94:AM96"/>
    <mergeCell ref="AN94:AN96"/>
    <mergeCell ref="AO97:AO99"/>
    <mergeCell ref="AP97:AP99"/>
    <mergeCell ref="AK97:AK99"/>
    <mergeCell ref="AL97:AL99"/>
    <mergeCell ref="AM97:AM99"/>
    <mergeCell ref="AN97:AN99"/>
    <mergeCell ref="AE97:AE99"/>
    <mergeCell ref="AF97:AF99"/>
    <mergeCell ref="AG97:AG99"/>
    <mergeCell ref="AH97:AH99"/>
    <mergeCell ref="AI97:AI99"/>
    <mergeCell ref="AJ97:AJ99"/>
    <mergeCell ref="AI100:AI102"/>
    <mergeCell ref="AJ100:AJ102"/>
    <mergeCell ref="AE100:AE102"/>
    <mergeCell ref="AF100:AF102"/>
    <mergeCell ref="AG100:AG102"/>
    <mergeCell ref="AH100:AH102"/>
    <mergeCell ref="AO100:AO102"/>
    <mergeCell ref="AP100:AP102"/>
    <mergeCell ref="AK100:AK102"/>
    <mergeCell ref="AL100:AL102"/>
    <mergeCell ref="AM100:AM102"/>
    <mergeCell ref="AN100:AN102"/>
    <mergeCell ref="AO106:AO108"/>
    <mergeCell ref="AP106:AP108"/>
    <mergeCell ref="AK106:AK108"/>
    <mergeCell ref="AL106:AL108"/>
    <mergeCell ref="AM106:AM108"/>
    <mergeCell ref="AN106:AN108"/>
    <mergeCell ref="AE106:AE108"/>
    <mergeCell ref="AF106:AF108"/>
    <mergeCell ref="AG106:AG108"/>
    <mergeCell ref="AH106:AH108"/>
    <mergeCell ref="AI106:AI108"/>
    <mergeCell ref="AJ106:AJ108"/>
    <mergeCell ref="AI103:AI105"/>
    <mergeCell ref="AJ103:AJ105"/>
    <mergeCell ref="AE103:AE105"/>
    <mergeCell ref="AF103:AF105"/>
    <mergeCell ref="AG103:AG105"/>
    <mergeCell ref="AH103:AH105"/>
    <mergeCell ref="AO103:AO105"/>
    <mergeCell ref="AP103:AP105"/>
    <mergeCell ref="AK103:AK105"/>
    <mergeCell ref="AL103:AL105"/>
    <mergeCell ref="AM103:AM105"/>
    <mergeCell ref="AN103:AN105"/>
    <mergeCell ref="AK121:AK123"/>
    <mergeCell ref="AL121:AL123"/>
    <mergeCell ref="AM121:AM123"/>
    <mergeCell ref="AN121:AN123"/>
    <mergeCell ref="AO112:AO114"/>
    <mergeCell ref="AP112:AP114"/>
    <mergeCell ref="AK112:AK114"/>
    <mergeCell ref="AL112:AL114"/>
    <mergeCell ref="AM112:AM114"/>
    <mergeCell ref="AN112:AN114"/>
    <mergeCell ref="AE112:AE114"/>
    <mergeCell ref="AF112:AF114"/>
    <mergeCell ref="AG112:AG114"/>
    <mergeCell ref="AH112:AH114"/>
    <mergeCell ref="AI112:AI114"/>
    <mergeCell ref="AJ112:AJ114"/>
    <mergeCell ref="AI109:AI111"/>
    <mergeCell ref="AJ109:AJ111"/>
    <mergeCell ref="AE109:AE111"/>
    <mergeCell ref="AF109:AF111"/>
    <mergeCell ref="AG109:AG111"/>
    <mergeCell ref="AH109:AH111"/>
    <mergeCell ref="AO109:AO111"/>
    <mergeCell ref="AP109:AP111"/>
    <mergeCell ref="AK109:AK111"/>
    <mergeCell ref="AL109:AL111"/>
    <mergeCell ref="AM109:AM111"/>
    <mergeCell ref="AN109:AN111"/>
    <mergeCell ref="AI127:AI129"/>
    <mergeCell ref="AJ127:AJ129"/>
    <mergeCell ref="AE127:AE129"/>
    <mergeCell ref="AF127:AF129"/>
    <mergeCell ref="AG127:AG129"/>
    <mergeCell ref="AH127:AH129"/>
    <mergeCell ref="AO127:AO129"/>
    <mergeCell ref="AP127:AP129"/>
    <mergeCell ref="AK127:AK129"/>
    <mergeCell ref="AL127:AL129"/>
    <mergeCell ref="AM127:AM129"/>
    <mergeCell ref="AN127:AN129"/>
    <mergeCell ref="AO118:AO120"/>
    <mergeCell ref="AP118:AP120"/>
    <mergeCell ref="AK118:AK120"/>
    <mergeCell ref="AL118:AL120"/>
    <mergeCell ref="AM118:AM120"/>
    <mergeCell ref="AN118:AN120"/>
    <mergeCell ref="AE118:AE120"/>
    <mergeCell ref="AF118:AF120"/>
    <mergeCell ref="AG118:AG120"/>
    <mergeCell ref="AH118:AH120"/>
    <mergeCell ref="AI118:AI120"/>
    <mergeCell ref="AJ118:AJ120"/>
    <mergeCell ref="AI121:AI123"/>
    <mergeCell ref="AJ121:AJ123"/>
    <mergeCell ref="AE121:AE123"/>
    <mergeCell ref="AF121:AF123"/>
    <mergeCell ref="AG121:AG123"/>
    <mergeCell ref="AH121:AH123"/>
    <mergeCell ref="AO121:AO123"/>
    <mergeCell ref="AP121:AP123"/>
    <mergeCell ref="AI133:AI135"/>
    <mergeCell ref="AJ133:AJ135"/>
    <mergeCell ref="AE133:AE135"/>
    <mergeCell ref="AF133:AF135"/>
    <mergeCell ref="AG133:AG135"/>
    <mergeCell ref="AH133:AH135"/>
    <mergeCell ref="AO133:AO135"/>
    <mergeCell ref="AP133:AP135"/>
    <mergeCell ref="AK133:AK135"/>
    <mergeCell ref="AL133:AL135"/>
    <mergeCell ref="AM133:AM135"/>
    <mergeCell ref="AN133:AN135"/>
    <mergeCell ref="AO130:AO132"/>
    <mergeCell ref="AP130:AP132"/>
    <mergeCell ref="AK130:AK132"/>
    <mergeCell ref="AL130:AL132"/>
    <mergeCell ref="AM130:AM132"/>
    <mergeCell ref="AN130:AN132"/>
    <mergeCell ref="AE130:AE132"/>
    <mergeCell ref="AF130:AF132"/>
    <mergeCell ref="AG130:AG132"/>
    <mergeCell ref="AH130:AH132"/>
    <mergeCell ref="AI130:AI132"/>
    <mergeCell ref="AJ130:AJ132"/>
    <mergeCell ref="AI142:AI144"/>
    <mergeCell ref="AJ142:AJ144"/>
    <mergeCell ref="AE142:AE144"/>
    <mergeCell ref="AF142:AF144"/>
    <mergeCell ref="AG142:AG144"/>
    <mergeCell ref="AH142:AH144"/>
    <mergeCell ref="AO142:AO144"/>
    <mergeCell ref="AP142:AP144"/>
    <mergeCell ref="AK142:AK144"/>
    <mergeCell ref="AL142:AL144"/>
    <mergeCell ref="AM142:AM144"/>
    <mergeCell ref="AN142:AN144"/>
    <mergeCell ref="AO136:AO138"/>
    <mergeCell ref="AP136:AP138"/>
    <mergeCell ref="AK136:AK138"/>
    <mergeCell ref="AL136:AL138"/>
    <mergeCell ref="AM136:AM138"/>
    <mergeCell ref="AN136:AN138"/>
    <mergeCell ref="AE136:AE138"/>
    <mergeCell ref="AF136:AF138"/>
    <mergeCell ref="AG136:AG138"/>
    <mergeCell ref="AH136:AH138"/>
    <mergeCell ref="AI136:AI138"/>
    <mergeCell ref="AJ136:AJ138"/>
    <mergeCell ref="AI148:AI150"/>
    <mergeCell ref="AJ148:AJ150"/>
    <mergeCell ref="AE148:AE150"/>
    <mergeCell ref="AF148:AF150"/>
    <mergeCell ref="AG148:AG150"/>
    <mergeCell ref="AH148:AH150"/>
    <mergeCell ref="AO148:AO150"/>
    <mergeCell ref="AP148:AP150"/>
    <mergeCell ref="AK148:AK150"/>
    <mergeCell ref="AL148:AL150"/>
    <mergeCell ref="AM148:AM150"/>
    <mergeCell ref="AN148:AN150"/>
    <mergeCell ref="AO145:AO147"/>
    <mergeCell ref="AP145:AP147"/>
    <mergeCell ref="AK145:AK147"/>
    <mergeCell ref="AL145:AL147"/>
    <mergeCell ref="AM145:AM147"/>
    <mergeCell ref="AN145:AN147"/>
    <mergeCell ref="AE145:AE147"/>
    <mergeCell ref="AF145:AF147"/>
    <mergeCell ref="AG145:AG147"/>
    <mergeCell ref="AH145:AH147"/>
    <mergeCell ref="AI145:AI147"/>
    <mergeCell ref="AJ145:AJ147"/>
    <mergeCell ref="AI160:AI162"/>
    <mergeCell ref="AJ160:AJ162"/>
    <mergeCell ref="AE160:AE162"/>
    <mergeCell ref="AF160:AF162"/>
    <mergeCell ref="AG160:AG162"/>
    <mergeCell ref="AH160:AH162"/>
    <mergeCell ref="AO160:AO162"/>
    <mergeCell ref="AP160:AP162"/>
    <mergeCell ref="AO151:AO153"/>
    <mergeCell ref="AP151:AP153"/>
    <mergeCell ref="AK151:AK153"/>
    <mergeCell ref="AL151:AL153"/>
    <mergeCell ref="AM151:AM153"/>
    <mergeCell ref="AN151:AN153"/>
    <mergeCell ref="AE151:AE153"/>
    <mergeCell ref="AF151:AF153"/>
    <mergeCell ref="AG151:AG153"/>
    <mergeCell ref="AH151:AH153"/>
    <mergeCell ref="AI151:AI153"/>
    <mergeCell ref="AJ151:AJ153"/>
    <mergeCell ref="AG166:AG168"/>
    <mergeCell ref="AH166:AH168"/>
    <mergeCell ref="AO166:AO168"/>
    <mergeCell ref="AP166:AP168"/>
    <mergeCell ref="AK166:AK168"/>
    <mergeCell ref="AL166:AL168"/>
    <mergeCell ref="AM166:AM168"/>
    <mergeCell ref="AN166:AN168"/>
    <mergeCell ref="AI154:AI156"/>
    <mergeCell ref="AJ154:AJ156"/>
    <mergeCell ref="AE154:AE156"/>
    <mergeCell ref="AF154:AF156"/>
    <mergeCell ref="AG154:AG156"/>
    <mergeCell ref="AH154:AH156"/>
    <mergeCell ref="AO154:AO156"/>
    <mergeCell ref="AP154:AP156"/>
    <mergeCell ref="AK154:AK156"/>
    <mergeCell ref="AL154:AL156"/>
    <mergeCell ref="AM154:AM156"/>
    <mergeCell ref="AN154:AN156"/>
    <mergeCell ref="AO163:AO165"/>
    <mergeCell ref="AP163:AP165"/>
    <mergeCell ref="AK163:AK165"/>
    <mergeCell ref="AL163:AL165"/>
    <mergeCell ref="AM163:AM165"/>
    <mergeCell ref="AN163:AN165"/>
    <mergeCell ref="AE163:AE165"/>
    <mergeCell ref="AF163:AF165"/>
    <mergeCell ref="AG163:AG165"/>
    <mergeCell ref="AH163:AH165"/>
    <mergeCell ref="AI163:AI165"/>
    <mergeCell ref="AJ163:AJ165"/>
    <mergeCell ref="AI172:AI174"/>
    <mergeCell ref="AJ172:AJ174"/>
    <mergeCell ref="AE172:AE174"/>
    <mergeCell ref="AF172:AF174"/>
    <mergeCell ref="AG172:AG174"/>
    <mergeCell ref="AH172:AH174"/>
    <mergeCell ref="AO172:AO174"/>
    <mergeCell ref="AP172:AP174"/>
    <mergeCell ref="AK172:AK174"/>
    <mergeCell ref="AL172:AL174"/>
    <mergeCell ref="AM172:AM174"/>
    <mergeCell ref="AN172:AN174"/>
    <mergeCell ref="AK160:AK162"/>
    <mergeCell ref="AL160:AL162"/>
    <mergeCell ref="AM160:AM162"/>
    <mergeCell ref="AN160:AN162"/>
    <mergeCell ref="AO169:AO171"/>
    <mergeCell ref="AP169:AP171"/>
    <mergeCell ref="AK169:AK171"/>
    <mergeCell ref="AL169:AL171"/>
    <mergeCell ref="AM169:AM171"/>
    <mergeCell ref="AN169:AN171"/>
    <mergeCell ref="AE169:AE171"/>
    <mergeCell ref="AF169:AF171"/>
    <mergeCell ref="AG169:AG171"/>
    <mergeCell ref="AH169:AH171"/>
    <mergeCell ref="AI169:AI171"/>
    <mergeCell ref="AJ169:AJ171"/>
    <mergeCell ref="AI166:AI168"/>
    <mergeCell ref="AJ166:AJ168"/>
    <mergeCell ref="AE166:AE168"/>
    <mergeCell ref="AF166:AF168"/>
    <mergeCell ref="AI178:AI180"/>
    <mergeCell ref="AJ178:AJ180"/>
    <mergeCell ref="AE178:AE180"/>
    <mergeCell ref="AF178:AF180"/>
    <mergeCell ref="AG178:AG180"/>
    <mergeCell ref="AH178:AH180"/>
    <mergeCell ref="AO178:AO180"/>
    <mergeCell ref="AP178:AP180"/>
    <mergeCell ref="AK178:AK180"/>
    <mergeCell ref="AL178:AL180"/>
    <mergeCell ref="AM178:AM180"/>
    <mergeCell ref="AN178:AN180"/>
    <mergeCell ref="AO175:AO177"/>
    <mergeCell ref="AP175:AP177"/>
    <mergeCell ref="AK175:AK177"/>
    <mergeCell ref="AL175:AL177"/>
    <mergeCell ref="AM175:AM177"/>
    <mergeCell ref="AN175:AN177"/>
    <mergeCell ref="AE175:AE177"/>
    <mergeCell ref="AF175:AF177"/>
    <mergeCell ref="AG175:AG177"/>
    <mergeCell ref="AH175:AH177"/>
    <mergeCell ref="AI175:AI177"/>
    <mergeCell ref="AJ175:AJ177"/>
    <mergeCell ref="AI184:AI186"/>
    <mergeCell ref="AJ184:AJ186"/>
    <mergeCell ref="AE184:AE186"/>
    <mergeCell ref="AF184:AF186"/>
    <mergeCell ref="AG184:AG186"/>
    <mergeCell ref="AH184:AH186"/>
    <mergeCell ref="AO184:AO186"/>
    <mergeCell ref="AP184:AP186"/>
    <mergeCell ref="AK184:AK186"/>
    <mergeCell ref="AL184:AL186"/>
    <mergeCell ref="AM184:AM186"/>
    <mergeCell ref="AN184:AN186"/>
    <mergeCell ref="AO181:AO183"/>
    <mergeCell ref="AP181:AP183"/>
    <mergeCell ref="AK181:AK183"/>
    <mergeCell ref="AL181:AL183"/>
    <mergeCell ref="AM181:AM183"/>
    <mergeCell ref="AN181:AN183"/>
    <mergeCell ref="AE181:AE183"/>
    <mergeCell ref="AF181:AF183"/>
    <mergeCell ref="AG181:AG183"/>
    <mergeCell ref="AH181:AH183"/>
    <mergeCell ref="AI181:AI183"/>
    <mergeCell ref="AJ181:AJ183"/>
    <mergeCell ref="AI190:AI192"/>
    <mergeCell ref="AJ190:AJ192"/>
    <mergeCell ref="AE190:AE192"/>
    <mergeCell ref="AF190:AF192"/>
    <mergeCell ref="AG190:AG192"/>
    <mergeCell ref="AH190:AH192"/>
    <mergeCell ref="AO190:AO192"/>
    <mergeCell ref="AP190:AP192"/>
    <mergeCell ref="AK190:AK192"/>
    <mergeCell ref="AL190:AL192"/>
    <mergeCell ref="AM190:AM192"/>
    <mergeCell ref="AN190:AN192"/>
    <mergeCell ref="AO187:AO189"/>
    <mergeCell ref="AP187:AP189"/>
    <mergeCell ref="AK187:AK189"/>
    <mergeCell ref="AL187:AL189"/>
    <mergeCell ref="AM187:AM189"/>
    <mergeCell ref="AN187:AN189"/>
    <mergeCell ref="AE187:AE189"/>
    <mergeCell ref="AF187:AF189"/>
    <mergeCell ref="AG187:AG189"/>
    <mergeCell ref="AH187:AH189"/>
    <mergeCell ref="AI187:AI189"/>
    <mergeCell ref="AJ187:AJ189"/>
    <mergeCell ref="AI196:AI198"/>
    <mergeCell ref="AJ196:AJ198"/>
    <mergeCell ref="AE196:AE198"/>
    <mergeCell ref="AF196:AF198"/>
    <mergeCell ref="AG196:AG198"/>
    <mergeCell ref="AH196:AH198"/>
    <mergeCell ref="AO196:AO198"/>
    <mergeCell ref="AP196:AP198"/>
    <mergeCell ref="AK196:AK198"/>
    <mergeCell ref="AL196:AL198"/>
    <mergeCell ref="AM196:AM198"/>
    <mergeCell ref="AN196:AN198"/>
    <mergeCell ref="AO193:AO195"/>
    <mergeCell ref="AP193:AP195"/>
    <mergeCell ref="AK193:AK195"/>
    <mergeCell ref="AL193:AL195"/>
    <mergeCell ref="AM193:AM195"/>
    <mergeCell ref="AN193:AN195"/>
    <mergeCell ref="AE193:AE195"/>
    <mergeCell ref="AF193:AF195"/>
    <mergeCell ref="AG193:AG195"/>
    <mergeCell ref="AH193:AH195"/>
    <mergeCell ref="AI193:AI195"/>
    <mergeCell ref="AJ193:AJ195"/>
    <mergeCell ref="AO208:AO210"/>
    <mergeCell ref="AP208:AP210"/>
    <mergeCell ref="AK208:AK210"/>
    <mergeCell ref="AL208:AL210"/>
    <mergeCell ref="AM208:AM210"/>
    <mergeCell ref="AN208:AN210"/>
    <mergeCell ref="AE208:AE210"/>
    <mergeCell ref="AF208:AF210"/>
    <mergeCell ref="AG208:AG210"/>
    <mergeCell ref="AH208:AH210"/>
    <mergeCell ref="AI208:AI210"/>
    <mergeCell ref="AJ208:AJ210"/>
    <mergeCell ref="AI211:AI213"/>
    <mergeCell ref="AJ211:AJ213"/>
    <mergeCell ref="AE211:AE213"/>
    <mergeCell ref="AO199:AO201"/>
    <mergeCell ref="AP199:AP201"/>
    <mergeCell ref="AK199:AK201"/>
    <mergeCell ref="AL199:AL201"/>
    <mergeCell ref="AM199:AM201"/>
    <mergeCell ref="AN199:AN201"/>
    <mergeCell ref="AE199:AE201"/>
    <mergeCell ref="AF199:AF201"/>
    <mergeCell ref="AG199:AG201"/>
    <mergeCell ref="AH199:AH201"/>
    <mergeCell ref="AI199:AI201"/>
    <mergeCell ref="AJ199:AJ201"/>
    <mergeCell ref="AM223:AM225"/>
    <mergeCell ref="AN223:AN225"/>
    <mergeCell ref="AE223:AE225"/>
    <mergeCell ref="AF223:AF225"/>
    <mergeCell ref="AG223:AG225"/>
    <mergeCell ref="AH223:AH225"/>
    <mergeCell ref="AI223:AI225"/>
    <mergeCell ref="AJ223:AJ225"/>
    <mergeCell ref="AI220:AI222"/>
    <mergeCell ref="AJ220:AJ222"/>
    <mergeCell ref="AE220:AE222"/>
    <mergeCell ref="AF220:AF222"/>
    <mergeCell ref="AG220:AG222"/>
    <mergeCell ref="AH220:AH222"/>
    <mergeCell ref="AO220:AO222"/>
    <mergeCell ref="AO202:AO204"/>
    <mergeCell ref="AP202:AP204"/>
    <mergeCell ref="AK202:AK204"/>
    <mergeCell ref="AL202:AL204"/>
    <mergeCell ref="AM202:AM204"/>
    <mergeCell ref="AN202:AN204"/>
    <mergeCell ref="AE202:AE204"/>
    <mergeCell ref="AF202:AF204"/>
    <mergeCell ref="AG202:AG204"/>
    <mergeCell ref="AH202:AH204"/>
    <mergeCell ref="AI202:AI204"/>
    <mergeCell ref="AJ202:AJ204"/>
    <mergeCell ref="AP220:AP222"/>
    <mergeCell ref="AK220:AK222"/>
    <mergeCell ref="AL220:AL222"/>
    <mergeCell ref="AM220:AM222"/>
    <mergeCell ref="AN220:AN222"/>
    <mergeCell ref="AO217:AO219"/>
    <mergeCell ref="AP217:AP219"/>
    <mergeCell ref="AK217:AK219"/>
    <mergeCell ref="AL217:AL219"/>
    <mergeCell ref="AM217:AM219"/>
    <mergeCell ref="AN217:AN219"/>
    <mergeCell ref="AE217:AE219"/>
    <mergeCell ref="AF217:AF219"/>
    <mergeCell ref="AG217:AG219"/>
    <mergeCell ref="AH217:AH219"/>
    <mergeCell ref="AF211:AF213"/>
    <mergeCell ref="AG211:AG213"/>
    <mergeCell ref="AH211:AH213"/>
    <mergeCell ref="AO211:AO213"/>
    <mergeCell ref="AP211:AP213"/>
    <mergeCell ref="AK211:AK213"/>
    <mergeCell ref="AL211:AL213"/>
    <mergeCell ref="AM211:AM213"/>
    <mergeCell ref="AN211:AN213"/>
    <mergeCell ref="AI217:AI219"/>
    <mergeCell ref="AJ217:AJ219"/>
    <mergeCell ref="H64:H66"/>
    <mergeCell ref="H82:H84"/>
    <mergeCell ref="H61:H63"/>
    <mergeCell ref="K121:K123"/>
    <mergeCell ref="H181:H183"/>
    <mergeCell ref="H184:H186"/>
    <mergeCell ref="H187:H189"/>
    <mergeCell ref="H190:H192"/>
    <mergeCell ref="H172:H174"/>
    <mergeCell ref="H175:H177"/>
    <mergeCell ref="J103:J105"/>
    <mergeCell ref="K76:K78"/>
    <mergeCell ref="AO226:AO228"/>
    <mergeCell ref="AP226:AP228"/>
    <mergeCell ref="AE226:AE228"/>
    <mergeCell ref="AF226:AF228"/>
    <mergeCell ref="AG226:AG228"/>
    <mergeCell ref="AH226:AH228"/>
    <mergeCell ref="AN226:AN228"/>
    <mergeCell ref="AI226:AI228"/>
    <mergeCell ref="AK226:AK228"/>
    <mergeCell ref="AL226:AL228"/>
    <mergeCell ref="AM226:AM228"/>
    <mergeCell ref="AJ226:AJ228"/>
    <mergeCell ref="AO223:AO225"/>
    <mergeCell ref="AP223:AP225"/>
    <mergeCell ref="AK223:AK225"/>
    <mergeCell ref="AL223:AL225"/>
    <mergeCell ref="J100:J102"/>
    <mergeCell ref="J130:J132"/>
    <mergeCell ref="J142:J144"/>
    <mergeCell ref="J145:J147"/>
    <mergeCell ref="I136:I138"/>
    <mergeCell ref="I196:I198"/>
    <mergeCell ref="K133:K135"/>
    <mergeCell ref="I154:I156"/>
    <mergeCell ref="I160:I162"/>
    <mergeCell ref="K88:K90"/>
    <mergeCell ref="K91:K93"/>
    <mergeCell ref="J91:J93"/>
    <mergeCell ref="J88:J90"/>
    <mergeCell ref="K142:K144"/>
    <mergeCell ref="J148:J150"/>
    <mergeCell ref="J220:J222"/>
    <mergeCell ref="J217:J219"/>
    <mergeCell ref="K220:K222"/>
    <mergeCell ref="K181:K183"/>
    <mergeCell ref="K172:K174"/>
    <mergeCell ref="I118:I120"/>
    <mergeCell ref="I121:I123"/>
    <mergeCell ref="K169:K171"/>
    <mergeCell ref="I142:I144"/>
    <mergeCell ref="I145:I147"/>
    <mergeCell ref="I148:I150"/>
    <mergeCell ref="I151:I153"/>
    <mergeCell ref="I211:I213"/>
    <mergeCell ref="J94:J96"/>
    <mergeCell ref="I217:I219"/>
    <mergeCell ref="I37:I39"/>
    <mergeCell ref="I40:I42"/>
    <mergeCell ref="I43:I45"/>
    <mergeCell ref="I46:I48"/>
    <mergeCell ref="I49:I51"/>
    <mergeCell ref="I52:I54"/>
    <mergeCell ref="H217:H219"/>
    <mergeCell ref="H220:H222"/>
    <mergeCell ref="H223:H225"/>
    <mergeCell ref="H202:H204"/>
    <mergeCell ref="H211:H213"/>
    <mergeCell ref="H208:H210"/>
    <mergeCell ref="H154:H156"/>
    <mergeCell ref="H160:H162"/>
    <mergeCell ref="H163:H165"/>
    <mergeCell ref="I85:I87"/>
    <mergeCell ref="I88:I90"/>
    <mergeCell ref="I91:I93"/>
    <mergeCell ref="I73:I75"/>
    <mergeCell ref="I76:I78"/>
    <mergeCell ref="I82:I84"/>
    <mergeCell ref="I202:I204"/>
    <mergeCell ref="I127:I129"/>
    <mergeCell ref="I130:I132"/>
    <mergeCell ref="H112:H114"/>
    <mergeCell ref="I112:I114"/>
    <mergeCell ref="I208:I210"/>
    <mergeCell ref="I184:I186"/>
    <mergeCell ref="I220:I222"/>
    <mergeCell ref="I223:I225"/>
    <mergeCell ref="I58:I60"/>
    <mergeCell ref="I67:I69"/>
  </mergeCells>
  <phoneticPr fontId="20" type="noConversion"/>
  <pageMargins left="0.7" right="0.7" top="0.78740157499999996" bottom="0.78740157499999996" header="0.3" footer="0.3"/>
  <pageSetup paperSize="9" orientation="portrait" r:id="rId1"/>
  <drawing r:id="rId2"/>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dimension ref="A1:EO111"/>
  <sheetViews>
    <sheetView showGridLines="0" zoomScale="80" zoomScaleNormal="80" workbookViewId="0">
      <pane xSplit="3" ySplit="8" topLeftCell="D72" activePane="bottomRight" state="frozen"/>
      <selection activeCell="A5" sqref="A5"/>
      <selection pane="topRight" activeCell="B5" sqref="B5"/>
      <selection pane="bottomLeft" activeCell="A9" sqref="A9"/>
      <selection pane="bottomRight" activeCell="AI21" sqref="AI21"/>
    </sheetView>
  </sheetViews>
  <sheetFormatPr baseColWidth="10" defaultColWidth="9.140625" defaultRowHeight="15" x14ac:dyDescent="0.25"/>
  <cols>
    <col min="1" max="1" width="5.85546875" style="541" customWidth="1"/>
    <col min="2" max="2" width="4.42578125" style="541" customWidth="1"/>
    <col min="3" max="3" width="19.7109375" style="541" customWidth="1"/>
    <col min="4" max="4" width="21" style="541" customWidth="1"/>
    <col min="5" max="5" width="7.140625" style="541" hidden="1" customWidth="1"/>
    <col min="6" max="6" width="5.140625" style="542" hidden="1" customWidth="1"/>
    <col min="7" max="7" width="7.140625" style="541" hidden="1" customWidth="1"/>
    <col min="8" max="8" width="7.140625" style="542" hidden="1" customWidth="1"/>
    <col min="9" max="9" width="7.140625" style="541" hidden="1" customWidth="1"/>
    <col min="10" max="10" width="5.42578125" style="541" hidden="1" customWidth="1"/>
    <col min="11" max="11" width="6.140625" style="541" hidden="1" customWidth="1"/>
    <col min="12" max="14" width="4.28515625" style="541" hidden="1" customWidth="1"/>
    <col min="15" max="15" width="10.140625" style="541" hidden="1" customWidth="1"/>
    <col min="16" max="20" width="5.140625" style="541" hidden="1" customWidth="1"/>
    <col min="21" max="21" width="16.7109375" style="541" hidden="1" customWidth="1"/>
    <col min="22" max="22" width="19.7109375" style="541" hidden="1" customWidth="1"/>
    <col min="23" max="23" width="21.5703125" style="541" hidden="1" customWidth="1"/>
    <col min="24" max="24" width="19.7109375" style="541" hidden="1" customWidth="1"/>
    <col min="25" max="25" width="3.42578125" style="541" hidden="1" customWidth="1"/>
    <col min="26" max="26" width="19.7109375" style="541" hidden="1" customWidth="1"/>
    <col min="27" max="27" width="3.140625" style="541" hidden="1" customWidth="1"/>
    <col min="28" max="28" width="10.85546875" style="541" hidden="1" customWidth="1"/>
    <col min="29" max="29" width="15.28515625" style="541" customWidth="1"/>
    <col min="30" max="30" width="19.7109375" style="541" hidden="1" customWidth="1"/>
    <col min="31" max="31" width="15.85546875" style="541" hidden="1" customWidth="1"/>
    <col min="32" max="33" width="19.7109375" style="541" hidden="1" customWidth="1"/>
    <col min="34" max="34" width="20.140625" style="541" hidden="1" customWidth="1"/>
    <col min="35" max="36" width="19.7109375" style="541" customWidth="1"/>
    <col min="37" max="37" width="13.7109375" style="541" hidden="1" customWidth="1"/>
    <col min="38" max="38" width="12.7109375" style="543" customWidth="1"/>
    <col min="39" max="39" width="6.7109375" style="541" customWidth="1"/>
    <col min="40" max="40" width="5.140625" style="543" customWidth="1"/>
    <col min="41" max="41" width="35" style="541" customWidth="1"/>
    <col min="42" max="42" width="6" style="543" customWidth="1"/>
    <col min="43" max="43" width="21.28515625" style="541" customWidth="1"/>
    <col min="44" max="44" width="14.85546875" style="541" customWidth="1"/>
    <col min="45" max="45" width="6.42578125" style="543" bestFit="1" customWidth="1"/>
    <col min="46" max="46" width="21" style="541" customWidth="1"/>
    <col min="47" max="47" width="14.5703125" style="541" customWidth="1"/>
    <col min="48" max="48" width="25.140625" style="541" customWidth="1"/>
    <col min="49" max="49" width="21.5703125" style="541" customWidth="1"/>
    <col min="50" max="50" width="22" style="541" customWidth="1"/>
    <col min="51" max="51" width="30.140625" style="541" hidden="1" customWidth="1"/>
    <col min="52" max="52" width="24" style="541" hidden="1" customWidth="1"/>
    <col min="53" max="53" width="38.42578125" style="541" hidden="1" customWidth="1"/>
    <col min="54" max="54" width="9.140625" style="541"/>
    <col min="55" max="55" width="56.7109375" style="541" customWidth="1"/>
    <col min="56" max="56" width="9.140625" style="541" customWidth="1"/>
    <col min="57" max="59" width="9.140625" style="541" hidden="1" customWidth="1"/>
    <col min="60" max="60" width="13.140625" style="541" hidden="1" customWidth="1"/>
    <col min="61" max="61" width="12" style="541" hidden="1" customWidth="1"/>
    <col min="62" max="62" width="12.42578125" style="541" hidden="1" customWidth="1"/>
    <col min="63" max="76" width="9.140625" style="541" hidden="1" customWidth="1"/>
    <col min="77" max="77" width="31.85546875" style="541" hidden="1" customWidth="1"/>
    <col min="78" max="78" width="22.140625" style="541" hidden="1" customWidth="1"/>
    <col min="79" max="79" width="15.28515625" style="541" hidden="1" customWidth="1"/>
    <col min="80" max="80" width="23.5703125" style="541" hidden="1" customWidth="1"/>
    <col min="81" max="81" width="25.85546875" style="541" hidden="1" customWidth="1"/>
    <col min="82" max="82" width="29" style="541" hidden="1" customWidth="1"/>
    <col min="83" max="83" width="21.140625" style="541" hidden="1" customWidth="1"/>
    <col min="84" max="84" width="17.140625" style="541" hidden="1" customWidth="1"/>
    <col min="85" max="85" width="13" style="541" hidden="1" customWidth="1"/>
    <col min="86" max="86" width="15.85546875" style="541" hidden="1" customWidth="1"/>
    <col min="87" max="89" width="12.5703125" style="541" hidden="1" customWidth="1"/>
    <col min="90" max="90" width="13" style="541" hidden="1" customWidth="1"/>
    <col min="91" max="91" width="15.7109375" style="541" hidden="1" customWidth="1"/>
    <col min="92" max="92" width="13" style="541" hidden="1" customWidth="1"/>
    <col min="93" max="93" width="10.7109375" style="541" hidden="1" customWidth="1"/>
    <col min="94" max="94" width="5.42578125" style="541" hidden="1" customWidth="1"/>
    <col min="95" max="95" width="11" style="541" hidden="1" customWidth="1"/>
    <col min="96" max="96" width="12" style="541" hidden="1" customWidth="1"/>
    <col min="97" max="97" width="12.140625" style="541" hidden="1" customWidth="1"/>
    <col min="98" max="99" width="13" style="541" hidden="1" customWidth="1"/>
    <col min="100" max="100" width="12.85546875" style="541" hidden="1" customWidth="1"/>
    <col min="101" max="101" width="12.5703125" style="541" hidden="1" customWidth="1"/>
    <col min="102" max="103" width="9.140625" style="541" hidden="1" customWidth="1"/>
    <col min="104" max="104" width="18.7109375" style="541" hidden="1" customWidth="1"/>
    <col min="105" max="106" width="9.140625" style="541" hidden="1" customWidth="1"/>
    <col min="107" max="107" width="19.42578125" style="541" hidden="1" customWidth="1"/>
    <col min="108" max="116" width="9.140625" style="541" hidden="1" customWidth="1"/>
    <col min="117" max="117" width="13.42578125" style="541" hidden="1" customWidth="1"/>
    <col min="118" max="123" width="9.140625" style="541" hidden="1" customWidth="1"/>
    <col min="124" max="124" width="27.5703125" style="541" hidden="1" customWidth="1"/>
    <col min="125" max="135" width="9.140625" style="541" hidden="1" customWidth="1"/>
    <col min="136" max="136" width="15.7109375" style="541" hidden="1" customWidth="1"/>
    <col min="137" max="137" width="10.28515625" style="541" hidden="1" customWidth="1"/>
    <col min="138" max="142" width="9.140625" style="541" hidden="1" customWidth="1"/>
    <col min="143" max="145" width="9.140625" style="541" customWidth="1"/>
    <col min="146" max="16384" width="9.140625" style="541"/>
  </cols>
  <sheetData>
    <row r="1" spans="1:142" ht="15.75" hidden="1" thickBot="1" x14ac:dyDescent="0.3">
      <c r="C1" s="259">
        <v>1</v>
      </c>
      <c r="D1" s="260">
        <v>2</v>
      </c>
      <c r="E1" s="260">
        <v>3</v>
      </c>
      <c r="F1" s="259">
        <v>4</v>
      </c>
      <c r="G1" s="260">
        <v>5</v>
      </c>
      <c r="H1" s="260">
        <v>6</v>
      </c>
      <c r="I1" s="259">
        <v>7</v>
      </c>
      <c r="J1" s="260">
        <v>8</v>
      </c>
      <c r="K1" s="260">
        <v>9</v>
      </c>
      <c r="L1" s="259">
        <v>10</v>
      </c>
      <c r="M1" s="260">
        <v>11</v>
      </c>
      <c r="N1" s="260">
        <v>12</v>
      </c>
      <c r="O1" s="259">
        <v>13</v>
      </c>
      <c r="P1" s="260">
        <v>14</v>
      </c>
      <c r="Q1" s="260">
        <v>15</v>
      </c>
      <c r="R1" s="259">
        <v>16</v>
      </c>
      <c r="S1" s="260">
        <v>17</v>
      </c>
      <c r="T1" s="260">
        <v>18</v>
      </c>
      <c r="U1" s="259">
        <v>19</v>
      </c>
      <c r="V1" s="260">
        <v>20</v>
      </c>
      <c r="W1" s="260">
        <v>21</v>
      </c>
      <c r="X1" s="259">
        <v>22</v>
      </c>
      <c r="Y1" s="260">
        <v>23</v>
      </c>
      <c r="Z1" s="260">
        <v>24</v>
      </c>
      <c r="AA1" s="259">
        <v>25</v>
      </c>
      <c r="AB1" s="260">
        <v>26</v>
      </c>
      <c r="AC1" s="260">
        <v>27</v>
      </c>
      <c r="AD1" s="259">
        <v>28</v>
      </c>
      <c r="AE1" s="260">
        <v>29</v>
      </c>
      <c r="AF1" s="260">
        <v>30</v>
      </c>
      <c r="AG1" s="259">
        <v>31</v>
      </c>
      <c r="AH1" s="260">
        <v>32</v>
      </c>
      <c r="AI1" s="260">
        <v>33</v>
      </c>
      <c r="AJ1" s="259">
        <v>34</v>
      </c>
      <c r="AK1" s="260">
        <v>35</v>
      </c>
      <c r="AL1" s="351">
        <v>36</v>
      </c>
      <c r="AM1" s="259">
        <v>37</v>
      </c>
      <c r="AN1" s="351">
        <v>38</v>
      </c>
      <c r="AO1" s="260">
        <v>39</v>
      </c>
      <c r="AP1" s="353">
        <v>40</v>
      </c>
      <c r="AQ1" s="260">
        <v>41</v>
      </c>
      <c r="AR1" s="260">
        <v>42</v>
      </c>
      <c r="AS1" s="351">
        <v>43</v>
      </c>
      <c r="AT1" s="259">
        <v>44</v>
      </c>
      <c r="AU1" s="260">
        <v>45</v>
      </c>
      <c r="CZ1" s="541" t="str">
        <f>'Prosjektdetaljer '!N10</f>
        <v>Barnehage</v>
      </c>
      <c r="DD1" s="541" t="s">
        <v>825</v>
      </c>
      <c r="DE1" s="541" t="s">
        <v>498</v>
      </c>
    </row>
    <row r="2" spans="1:142" ht="15.75" hidden="1" thickBot="1" x14ac:dyDescent="0.3">
      <c r="CI2" s="544" t="str">
        <f>'Prosjektdetaljer '!AB7</f>
        <v>Varehandel</v>
      </c>
      <c r="CZ2" s="541" t="str">
        <f>'Prosjektdetaljer '!O10</f>
        <v>Grunnskole</v>
      </c>
      <c r="DD2" s="541" t="s">
        <v>824</v>
      </c>
      <c r="DT2" s="1206" t="s">
        <v>709</v>
      </c>
      <c r="DU2" s="1207"/>
    </row>
    <row r="3" spans="1:142" hidden="1" x14ac:dyDescent="0.25">
      <c r="CD3" s="541" t="str">
        <f>'Prosjektdetaljer '!AB27</f>
        <v>Alt 1: Grønne leiekontrakter</v>
      </c>
      <c r="CI3" s="545" t="str">
        <f>'Prosjektdetaljer '!AB8</f>
        <v>Kontor</v>
      </c>
      <c r="CZ3" s="541" t="str">
        <f>'Prosjektdetaljer '!P10</f>
        <v>Videregående skole</v>
      </c>
      <c r="DD3" s="541" t="s">
        <v>823</v>
      </c>
    </row>
    <row r="4" spans="1:142" hidden="1" x14ac:dyDescent="0.25">
      <c r="C4" s="622"/>
      <c r="D4" s="622"/>
      <c r="E4" s="622"/>
      <c r="F4" s="622"/>
      <c r="G4" s="622"/>
      <c r="H4" s="622"/>
      <c r="I4" s="622"/>
      <c r="J4" s="622"/>
      <c r="K4" s="622"/>
      <c r="L4" s="622"/>
      <c r="M4" s="622"/>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2"/>
      <c r="AR4" s="622"/>
      <c r="AS4" s="622"/>
      <c r="AT4" s="622"/>
      <c r="CD4" s="541" t="str">
        <f>'Prosjektdetaljer '!AB28</f>
        <v>Alt 2: Grønn veileder</v>
      </c>
      <c r="CI4" s="545" t="str">
        <f>'Prosjektdetaljer '!AB9</f>
        <v>Industri</v>
      </c>
      <c r="CZ4" s="541" t="str">
        <f>'Prosjektdetaljer '!Q10</f>
        <v>Høyere utdanning (høgskole/universitet)</v>
      </c>
      <c r="DA4" s="541" t="str">
        <f>'Prosjektdetaljer '!P28</f>
        <v>Ja</v>
      </c>
      <c r="DD4" s="541" t="s">
        <v>769</v>
      </c>
    </row>
    <row r="5" spans="1:142" hidden="1" x14ac:dyDescent="0.25">
      <c r="D5" s="258"/>
      <c r="E5" s="258"/>
      <c r="F5" s="263"/>
      <c r="G5" s="258"/>
      <c r="H5" s="263"/>
      <c r="I5" s="258"/>
      <c r="J5" s="258"/>
      <c r="K5" s="258"/>
      <c r="L5" s="258"/>
      <c r="M5" s="258"/>
      <c r="N5" s="258"/>
      <c r="O5" s="258"/>
      <c r="P5" s="258"/>
      <c r="Q5" s="258"/>
      <c r="R5" s="258"/>
      <c r="S5" s="258"/>
      <c r="T5" s="258"/>
      <c r="U5" s="258"/>
      <c r="V5" s="258"/>
      <c r="W5" s="258"/>
      <c r="X5" s="258"/>
      <c r="Y5" s="258"/>
      <c r="Z5" s="258"/>
      <c r="AA5" s="258"/>
      <c r="AB5" s="258"/>
      <c r="AC5" s="350" t="str">
        <f>'Prosjektdetaljer '!R11</f>
        <v>Nei</v>
      </c>
      <c r="AD5" s="258"/>
      <c r="AE5" s="258"/>
      <c r="AF5" s="258"/>
      <c r="AG5" s="258"/>
      <c r="AH5" s="258"/>
      <c r="AI5" s="258"/>
      <c r="AJ5" s="258"/>
      <c r="AK5" s="258"/>
      <c r="AL5" s="352"/>
      <c r="AM5" s="258"/>
      <c r="AN5" s="352"/>
      <c r="AO5" s="258"/>
      <c r="AP5" s="352"/>
      <c r="AQ5" s="258"/>
      <c r="AR5" s="258"/>
      <c r="AS5" s="352"/>
      <c r="AT5" s="258"/>
      <c r="AU5" s="258"/>
      <c r="CD5" s="541" t="str">
        <f>'Prosjektdetaljer '!AB29</f>
        <v>Alt 3: Samarbeid mellom utbygger/utleier</v>
      </c>
      <c r="CI5" s="546" t="str">
        <f>'Prosjektdetaljer '!AB10</f>
        <v>Utdanning</v>
      </c>
      <c r="CK5" s="547" t="str">
        <f>'Prosjektdetaljer '!R19</f>
        <v/>
      </c>
      <c r="CY5" s="547" t="str">
        <f>'Prosjektdetaljer '!R6</f>
        <v>Utdanning</v>
      </c>
    </row>
    <row r="6" spans="1:142" ht="21.75" thickBot="1" x14ac:dyDescent="0.4">
      <c r="A6" s="635"/>
      <c r="B6" s="635"/>
      <c r="C6" s="635"/>
      <c r="D6" s="1000" t="s">
        <v>755</v>
      </c>
      <c r="E6" s="635"/>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c r="AM6" s="635"/>
      <c r="AN6" s="635"/>
      <c r="AO6" s="635"/>
      <c r="AP6" s="635"/>
      <c r="AQ6" s="635"/>
      <c r="AR6" s="635"/>
      <c r="AS6" s="635"/>
      <c r="AT6" s="635"/>
      <c r="AU6" s="635"/>
      <c r="AV6" s="272"/>
      <c r="AW6" s="272"/>
      <c r="AX6" s="272"/>
      <c r="AY6" s="272"/>
      <c r="AZ6" s="272"/>
      <c r="BA6" s="272"/>
      <c r="BC6" s="548"/>
      <c r="BF6" s="541" t="s">
        <v>629</v>
      </c>
      <c r="CC6" s="541" t="s">
        <v>718</v>
      </c>
      <c r="CD6" s="541" t="str">
        <f>'Prosjektdetaljer '!AB30</f>
        <v>Alt 4: Ingen bevis er framskaffet for leietaker(e)s innredningsspesifikasjon</v>
      </c>
      <c r="CK6" s="547" t="str">
        <f>BY8</f>
        <v>Utdanning</v>
      </c>
      <c r="CL6" s="547" t="str">
        <f>BY8</f>
        <v>Utdanning</v>
      </c>
      <c r="CN6" s="544">
        <f>'Prosjektdetaljer '!R18</f>
        <v>0</v>
      </c>
      <c r="CU6" s="547" t="str">
        <f>'Prosjektdetaljer '!R10</f>
        <v>Høyere utdanning (høgskole/universitet)</v>
      </c>
      <c r="CX6" s="547" t="str">
        <f>'Prosjektdetaljer '!R6</f>
        <v>Utdanning</v>
      </c>
      <c r="CY6" s="547" t="str">
        <f>'Prosjektdetaljer '!R33</f>
        <v/>
      </c>
      <c r="DA6" s="541" t="str">
        <f>'Prosjektdetaljer '!R28</f>
        <v>Ja</v>
      </c>
      <c r="DE6" s="541" t="str">
        <f>'Prosjektdetaljer '!R6</f>
        <v>Utdanning</v>
      </c>
      <c r="DH6" s="547" t="s">
        <v>718</v>
      </c>
      <c r="DM6" s="549">
        <v>1</v>
      </c>
      <c r="DN6" s="550">
        <v>2</v>
      </c>
      <c r="DO6" s="550">
        <v>3</v>
      </c>
      <c r="DP6" s="551">
        <v>4</v>
      </c>
    </row>
    <row r="7" spans="1:142" ht="30.75" customHeight="1" thickBot="1" x14ac:dyDescent="0.3">
      <c r="A7" s="990" t="s">
        <v>815</v>
      </c>
      <c r="B7" s="991"/>
      <c r="C7" s="1005" t="s">
        <v>756</v>
      </c>
      <c r="D7" s="1006" t="s">
        <v>565</v>
      </c>
      <c r="E7" s="992"/>
      <c r="F7" s="993"/>
      <c r="G7" s="992"/>
      <c r="H7" s="993"/>
      <c r="I7" s="994"/>
      <c r="J7" s="1219" t="s">
        <v>628</v>
      </c>
      <c r="K7" s="1220"/>
      <c r="L7" s="1220"/>
      <c r="M7" s="1221"/>
      <c r="N7" s="995"/>
      <c r="O7" s="995"/>
      <c r="P7" s="1210" t="s">
        <v>449</v>
      </c>
      <c r="Q7" s="1211"/>
      <c r="R7" s="1211"/>
      <c r="S7" s="1211"/>
      <c r="T7" s="1212"/>
      <c r="U7" s="995"/>
      <c r="V7" s="995"/>
      <c r="W7" s="995"/>
      <c r="X7" s="1222" t="s">
        <v>442</v>
      </c>
      <c r="Y7" s="1223"/>
      <c r="Z7" s="1224" t="s">
        <v>623</v>
      </c>
      <c r="AA7" s="1225"/>
      <c r="AB7" s="995"/>
      <c r="AC7" s="996" t="s">
        <v>667</v>
      </c>
      <c r="AD7" s="258"/>
      <c r="AE7" s="258"/>
      <c r="AF7" s="258"/>
      <c r="AG7" s="258"/>
      <c r="AH7" s="258"/>
      <c r="AI7" s="258"/>
      <c r="AJ7" s="258" t="s">
        <v>49</v>
      </c>
      <c r="AK7" s="997"/>
      <c r="AL7" s="998" t="s">
        <v>452</v>
      </c>
      <c r="AM7" s="999" t="s">
        <v>471</v>
      </c>
      <c r="AN7" s="1208" t="s">
        <v>418</v>
      </c>
      <c r="AO7" s="1209"/>
      <c r="AP7" s="1213" t="s">
        <v>698</v>
      </c>
      <c r="AQ7" s="1214"/>
      <c r="AR7" s="1215"/>
      <c r="AS7" s="1216" t="s">
        <v>699</v>
      </c>
      <c r="AT7" s="1217"/>
      <c r="AU7" s="1218"/>
      <c r="AV7" s="1011"/>
      <c r="AW7" s="1011"/>
      <c r="AX7" s="1011"/>
      <c r="AY7" s="1011"/>
      <c r="AZ7" s="217"/>
      <c r="BA7" s="217"/>
      <c r="BE7" s="544">
        <v>1</v>
      </c>
      <c r="BF7" s="1234" t="s">
        <v>589</v>
      </c>
      <c r="BG7" s="1234"/>
      <c r="BH7" s="1234"/>
      <c r="BI7" s="1234"/>
      <c r="BJ7" s="1235"/>
      <c r="BQ7" s="1226" t="s">
        <v>630</v>
      </c>
      <c r="BR7" s="1227"/>
      <c r="BS7" s="1227"/>
      <c r="BT7" s="1228"/>
      <c r="BU7" s="603"/>
      <c r="BV7" s="603"/>
      <c r="BW7" s="603"/>
      <c r="BX7" s="603"/>
      <c r="BY7" s="552" t="s">
        <v>631</v>
      </c>
      <c r="BZ7" s="553" t="s">
        <v>632</v>
      </c>
      <c r="CA7" s="553"/>
      <c r="CB7" s="554"/>
      <c r="CC7" s="1039" t="str">
        <f>'Prosjektdetaljer '!K7</f>
        <v>Nybygg</v>
      </c>
      <c r="CD7" s="547" t="str">
        <f>'Prosjektdetaljer '!R12</f>
        <v/>
      </c>
      <c r="CH7" s="547" t="str">
        <f>'Prosjektdetaljer '!R16</f>
        <v>Ja</v>
      </c>
      <c r="CK7" s="547" t="str">
        <f>'Prosjektdetaljer '!R20</f>
        <v/>
      </c>
      <c r="CL7" s="547" t="str">
        <f>'Prosjektdetaljer '!R21</f>
        <v/>
      </c>
      <c r="CM7" s="547" t="str">
        <f>'Prosjektdetaljer '!R32</f>
        <v>Ja</v>
      </c>
      <c r="CN7" s="547" t="str">
        <f>'Prosjektdetaljer '!R22</f>
        <v>Ja</v>
      </c>
      <c r="CO7" s="547" t="str">
        <f>'Prosjektdetaljer '!R23</f>
        <v>Ja</v>
      </c>
      <c r="CP7" s="547" t="str">
        <f>'Prosjektdetaljer '!R24</f>
        <v>Ja</v>
      </c>
      <c r="CQ7" s="547" t="str">
        <f>'Prosjektdetaljer '!R25</f>
        <v/>
      </c>
      <c r="CR7" s="547" t="str">
        <f>'Prosjektdetaljer '!R26</f>
        <v>Ja</v>
      </c>
      <c r="CS7" s="547" t="str">
        <f>'Prosjektdetaljer '!R27</f>
        <v>Nei</v>
      </c>
      <c r="CU7" s="547" t="str">
        <f>'Prosjektdetaljer '!R29</f>
        <v>Nei</v>
      </c>
      <c r="CV7" s="541" t="str">
        <f>'Prosjektdetaljer '!R30</f>
        <v>Nei</v>
      </c>
      <c r="CW7" s="541" t="str">
        <f>'Prosjektdetaljer '!R31</f>
        <v/>
      </c>
      <c r="CX7" s="547">
        <f>'Prosjektdetaljer '!R18</f>
        <v>0</v>
      </c>
      <c r="CY7" s="547" t="str">
        <f>'Prosjektdetaljer '!R34</f>
        <v/>
      </c>
      <c r="CZ7" s="547" t="str">
        <f>'Prosjektdetaljer '!R10</f>
        <v>Høyere utdanning (høgskole/universitet)</v>
      </c>
      <c r="DA7" s="547" t="str">
        <f>'Prosjektdetaljer '!R10</f>
        <v>Høyere utdanning (høgskole/universitet)</v>
      </c>
      <c r="DB7" s="541" t="str">
        <f>'Prosjektdetaljer '!R10</f>
        <v>Høyere utdanning (høgskole/universitet)</v>
      </c>
      <c r="DD7" s="541" t="str">
        <f>'Prosjektdetaljer '!R10</f>
        <v>Høyere utdanning (høgskole/universitet)</v>
      </c>
      <c r="DE7" s="541" t="str">
        <f>'Prosjektdetaljer '!R10</f>
        <v>Høyere utdanning (høgskole/universitet)</v>
      </c>
      <c r="DH7" s="547" t="str">
        <f>'Prosjektdetaljer '!R7</f>
        <v>Nybygg</v>
      </c>
      <c r="DN7" s="1229" t="str">
        <f>BY8</f>
        <v>Utdanning</v>
      </c>
      <c r="DO7" s="1230"/>
      <c r="DP7" s="1231"/>
      <c r="EG7" s="541" t="s">
        <v>691</v>
      </c>
    </row>
    <row r="8" spans="1:142" ht="33.75" customHeight="1" thickBot="1" x14ac:dyDescent="0.3">
      <c r="A8" s="882" t="s">
        <v>795</v>
      </c>
      <c r="B8" s="885" t="s">
        <v>791</v>
      </c>
      <c r="C8" s="884" t="s">
        <v>398</v>
      </c>
      <c r="D8" s="728" t="s">
        <v>399</v>
      </c>
      <c r="E8" s="859" t="s">
        <v>481</v>
      </c>
      <c r="F8" s="860" t="s">
        <v>467</v>
      </c>
      <c r="G8" s="859" t="s">
        <v>466</v>
      </c>
      <c r="H8" s="860" t="s">
        <v>468</v>
      </c>
      <c r="I8" s="859" t="s">
        <v>482</v>
      </c>
      <c r="J8" s="861" t="s">
        <v>478</v>
      </c>
      <c r="K8" s="861" t="s">
        <v>296</v>
      </c>
      <c r="L8" s="861" t="s">
        <v>479</v>
      </c>
      <c r="M8" s="861" t="s">
        <v>480</v>
      </c>
      <c r="N8" s="859" t="s">
        <v>484</v>
      </c>
      <c r="O8" s="859" t="s">
        <v>713</v>
      </c>
      <c r="P8" s="859" t="s">
        <v>461</v>
      </c>
      <c r="Q8" s="859" t="s">
        <v>462</v>
      </c>
      <c r="R8" s="859" t="s">
        <v>463</v>
      </c>
      <c r="S8" s="859" t="s">
        <v>464</v>
      </c>
      <c r="T8" s="859" t="s">
        <v>465</v>
      </c>
      <c r="U8" s="859" t="s">
        <v>690</v>
      </c>
      <c r="V8" s="859" t="s">
        <v>450</v>
      </c>
      <c r="W8" s="862" t="s">
        <v>451</v>
      </c>
      <c r="X8" s="863" t="s">
        <v>442</v>
      </c>
      <c r="Y8" s="864" t="s">
        <v>444</v>
      </c>
      <c r="Z8" s="863" t="s">
        <v>623</v>
      </c>
      <c r="AA8" s="864" t="s">
        <v>444</v>
      </c>
      <c r="AB8" s="865" t="s">
        <v>400</v>
      </c>
      <c r="AC8" s="859"/>
      <c r="AD8" s="859" t="s">
        <v>719</v>
      </c>
      <c r="AE8" s="859" t="s">
        <v>440</v>
      </c>
      <c r="AF8" s="859" t="s">
        <v>445</v>
      </c>
      <c r="AG8" s="859" t="s">
        <v>697</v>
      </c>
      <c r="AH8" s="859" t="s">
        <v>306</v>
      </c>
      <c r="AI8" s="859" t="s">
        <v>700</v>
      </c>
      <c r="AJ8" s="859" t="s">
        <v>752</v>
      </c>
      <c r="AK8" s="862"/>
      <c r="AL8" s="866" t="s">
        <v>461</v>
      </c>
      <c r="AM8" s="867" t="s">
        <v>198</v>
      </c>
      <c r="AN8" s="866" t="s">
        <v>461</v>
      </c>
      <c r="AO8" s="864" t="s">
        <v>483</v>
      </c>
      <c r="AP8" s="863" t="s">
        <v>461</v>
      </c>
      <c r="AQ8" s="859" t="s">
        <v>483</v>
      </c>
      <c r="AR8" s="868" t="s">
        <v>776</v>
      </c>
      <c r="AS8" s="866" t="s">
        <v>461</v>
      </c>
      <c r="AT8" s="859" t="s">
        <v>483</v>
      </c>
      <c r="AU8" s="869" t="s">
        <v>776</v>
      </c>
      <c r="AV8" s="1037" t="s">
        <v>483</v>
      </c>
      <c r="AW8" s="1038" t="s">
        <v>483</v>
      </c>
      <c r="AX8" s="1038" t="s">
        <v>483</v>
      </c>
      <c r="AY8" s="1018"/>
      <c r="AZ8" s="1012"/>
      <c r="BA8" s="1022"/>
      <c r="BC8" s="585"/>
      <c r="BE8" s="545">
        <v>2</v>
      </c>
      <c r="BF8" s="307" t="s">
        <v>398</v>
      </c>
      <c r="BG8" s="268" t="s">
        <v>452</v>
      </c>
      <c r="BH8" s="286" t="s">
        <v>705</v>
      </c>
      <c r="BI8" s="287" t="s">
        <v>698</v>
      </c>
      <c r="BJ8" s="288" t="s">
        <v>699</v>
      </c>
      <c r="BQ8" s="312" t="str">
        <f>'Prosjektdetaljer '!AB7</f>
        <v>Varehandel</v>
      </c>
      <c r="BR8" s="306" t="str">
        <f>'Prosjektdetaljer '!AB8</f>
        <v>Kontor</v>
      </c>
      <c r="BS8" s="306" t="str">
        <f>'Prosjektdetaljer '!AB9</f>
        <v>Industri</v>
      </c>
      <c r="BT8" s="313" t="str">
        <f>'Prosjektdetaljer '!AB10</f>
        <v>Utdanning</v>
      </c>
      <c r="BU8" s="262" t="s">
        <v>481</v>
      </c>
      <c r="BV8" s="262" t="s">
        <v>466</v>
      </c>
      <c r="BW8" s="261" t="s">
        <v>482</v>
      </c>
      <c r="BX8" s="265" t="s">
        <v>713</v>
      </c>
      <c r="BY8" s="265" t="str">
        <f>'Prosjektdetaljer '!R6</f>
        <v>Utdanning</v>
      </c>
      <c r="BZ8" s="305" t="s">
        <v>501</v>
      </c>
      <c r="CA8" s="305" t="s">
        <v>503</v>
      </c>
      <c r="CB8" s="305" t="s">
        <v>504</v>
      </c>
      <c r="CC8" s="265" t="s">
        <v>505</v>
      </c>
      <c r="CD8" s="315" t="s">
        <v>506</v>
      </c>
      <c r="CE8" s="305" t="s">
        <v>575</v>
      </c>
      <c r="CF8" s="305" t="s">
        <v>574</v>
      </c>
      <c r="CG8" s="305" t="s">
        <v>520</v>
      </c>
      <c r="CH8" s="315" t="s">
        <v>523</v>
      </c>
      <c r="CI8" s="305" t="s">
        <v>625</v>
      </c>
      <c r="CJ8" s="265" t="s">
        <v>626</v>
      </c>
      <c r="CK8" s="315" t="s">
        <v>635</v>
      </c>
      <c r="CL8" s="314" t="s">
        <v>636</v>
      </c>
      <c r="CM8" s="315" t="s">
        <v>579</v>
      </c>
      <c r="CN8" s="315" t="s">
        <v>633</v>
      </c>
      <c r="CO8" s="315" t="s">
        <v>529</v>
      </c>
      <c r="CP8" s="315" t="s">
        <v>527</v>
      </c>
      <c r="CQ8" s="315" t="s">
        <v>543</v>
      </c>
      <c r="CR8" s="315" t="s">
        <v>580</v>
      </c>
      <c r="CS8" s="315" t="s">
        <v>530</v>
      </c>
      <c r="CT8" s="305" t="s">
        <v>581</v>
      </c>
      <c r="CU8" s="315" t="s">
        <v>583</v>
      </c>
      <c r="CV8" s="265" t="s">
        <v>582</v>
      </c>
      <c r="CW8" s="265" t="s">
        <v>585</v>
      </c>
      <c r="CX8" s="315" t="s">
        <v>435</v>
      </c>
      <c r="CY8" s="315" t="s">
        <v>689</v>
      </c>
      <c r="CZ8" s="315" t="s">
        <v>712</v>
      </c>
      <c r="DA8" s="315" t="s">
        <v>714</v>
      </c>
      <c r="DB8" s="1007" t="s">
        <v>763</v>
      </c>
      <c r="DC8" s="1009" t="s">
        <v>820</v>
      </c>
      <c r="DD8" s="1048" t="s">
        <v>826</v>
      </c>
      <c r="DE8" s="1009" t="s">
        <v>860</v>
      </c>
      <c r="DF8" s="1008"/>
      <c r="DG8" s="305"/>
      <c r="DH8" s="314" t="s">
        <v>751</v>
      </c>
      <c r="DI8" s="305"/>
      <c r="DJ8" s="305"/>
      <c r="DK8" s="305"/>
      <c r="DL8" s="267"/>
      <c r="DM8" s="266" t="str">
        <f t="shared" ref="DM8:DM54" si="0">BF8</f>
        <v>Kode</v>
      </c>
      <c r="DN8" s="262" t="s">
        <v>664</v>
      </c>
      <c r="DO8" s="264" t="s">
        <v>665</v>
      </c>
      <c r="DP8" s="343" t="s">
        <v>486</v>
      </c>
      <c r="DT8" s="264" t="s">
        <v>708</v>
      </c>
      <c r="EE8" s="444"/>
      <c r="EG8" s="262" t="s">
        <v>461</v>
      </c>
      <c r="EH8" s="262" t="s">
        <v>462</v>
      </c>
      <c r="EI8" s="262" t="s">
        <v>463</v>
      </c>
      <c r="EJ8" s="262" t="s">
        <v>464</v>
      </c>
      <c r="EK8" s="262" t="s">
        <v>465</v>
      </c>
      <c r="EL8" s="306" t="s">
        <v>692</v>
      </c>
    </row>
    <row r="9" spans="1:142" ht="15.75" thickBot="1" x14ac:dyDescent="0.3">
      <c r="A9" s="980">
        <v>6</v>
      </c>
      <c r="B9" s="981">
        <v>1</v>
      </c>
      <c r="C9" s="1001" t="s">
        <v>247</v>
      </c>
      <c r="D9" s="1002" t="s">
        <v>426</v>
      </c>
      <c r="E9" s="912">
        <v>1</v>
      </c>
      <c r="F9" s="909">
        <v>1</v>
      </c>
      <c r="G9" s="909">
        <v>1</v>
      </c>
      <c r="H9" s="909">
        <v>1</v>
      </c>
      <c r="I9" s="910">
        <v>1</v>
      </c>
      <c r="J9" s="908">
        <v>13</v>
      </c>
      <c r="K9" s="909">
        <v>13</v>
      </c>
      <c r="L9" s="909">
        <v>13</v>
      </c>
      <c r="M9" s="911">
        <v>13</v>
      </c>
      <c r="N9" s="912"/>
      <c r="O9" s="911"/>
      <c r="P9" s="908">
        <v>0</v>
      </c>
      <c r="Q9" s="908">
        <v>0</v>
      </c>
      <c r="R9" s="908">
        <v>0</v>
      </c>
      <c r="S9" s="908">
        <v>7</v>
      </c>
      <c r="T9" s="908">
        <v>9</v>
      </c>
      <c r="U9" s="908">
        <f t="shared" ref="U9:U40" si="1">VLOOKUP(C9,$EE$9:$EL$99,$EL$107,FALSE)</f>
        <v>9</v>
      </c>
      <c r="V9" s="908"/>
      <c r="W9" s="908"/>
      <c r="X9" s="908"/>
      <c r="Y9" s="912"/>
      <c r="Z9" s="908"/>
      <c r="AA9" s="912"/>
      <c r="AB9" s="908"/>
      <c r="AC9" s="909"/>
      <c r="AD9" s="909"/>
      <c r="AE9" s="909"/>
      <c r="AF9" s="909"/>
      <c r="AG9" s="909"/>
      <c r="AH9" s="909"/>
      <c r="AI9" s="909"/>
      <c r="AJ9" s="909"/>
      <c r="AK9" s="911"/>
      <c r="AL9" s="378">
        <f t="shared" ref="AL9:AL40" si="2">VLOOKUP(C9,$DM$9:$DP$98,$DP$6,FALSE)</f>
        <v>13</v>
      </c>
      <c r="AM9" s="899"/>
      <c r="AN9" s="900"/>
      <c r="AO9" s="901"/>
      <c r="AP9" s="902"/>
      <c r="AQ9" s="929"/>
      <c r="AR9" s="927"/>
      <c r="AS9" s="934"/>
      <c r="AT9" s="935"/>
      <c r="AU9" s="936"/>
      <c r="AV9" s="1013"/>
      <c r="AW9" s="1019"/>
      <c r="AX9" s="1019"/>
      <c r="AY9" s="1019"/>
      <c r="AZ9" s="1014"/>
      <c r="BA9" s="1023"/>
      <c r="BC9" s="585"/>
      <c r="BE9" s="545">
        <v>3</v>
      </c>
      <c r="BF9" s="556" t="s">
        <v>247</v>
      </c>
      <c r="BG9" s="278">
        <f t="shared" ref="BG9:BG54" si="3">VLOOKUP($BF9,$C$9:$AT$98,AL$1,FALSE)</f>
        <v>13</v>
      </c>
      <c r="BH9" s="279">
        <f t="shared" ref="BH9:BH54" si="4">IF(VLOOKUP($BF9,$C$9:$AT$98,AN$1,FALSE)&gt;BG9,BG9,(VLOOKUP($BF9,$C$9:$AT$98,AN$1,FALSE)))</f>
        <v>0</v>
      </c>
      <c r="BI9" s="557">
        <f t="shared" ref="BI9:BI54" si="5">IF(VLOOKUP($BF9,$C$9:$AT$98,AP$1,FALSE)&gt;BG9,BG9,VLOOKUP($BF9,$C$9:$AT$98,AP$1,FALSE))</f>
        <v>0</v>
      </c>
      <c r="BJ9" s="558">
        <f t="shared" ref="BJ9:BJ54" si="6">IF(VLOOKUP($BF9,$C$9:$AT$98,AS$1,FALSE)&gt;BG9,BG9,VLOOKUP($BF9,$C$9:$AT$98,AS$1,FALSE))</f>
        <v>0</v>
      </c>
      <c r="BQ9" s="297">
        <f t="shared" ref="BQ9:BQ54" si="7">VLOOKUP($BF9,$C$9:$AT$98,J$1,FALSE)</f>
        <v>13</v>
      </c>
      <c r="BR9" s="285">
        <f t="shared" ref="BR9:BR54" si="8">VLOOKUP($BF9,$C$9:$AT$98,K$1,FALSE)</f>
        <v>13</v>
      </c>
      <c r="BS9" s="285">
        <f t="shared" ref="BS9:BS54" si="9">VLOOKUP($BF9,$C$9:$AT$98,L$1,FALSE)</f>
        <v>13</v>
      </c>
      <c r="BT9" s="304">
        <f t="shared" ref="BT9:BT54" si="10">VLOOKUP($BF9,$C$9:$AT$98,M$1,FALSE)</f>
        <v>13</v>
      </c>
      <c r="BU9" s="303">
        <f t="shared" ref="BU9:BU54" si="11">VLOOKUP($BF9,$C$9:$AT$98,E$1,FALSE)</f>
        <v>1</v>
      </c>
      <c r="BV9" s="257">
        <f t="shared" ref="BV9:BV54" si="12">VLOOKUP($BF9,$C$9:$AT$98,G$1,FALSE)</f>
        <v>1</v>
      </c>
      <c r="BW9" s="456">
        <f t="shared" ref="BW9:BW54" si="13">VLOOKUP($BF9,$C$9:$AT$98,I$1,FALSE)</f>
        <v>1</v>
      </c>
      <c r="BX9" s="459">
        <f t="shared" ref="BX9:BX54" si="14">VLOOKUP($BF9,$C$9:$AT$98,O$1,FALSE)</f>
        <v>0</v>
      </c>
      <c r="BY9" s="310">
        <f>HLOOKUP(BY$8,$BQ$8:$BT$98,$BE8,FALSE)</f>
        <v>13</v>
      </c>
      <c r="CC9" s="544"/>
      <c r="CD9" s="559">
        <f t="shared" ref="CD9:CD54" si="15">IF(BU9=0,IF($CD$7=$CD$3,0,IF($CD$7=$CD$4,BY9/2,IF($CD$7=$CD$5,0,IF($CD$7=$CD$6,BY9,0)))),0)</f>
        <v>0</v>
      </c>
      <c r="CH9" s="544"/>
      <c r="CJ9" s="544"/>
      <c r="CK9" s="544"/>
      <c r="CM9" s="544"/>
      <c r="CN9" s="544"/>
      <c r="CO9" s="544"/>
      <c r="CP9" s="561"/>
      <c r="CQ9" s="560"/>
      <c r="CR9" s="560"/>
      <c r="CS9" s="544"/>
      <c r="CU9" s="544"/>
      <c r="CV9" s="560"/>
      <c r="CW9" s="544"/>
      <c r="CX9" s="561"/>
      <c r="CY9" s="544"/>
      <c r="CZ9" s="562">
        <f>IF($CZ$7=$CZ$4,0,IF(AND($CZ$7=$CZ$3,$BX9=2),$BY9,IF(AND((OR($CZ$7=$CZ$1,$CZ$7=$CZ$2)),(OR($BX9=2,$BX9=1))),$BY9,0)))</f>
        <v>0</v>
      </c>
      <c r="DA9" s="544"/>
      <c r="DB9" s="560"/>
      <c r="DC9" s="545"/>
      <c r="DD9" s="571"/>
      <c r="DE9" s="545"/>
      <c r="DH9" s="562">
        <f>IF($DH$7=$DH$6,IF(BV9=0,BY9,0),0)</f>
        <v>0</v>
      </c>
      <c r="DM9" s="546" t="str">
        <f t="shared" si="0"/>
        <v>Ene 1</v>
      </c>
      <c r="DN9" s="547">
        <f>BY9</f>
        <v>13</v>
      </c>
      <c r="DO9" s="547">
        <f>IF(SUM(BZ9:DL9)&gt;DN9,DN9,SUM(BZ9:DL9))</f>
        <v>0</v>
      </c>
      <c r="DP9" s="547">
        <f>DN9-DO9</f>
        <v>13</v>
      </c>
      <c r="DT9" s="547">
        <f>DP9+CD9</f>
        <v>13</v>
      </c>
      <c r="EE9" s="556" t="str">
        <f t="shared" ref="EE9:EE40" si="16">BF9</f>
        <v>Ene 1</v>
      </c>
      <c r="EF9" s="441" t="s">
        <v>549</v>
      </c>
      <c r="EG9" s="439">
        <f t="shared" ref="EG9:EG50" si="17">VLOOKUP(BF9,$C$9:$T$95,14,FALSE)</f>
        <v>0</v>
      </c>
      <c r="EH9" s="440">
        <f t="shared" ref="EH9:EH50" si="18">VLOOKUP(BF9,$C$9:$T$95,15,FALSE)</f>
        <v>0</v>
      </c>
      <c r="EI9" s="440">
        <f t="shared" ref="EI9:EI50" si="19">VLOOKUP(BF9,$C$9:$T$95,16,FALSE)</f>
        <v>0</v>
      </c>
      <c r="EJ9" s="541">
        <f t="shared" ref="EJ9:EJ50" si="20">VLOOKUP(BF9,$C$9:$T$95,17,FALSE)</f>
        <v>7</v>
      </c>
      <c r="EK9" s="541">
        <f t="shared" ref="EK9:EK50" si="21">VLOOKUP(BF9,$C$9:$T$95,18,FALSE)</f>
        <v>9</v>
      </c>
      <c r="EL9" s="563">
        <f t="shared" ref="EL9:EL40" si="22">IF(DP9=0,0,HLOOKUP((IF($D$7=$EF$9,$P$8,IF($D$7=$EF$10,$Q$8,IF($D$7=$EF$11,$R$8,IF($D$7=$EF$12,$S$8,$T$8))))),$EG$8:$EK$104,BE8,FALSE))</f>
        <v>9</v>
      </c>
    </row>
    <row r="10" spans="1:142" ht="30.75" thickBot="1" x14ac:dyDescent="0.3">
      <c r="A10" s="982">
        <v>6</v>
      </c>
      <c r="B10" s="983">
        <v>11</v>
      </c>
      <c r="C10" s="851" t="s">
        <v>453</v>
      </c>
      <c r="D10" s="1003" t="s">
        <v>454</v>
      </c>
      <c r="E10" s="906">
        <v>1</v>
      </c>
      <c r="F10" s="897">
        <v>1</v>
      </c>
      <c r="G10" s="897">
        <v>1</v>
      </c>
      <c r="H10" s="897">
        <v>0</v>
      </c>
      <c r="I10" s="905">
        <v>1</v>
      </c>
      <c r="J10" s="904">
        <v>0</v>
      </c>
      <c r="K10" s="897">
        <v>0</v>
      </c>
      <c r="L10" s="897">
        <v>0</v>
      </c>
      <c r="M10" s="907">
        <v>1</v>
      </c>
      <c r="N10" s="906"/>
      <c r="O10" s="907"/>
      <c r="P10" s="904">
        <v>0</v>
      </c>
      <c r="Q10" s="904">
        <v>0</v>
      </c>
      <c r="R10" s="904">
        <v>0</v>
      </c>
      <c r="S10" s="904">
        <v>0</v>
      </c>
      <c r="T10" s="904">
        <v>0</v>
      </c>
      <c r="U10" s="904">
        <f t="shared" si="1"/>
        <v>0</v>
      </c>
      <c r="V10" s="904"/>
      <c r="W10" s="904"/>
      <c r="X10" s="904"/>
      <c r="Y10" s="906"/>
      <c r="Z10" s="904"/>
      <c r="AA10" s="906"/>
      <c r="AB10" s="904"/>
      <c r="AC10" s="897"/>
      <c r="AD10" s="897"/>
      <c r="AE10" s="897"/>
      <c r="AF10" s="897"/>
      <c r="AG10" s="897"/>
      <c r="AH10" s="897"/>
      <c r="AI10" s="897"/>
      <c r="AJ10" s="897"/>
      <c r="AK10" s="907"/>
      <c r="AL10" s="390">
        <f t="shared" si="2"/>
        <v>0</v>
      </c>
      <c r="AM10" s="913"/>
      <c r="AN10" s="914"/>
      <c r="AO10" s="915"/>
      <c r="AP10" s="916"/>
      <c r="AQ10" s="930"/>
      <c r="AR10" s="928"/>
      <c r="AS10" s="917"/>
      <c r="AT10" s="931"/>
      <c r="AU10" s="937"/>
      <c r="AV10" s="1015"/>
      <c r="AW10" s="1020"/>
      <c r="AX10" s="1020"/>
      <c r="AY10" s="1020"/>
      <c r="AZ10" s="898"/>
      <c r="BA10" s="1024"/>
      <c r="BC10" s="268" t="s">
        <v>452</v>
      </c>
      <c r="BE10" s="545">
        <v>4</v>
      </c>
      <c r="BF10" s="564" t="s">
        <v>453</v>
      </c>
      <c r="BG10" s="276">
        <f t="shared" si="3"/>
        <v>0</v>
      </c>
      <c r="BH10" s="282">
        <f t="shared" si="4"/>
        <v>0</v>
      </c>
      <c r="BI10" s="565">
        <f t="shared" si="5"/>
        <v>0</v>
      </c>
      <c r="BJ10" s="566">
        <f t="shared" si="6"/>
        <v>0</v>
      </c>
      <c r="BQ10" s="567">
        <f t="shared" si="7"/>
        <v>0</v>
      </c>
      <c r="BR10" s="568">
        <f t="shared" si="8"/>
        <v>0</v>
      </c>
      <c r="BS10" s="568">
        <f t="shared" si="9"/>
        <v>0</v>
      </c>
      <c r="BT10" s="569">
        <f t="shared" si="10"/>
        <v>1</v>
      </c>
      <c r="BU10" s="303">
        <f t="shared" si="11"/>
        <v>1</v>
      </c>
      <c r="BV10" s="257">
        <f t="shared" si="12"/>
        <v>1</v>
      </c>
      <c r="BW10" s="456">
        <f t="shared" si="13"/>
        <v>1</v>
      </c>
      <c r="BX10" s="459">
        <f t="shared" si="14"/>
        <v>0</v>
      </c>
      <c r="BY10" s="335">
        <f t="shared" ref="BY10:BY73" si="23">HLOOKUP(BY$8,$BQ$8:$BT$98,$BE9,FALSE)</f>
        <v>1</v>
      </c>
      <c r="BZ10" s="549"/>
      <c r="CA10" s="550"/>
      <c r="CB10" s="550"/>
      <c r="CC10" s="547"/>
      <c r="CD10" s="570">
        <f t="shared" si="15"/>
        <v>0</v>
      </c>
      <c r="CE10" s="550"/>
      <c r="CF10" s="550"/>
      <c r="CG10" s="550"/>
      <c r="CH10" s="547"/>
      <c r="CI10" s="550"/>
      <c r="CJ10" s="547"/>
      <c r="CK10" s="547"/>
      <c r="CL10" s="550"/>
      <c r="CM10" s="547"/>
      <c r="CN10" s="547"/>
      <c r="CO10" s="547"/>
      <c r="CP10" s="551"/>
      <c r="CQ10" s="549"/>
      <c r="CR10" s="549"/>
      <c r="CS10" s="547"/>
      <c r="CT10" s="550"/>
      <c r="CU10" s="562">
        <f>IF(AND(CU7="Ja",OR(CU6=CZ2,CU6=CZ3)),"0",BY10)</f>
        <v>1</v>
      </c>
      <c r="CV10" s="571"/>
      <c r="CW10" s="545"/>
      <c r="CX10" s="572"/>
      <c r="CY10" s="545"/>
      <c r="CZ10" s="562">
        <f t="shared" ref="CZ10:CZ73" si="24">IF($CZ$7=$CZ$4,0,IF(AND($CZ$7=$CZ$3,$BX10=2),$BY10,IF(AND((OR($CZ$7=$CZ$1,$CZ$7=$CZ$2)),(OR($BX10=2,$BX10=1))),$BY10,0)))</f>
        <v>0</v>
      </c>
      <c r="DA10" s="545"/>
      <c r="DB10" s="571"/>
      <c r="DC10" s="545"/>
      <c r="DD10" s="571"/>
      <c r="DE10" s="545"/>
      <c r="DH10" s="562">
        <f>IF($DH$7=$DH$6,IF(BV10=0,BY10,0),0)</f>
        <v>0</v>
      </c>
      <c r="DM10" s="547" t="str">
        <f t="shared" si="0"/>
        <v>Ene 11</v>
      </c>
      <c r="DN10" s="547">
        <f t="shared" ref="DN10:DN73" si="25">BY10</f>
        <v>1</v>
      </c>
      <c r="DO10" s="547">
        <f t="shared" ref="DO10:DO75" si="26">IF(SUM(BZ10:DL10)&gt;DN10,DN10,SUM(BZ10:DL10))</f>
        <v>1</v>
      </c>
      <c r="DP10" s="547">
        <f t="shared" ref="DP10:DP73" si="27">DN10-DO10</f>
        <v>0</v>
      </c>
      <c r="DT10" s="547">
        <f t="shared" ref="DT10:DT73" si="28">DP10+CD10</f>
        <v>0</v>
      </c>
      <c r="EE10" s="564" t="str">
        <f t="shared" si="16"/>
        <v>Ene 11</v>
      </c>
      <c r="EF10" s="442" t="s">
        <v>553</v>
      </c>
      <c r="EG10" s="439">
        <f t="shared" si="17"/>
        <v>0</v>
      </c>
      <c r="EH10" s="440">
        <f t="shared" si="18"/>
        <v>0</v>
      </c>
      <c r="EI10" s="440">
        <f t="shared" si="19"/>
        <v>0</v>
      </c>
      <c r="EJ10" s="541">
        <f t="shared" si="20"/>
        <v>0</v>
      </c>
      <c r="EK10" s="541">
        <f t="shared" si="21"/>
        <v>0</v>
      </c>
      <c r="EL10" s="573">
        <f t="shared" si="22"/>
        <v>0</v>
      </c>
    </row>
    <row r="11" spans="1:142" ht="45.75" thickBot="1" x14ac:dyDescent="0.3">
      <c r="A11" s="982">
        <v>6</v>
      </c>
      <c r="B11" s="983">
        <v>12</v>
      </c>
      <c r="C11" s="851" t="s">
        <v>455</v>
      </c>
      <c r="D11" s="1003" t="s">
        <v>456</v>
      </c>
      <c r="E11" s="726">
        <v>1</v>
      </c>
      <c r="F11" s="537">
        <v>1</v>
      </c>
      <c r="G11" s="537">
        <v>1</v>
      </c>
      <c r="H11" s="537">
        <v>0</v>
      </c>
      <c r="I11" s="725">
        <v>1</v>
      </c>
      <c r="J11" s="724">
        <v>0</v>
      </c>
      <c r="K11" s="537">
        <v>0</v>
      </c>
      <c r="L11" s="537">
        <v>0</v>
      </c>
      <c r="M11" s="727">
        <v>1</v>
      </c>
      <c r="N11" s="726"/>
      <c r="O11" s="727"/>
      <c r="P11" s="724">
        <v>0</v>
      </c>
      <c r="Q11" s="724">
        <v>0</v>
      </c>
      <c r="R11" s="724">
        <v>0</v>
      </c>
      <c r="S11" s="724">
        <v>0</v>
      </c>
      <c r="T11" s="724">
        <v>0</v>
      </c>
      <c r="U11" s="724">
        <f t="shared" si="1"/>
        <v>0</v>
      </c>
      <c r="V11" s="724"/>
      <c r="W11" s="724"/>
      <c r="X11" s="724"/>
      <c r="Y11" s="726"/>
      <c r="Z11" s="724"/>
      <c r="AA11" s="726"/>
      <c r="AB11" s="724"/>
      <c r="AC11" s="537"/>
      <c r="AD11" s="537"/>
      <c r="AE11" s="537"/>
      <c r="AF11" s="897"/>
      <c r="AG11" s="897"/>
      <c r="AH11" s="897"/>
      <c r="AI11" s="897"/>
      <c r="AJ11" s="537"/>
      <c r="AK11" s="727"/>
      <c r="AL11" s="390">
        <f t="shared" si="2"/>
        <v>0</v>
      </c>
      <c r="AM11" s="729"/>
      <c r="AN11" s="730"/>
      <c r="AO11" s="731"/>
      <c r="AP11" s="732"/>
      <c r="AQ11" s="850"/>
      <c r="AR11" s="848"/>
      <c r="AS11" s="733"/>
      <c r="AT11" s="852"/>
      <c r="AU11" s="858"/>
      <c r="AV11" s="1015"/>
      <c r="AW11" s="1020"/>
      <c r="AX11" s="1020"/>
      <c r="AY11" s="1020"/>
      <c r="AZ11" s="898"/>
      <c r="BA11" s="1024"/>
      <c r="BC11" s="555" t="s">
        <v>449</v>
      </c>
      <c r="BE11" s="545">
        <v>5</v>
      </c>
      <c r="BF11" s="564" t="s">
        <v>455</v>
      </c>
      <c r="BG11" s="276">
        <f>VLOOKUP($BF11,$C$9:$AT$98,AL$1,FALSE)</f>
        <v>0</v>
      </c>
      <c r="BH11" s="282">
        <f t="shared" si="4"/>
        <v>0</v>
      </c>
      <c r="BI11" s="565">
        <f t="shared" si="5"/>
        <v>0</v>
      </c>
      <c r="BJ11" s="566">
        <f t="shared" si="6"/>
        <v>0</v>
      </c>
      <c r="BQ11" s="298">
        <f t="shared" si="7"/>
        <v>0</v>
      </c>
      <c r="BR11" s="257">
        <f t="shared" si="8"/>
        <v>0</v>
      </c>
      <c r="BS11" s="257">
        <f t="shared" si="9"/>
        <v>0</v>
      </c>
      <c r="BT11" s="302">
        <f t="shared" si="10"/>
        <v>1</v>
      </c>
      <c r="BU11" s="303">
        <f t="shared" si="11"/>
        <v>1</v>
      </c>
      <c r="BV11" s="257">
        <f t="shared" si="12"/>
        <v>1</v>
      </c>
      <c r="BW11" s="456">
        <f t="shared" si="13"/>
        <v>1</v>
      </c>
      <c r="BX11" s="459">
        <f t="shared" si="14"/>
        <v>0</v>
      </c>
      <c r="BY11" s="335">
        <f t="shared" si="23"/>
        <v>1</v>
      </c>
      <c r="BZ11" s="560"/>
      <c r="CA11" s="590"/>
      <c r="CB11" s="590"/>
      <c r="CC11" s="544"/>
      <c r="CD11" s="559">
        <f t="shared" si="15"/>
        <v>0</v>
      </c>
      <c r="CE11" s="590"/>
      <c r="CF11" s="590"/>
      <c r="CG11" s="590"/>
      <c r="CH11" s="544"/>
      <c r="CI11" s="590"/>
      <c r="CJ11" s="544"/>
      <c r="CK11" s="544"/>
      <c r="CL11" s="590"/>
      <c r="CM11" s="544"/>
      <c r="CN11" s="544"/>
      <c r="CO11" s="544"/>
      <c r="CP11" s="561"/>
      <c r="CQ11" s="560"/>
      <c r="CR11" s="560"/>
      <c r="CS11" s="544"/>
      <c r="CT11" s="590"/>
      <c r="CU11" s="544"/>
      <c r="CV11" s="562">
        <f>IF(CV7="Ja",0,BY11)</f>
        <v>1</v>
      </c>
      <c r="CW11" s="545"/>
      <c r="CX11" s="572"/>
      <c r="CY11" s="545"/>
      <c r="CZ11" s="562">
        <f t="shared" si="24"/>
        <v>0</v>
      </c>
      <c r="DA11" s="545"/>
      <c r="DB11" s="571"/>
      <c r="DC11" s="545"/>
      <c r="DD11" s="571"/>
      <c r="DE11" s="545"/>
      <c r="DH11" s="562">
        <f t="shared" ref="DH11:DH74" si="29">IF($DH$7=$DH$6,IF(BV11=0,BY11,0),0)</f>
        <v>0</v>
      </c>
      <c r="DM11" s="547" t="str">
        <f t="shared" si="0"/>
        <v>Ene 12</v>
      </c>
      <c r="DN11" s="547">
        <f t="shared" si="25"/>
        <v>1</v>
      </c>
      <c r="DO11" s="547">
        <f t="shared" si="26"/>
        <v>1</v>
      </c>
      <c r="DP11" s="547">
        <f t="shared" si="27"/>
        <v>0</v>
      </c>
      <c r="DT11" s="547">
        <f t="shared" si="28"/>
        <v>0</v>
      </c>
      <c r="EE11" s="564" t="str">
        <f t="shared" si="16"/>
        <v>Ene 12</v>
      </c>
      <c r="EF11" s="442" t="s">
        <v>564</v>
      </c>
      <c r="EG11" s="439">
        <f t="shared" si="17"/>
        <v>0</v>
      </c>
      <c r="EH11" s="440">
        <f t="shared" si="18"/>
        <v>0</v>
      </c>
      <c r="EI11" s="440">
        <f t="shared" si="19"/>
        <v>0</v>
      </c>
      <c r="EJ11" s="541">
        <f t="shared" si="20"/>
        <v>0</v>
      </c>
      <c r="EK11" s="541">
        <f t="shared" si="21"/>
        <v>0</v>
      </c>
      <c r="EL11" s="573">
        <f t="shared" si="22"/>
        <v>0</v>
      </c>
    </row>
    <row r="12" spans="1:142" ht="30.75" thickBot="1" x14ac:dyDescent="0.3">
      <c r="A12" s="982">
        <v>6</v>
      </c>
      <c r="B12" s="983">
        <v>19</v>
      </c>
      <c r="C12" s="851" t="s">
        <v>457</v>
      </c>
      <c r="D12" s="1003" t="s">
        <v>458</v>
      </c>
      <c r="E12" s="726">
        <v>1</v>
      </c>
      <c r="F12" s="537">
        <v>1</v>
      </c>
      <c r="G12" s="537">
        <v>1</v>
      </c>
      <c r="H12" s="537">
        <v>0</v>
      </c>
      <c r="I12" s="725">
        <v>1</v>
      </c>
      <c r="J12" s="724">
        <v>0</v>
      </c>
      <c r="K12" s="537">
        <v>0</v>
      </c>
      <c r="L12" s="537">
        <v>0</v>
      </c>
      <c r="M12" s="727">
        <v>1</v>
      </c>
      <c r="N12" s="726"/>
      <c r="O12" s="727">
        <v>2</v>
      </c>
      <c r="P12" s="724">
        <v>0</v>
      </c>
      <c r="Q12" s="724">
        <v>0</v>
      </c>
      <c r="R12" s="724">
        <v>0</v>
      </c>
      <c r="S12" s="724">
        <v>0</v>
      </c>
      <c r="T12" s="724">
        <v>0</v>
      </c>
      <c r="U12" s="724">
        <f t="shared" si="1"/>
        <v>0</v>
      </c>
      <c r="V12" s="724"/>
      <c r="W12" s="724"/>
      <c r="X12" s="724"/>
      <c r="Y12" s="726"/>
      <c r="Z12" s="724"/>
      <c r="AA12" s="726"/>
      <c r="AB12" s="724"/>
      <c r="AC12" s="537"/>
      <c r="AD12" s="537"/>
      <c r="AE12" s="537"/>
      <c r="AF12" s="537"/>
      <c r="AG12" s="537"/>
      <c r="AH12" s="537"/>
      <c r="AI12" s="897"/>
      <c r="AJ12" s="537"/>
      <c r="AK12" s="727"/>
      <c r="AL12" s="390">
        <f t="shared" si="2"/>
        <v>0</v>
      </c>
      <c r="AM12" s="729"/>
      <c r="AN12" s="730"/>
      <c r="AO12" s="731"/>
      <c r="AP12" s="732"/>
      <c r="AQ12" s="850"/>
      <c r="AR12" s="848"/>
      <c r="AS12" s="733"/>
      <c r="AT12" s="852"/>
      <c r="AU12" s="858"/>
      <c r="AV12" s="1015"/>
      <c r="AW12" s="1020"/>
      <c r="AX12" s="1020"/>
      <c r="AY12" s="1020"/>
      <c r="AZ12" s="898"/>
      <c r="BA12" s="1024"/>
      <c r="BC12" s="286" t="s">
        <v>418</v>
      </c>
      <c r="BE12" s="545">
        <v>6</v>
      </c>
      <c r="BF12" s="564" t="s">
        <v>457</v>
      </c>
      <c r="BG12" s="276">
        <f t="shared" si="3"/>
        <v>0</v>
      </c>
      <c r="BH12" s="282">
        <f t="shared" si="4"/>
        <v>0</v>
      </c>
      <c r="BI12" s="565">
        <f t="shared" si="5"/>
        <v>0</v>
      </c>
      <c r="BJ12" s="566">
        <f t="shared" si="6"/>
        <v>0</v>
      </c>
      <c r="BQ12" s="298">
        <f t="shared" si="7"/>
        <v>0</v>
      </c>
      <c r="BR12" s="257">
        <f t="shared" si="8"/>
        <v>0</v>
      </c>
      <c r="BS12" s="257">
        <f t="shared" si="9"/>
        <v>0</v>
      </c>
      <c r="BT12" s="302">
        <f t="shared" si="10"/>
        <v>1</v>
      </c>
      <c r="BU12" s="303">
        <f t="shared" si="11"/>
        <v>1</v>
      </c>
      <c r="BV12" s="257">
        <f t="shared" si="12"/>
        <v>1</v>
      </c>
      <c r="BW12" s="456">
        <f t="shared" si="13"/>
        <v>1</v>
      </c>
      <c r="BX12" s="459">
        <f t="shared" si="14"/>
        <v>2</v>
      </c>
      <c r="BY12" s="335">
        <f t="shared" si="23"/>
        <v>1</v>
      </c>
      <c r="BZ12" s="549"/>
      <c r="CA12" s="550"/>
      <c r="CB12" s="550"/>
      <c r="CC12" s="547"/>
      <c r="CD12" s="570">
        <f t="shared" si="15"/>
        <v>0</v>
      </c>
      <c r="CE12" s="550"/>
      <c r="CF12" s="550"/>
      <c r="CG12" s="550"/>
      <c r="CH12" s="547"/>
      <c r="CI12" s="550"/>
      <c r="CJ12" s="547"/>
      <c r="CK12" s="547"/>
      <c r="CL12" s="550"/>
      <c r="CM12" s="547"/>
      <c r="CN12" s="547"/>
      <c r="CO12" s="547"/>
      <c r="CP12" s="551"/>
      <c r="CQ12" s="549"/>
      <c r="CR12" s="549"/>
      <c r="CS12" s="547"/>
      <c r="CT12" s="550"/>
      <c r="CU12" s="870">
        <f>IF(CU7="Ja","0",BY12)</f>
        <v>1</v>
      </c>
      <c r="CW12" s="545"/>
      <c r="CX12" s="572"/>
      <c r="CY12" s="545"/>
      <c r="CZ12" s="562">
        <f t="shared" si="24"/>
        <v>0</v>
      </c>
      <c r="DA12" s="545"/>
      <c r="DB12" s="571"/>
      <c r="DC12" s="545"/>
      <c r="DD12" s="571"/>
      <c r="DE12" s="545"/>
      <c r="DH12" s="562">
        <f t="shared" si="29"/>
        <v>0</v>
      </c>
      <c r="DM12" s="547" t="str">
        <f t="shared" si="0"/>
        <v>Ene 19</v>
      </c>
      <c r="DN12" s="547">
        <f t="shared" si="25"/>
        <v>1</v>
      </c>
      <c r="DO12" s="547">
        <f t="shared" si="26"/>
        <v>1</v>
      </c>
      <c r="DP12" s="547">
        <f t="shared" si="27"/>
        <v>0</v>
      </c>
      <c r="DT12" s="547">
        <f t="shared" si="28"/>
        <v>0</v>
      </c>
      <c r="EE12" s="564" t="str">
        <f t="shared" si="16"/>
        <v>Ene 19</v>
      </c>
      <c r="EF12" s="442" t="s">
        <v>559</v>
      </c>
      <c r="EG12" s="439">
        <f t="shared" si="17"/>
        <v>0</v>
      </c>
      <c r="EH12" s="440">
        <f t="shared" si="18"/>
        <v>0</v>
      </c>
      <c r="EI12" s="440">
        <f t="shared" si="19"/>
        <v>0</v>
      </c>
      <c r="EJ12" s="541">
        <f t="shared" si="20"/>
        <v>0</v>
      </c>
      <c r="EK12" s="541">
        <f t="shared" si="21"/>
        <v>0</v>
      </c>
      <c r="EL12" s="573">
        <f t="shared" si="22"/>
        <v>0</v>
      </c>
    </row>
    <row r="13" spans="1:142" ht="70.5" customHeight="1" thickBot="1" x14ac:dyDescent="0.3">
      <c r="A13" s="982">
        <v>6</v>
      </c>
      <c r="B13" s="983">
        <v>2</v>
      </c>
      <c r="C13" s="851" t="s">
        <v>226</v>
      </c>
      <c r="D13" s="1003" t="s">
        <v>225</v>
      </c>
      <c r="E13" s="906">
        <v>0</v>
      </c>
      <c r="F13" s="897">
        <v>1</v>
      </c>
      <c r="G13" s="897">
        <v>1</v>
      </c>
      <c r="H13" s="897">
        <v>1</v>
      </c>
      <c r="I13" s="905">
        <v>1</v>
      </c>
      <c r="J13" s="904">
        <v>1</v>
      </c>
      <c r="K13" s="897">
        <v>1</v>
      </c>
      <c r="L13" s="897">
        <v>1</v>
      </c>
      <c r="M13" s="907">
        <v>1</v>
      </c>
      <c r="N13" s="906"/>
      <c r="O13" s="907"/>
      <c r="P13" s="904">
        <v>0</v>
      </c>
      <c r="Q13" s="904">
        <v>0</v>
      </c>
      <c r="R13" s="904">
        <v>1</v>
      </c>
      <c r="S13" s="904">
        <v>1</v>
      </c>
      <c r="T13" s="904">
        <v>1</v>
      </c>
      <c r="U13" s="904">
        <f t="shared" si="1"/>
        <v>1</v>
      </c>
      <c r="V13" s="904"/>
      <c r="W13" s="904"/>
      <c r="X13" s="904"/>
      <c r="Y13" s="906"/>
      <c r="Z13" s="904"/>
      <c r="AA13" s="906"/>
      <c r="AB13" s="904"/>
      <c r="AC13" s="897"/>
      <c r="AD13" s="897"/>
      <c r="AE13" s="897"/>
      <c r="AF13" s="897" t="s">
        <v>444</v>
      </c>
      <c r="AG13" s="897"/>
      <c r="AH13" s="897"/>
      <c r="AI13" s="897"/>
      <c r="AJ13" s="897"/>
      <c r="AK13" s="907"/>
      <c r="AL13" s="390">
        <f t="shared" si="2"/>
        <v>1</v>
      </c>
      <c r="AM13" s="913"/>
      <c r="AN13" s="914"/>
      <c r="AO13" s="915"/>
      <c r="AP13" s="916"/>
      <c r="AQ13" s="930"/>
      <c r="AR13" s="928"/>
      <c r="AS13" s="917"/>
      <c r="AT13" s="931"/>
      <c r="AU13" s="937"/>
      <c r="AV13" s="1015"/>
      <c r="AW13" s="1020"/>
      <c r="AX13" s="1020"/>
      <c r="AY13" s="1020"/>
      <c r="AZ13" s="898"/>
      <c r="BA13" s="1024"/>
      <c r="BC13" s="287" t="s">
        <v>441</v>
      </c>
      <c r="BE13" s="545">
        <v>7</v>
      </c>
      <c r="BF13" s="564" t="s">
        <v>226</v>
      </c>
      <c r="BG13" s="276">
        <f t="shared" si="3"/>
        <v>1</v>
      </c>
      <c r="BH13" s="282">
        <f t="shared" si="4"/>
        <v>0</v>
      </c>
      <c r="BI13" s="565">
        <f t="shared" si="5"/>
        <v>0</v>
      </c>
      <c r="BJ13" s="566">
        <f t="shared" si="6"/>
        <v>0</v>
      </c>
      <c r="BQ13" s="298">
        <f t="shared" si="7"/>
        <v>1</v>
      </c>
      <c r="BR13" s="257">
        <f t="shared" si="8"/>
        <v>1</v>
      </c>
      <c r="BS13" s="257">
        <f t="shared" si="9"/>
        <v>1</v>
      </c>
      <c r="BT13" s="302">
        <f t="shared" si="10"/>
        <v>1</v>
      </c>
      <c r="BU13" s="303">
        <f t="shared" si="11"/>
        <v>0</v>
      </c>
      <c r="BV13" s="257">
        <f t="shared" si="12"/>
        <v>1</v>
      </c>
      <c r="BW13" s="456">
        <f t="shared" si="13"/>
        <v>1</v>
      </c>
      <c r="BX13" s="459">
        <f t="shared" si="14"/>
        <v>0</v>
      </c>
      <c r="BY13" s="311">
        <f t="shared" si="23"/>
        <v>1</v>
      </c>
      <c r="CC13" s="545"/>
      <c r="CD13" s="577">
        <f t="shared" si="15"/>
        <v>0</v>
      </c>
      <c r="CH13" s="545"/>
      <c r="CJ13" s="545"/>
      <c r="CK13" s="545"/>
      <c r="CM13" s="545"/>
      <c r="CN13" s="545"/>
      <c r="CO13" s="545"/>
      <c r="CP13" s="572"/>
      <c r="CQ13" s="571"/>
      <c r="CR13" s="571"/>
      <c r="CS13" s="545"/>
      <c r="CW13" s="545"/>
      <c r="CX13" s="572"/>
      <c r="CY13" s="545"/>
      <c r="CZ13" s="562">
        <f t="shared" si="24"/>
        <v>0</v>
      </c>
      <c r="DA13" s="545"/>
      <c r="DB13" s="571"/>
      <c r="DC13" s="545"/>
      <c r="DD13" s="571"/>
      <c r="DE13" s="545"/>
      <c r="DH13" s="562">
        <f t="shared" si="29"/>
        <v>0</v>
      </c>
      <c r="DM13" s="547" t="str">
        <f t="shared" si="0"/>
        <v>Ene 2</v>
      </c>
      <c r="DN13" s="547">
        <f t="shared" si="25"/>
        <v>1</v>
      </c>
      <c r="DO13" s="547">
        <f t="shared" si="26"/>
        <v>0</v>
      </c>
      <c r="DP13" s="547">
        <f t="shared" si="27"/>
        <v>1</v>
      </c>
      <c r="DT13" s="547">
        <f t="shared" si="28"/>
        <v>1</v>
      </c>
      <c r="EE13" s="564" t="str">
        <f t="shared" si="16"/>
        <v>Ene 2</v>
      </c>
      <c r="EF13" s="443" t="s">
        <v>565</v>
      </c>
      <c r="EG13" s="439">
        <f t="shared" si="17"/>
        <v>0</v>
      </c>
      <c r="EH13" s="440">
        <f t="shared" si="18"/>
        <v>0</v>
      </c>
      <c r="EI13" s="440">
        <f t="shared" si="19"/>
        <v>1</v>
      </c>
      <c r="EJ13" s="541">
        <f t="shared" si="20"/>
        <v>1</v>
      </c>
      <c r="EK13" s="541">
        <f t="shared" si="21"/>
        <v>1</v>
      </c>
      <c r="EL13" s="573">
        <f t="shared" si="22"/>
        <v>1</v>
      </c>
    </row>
    <row r="14" spans="1:142" ht="30.75" thickBot="1" x14ac:dyDescent="0.3">
      <c r="A14" s="982">
        <v>6</v>
      </c>
      <c r="B14" s="983">
        <v>20</v>
      </c>
      <c r="C14" s="851" t="s">
        <v>446</v>
      </c>
      <c r="D14" s="1003" t="s">
        <v>430</v>
      </c>
      <c r="E14" s="726">
        <v>0</v>
      </c>
      <c r="F14" s="537">
        <v>1</v>
      </c>
      <c r="G14" s="537">
        <v>1</v>
      </c>
      <c r="H14" s="537">
        <v>0</v>
      </c>
      <c r="I14" s="725">
        <v>1</v>
      </c>
      <c r="J14" s="724">
        <v>0</v>
      </c>
      <c r="K14" s="537">
        <v>0</v>
      </c>
      <c r="L14" s="537">
        <v>0</v>
      </c>
      <c r="M14" s="727">
        <v>1</v>
      </c>
      <c r="N14" s="726"/>
      <c r="O14" s="727">
        <v>2</v>
      </c>
      <c r="P14" s="724">
        <v>0</v>
      </c>
      <c r="Q14" s="724">
        <v>0</v>
      </c>
      <c r="R14" s="724">
        <v>0</v>
      </c>
      <c r="S14" s="724">
        <v>0</v>
      </c>
      <c r="T14" s="724">
        <v>0</v>
      </c>
      <c r="U14" s="724">
        <f t="shared" si="1"/>
        <v>0</v>
      </c>
      <c r="V14" s="724"/>
      <c r="W14" s="724"/>
      <c r="X14" s="724"/>
      <c r="Y14" s="726"/>
      <c r="Z14" s="724"/>
      <c r="AA14" s="726"/>
      <c r="AB14" s="724"/>
      <c r="AC14" s="537"/>
      <c r="AD14" s="537"/>
      <c r="AE14" s="537"/>
      <c r="AF14" s="537"/>
      <c r="AG14" s="537"/>
      <c r="AH14" s="537"/>
      <c r="AI14" s="537"/>
      <c r="AJ14" s="537"/>
      <c r="AK14" s="727"/>
      <c r="AL14" s="390">
        <f t="shared" si="2"/>
        <v>1</v>
      </c>
      <c r="AM14" s="913"/>
      <c r="AN14" s="730"/>
      <c r="AO14" s="731"/>
      <c r="AP14" s="732"/>
      <c r="AQ14" s="850"/>
      <c r="AR14" s="848"/>
      <c r="AS14" s="733"/>
      <c r="AT14" s="852"/>
      <c r="AU14" s="858"/>
      <c r="AV14" s="1015"/>
      <c r="AW14" s="1020"/>
      <c r="AX14" s="1020"/>
      <c r="AY14" s="1020"/>
      <c r="AZ14" s="898"/>
      <c r="BA14" s="1024"/>
      <c r="BC14" s="288" t="s">
        <v>612</v>
      </c>
      <c r="BE14" s="545">
        <v>8</v>
      </c>
      <c r="BF14" s="564" t="s">
        <v>446</v>
      </c>
      <c r="BG14" s="276">
        <f t="shared" si="3"/>
        <v>1</v>
      </c>
      <c r="BH14" s="282">
        <f t="shared" si="4"/>
        <v>0</v>
      </c>
      <c r="BI14" s="565">
        <f t="shared" si="5"/>
        <v>0</v>
      </c>
      <c r="BJ14" s="566">
        <f t="shared" si="6"/>
        <v>0</v>
      </c>
      <c r="BQ14" s="298">
        <f t="shared" si="7"/>
        <v>0</v>
      </c>
      <c r="BR14" s="257">
        <f t="shared" si="8"/>
        <v>0</v>
      </c>
      <c r="BS14" s="257">
        <f t="shared" si="9"/>
        <v>0</v>
      </c>
      <c r="BT14" s="302">
        <f t="shared" si="10"/>
        <v>1</v>
      </c>
      <c r="BU14" s="303">
        <f t="shared" si="11"/>
        <v>0</v>
      </c>
      <c r="BV14" s="257">
        <f t="shared" si="12"/>
        <v>1</v>
      </c>
      <c r="BW14" s="456">
        <f t="shared" si="13"/>
        <v>1</v>
      </c>
      <c r="BX14" s="459">
        <f t="shared" si="14"/>
        <v>2</v>
      </c>
      <c r="BY14" s="311">
        <f t="shared" si="23"/>
        <v>1</v>
      </c>
      <c r="CC14" s="545"/>
      <c r="CD14" s="570">
        <f t="shared" si="15"/>
        <v>0</v>
      </c>
      <c r="CH14" s="545"/>
      <c r="CJ14" s="545"/>
      <c r="CK14" s="545"/>
      <c r="CM14" s="545"/>
      <c r="CN14" s="545"/>
      <c r="CO14" s="545"/>
      <c r="CP14" s="572"/>
      <c r="CQ14" s="571"/>
      <c r="CR14" s="571"/>
      <c r="CS14" s="545"/>
      <c r="CW14" s="545"/>
      <c r="CX14" s="572"/>
      <c r="CY14" s="545"/>
      <c r="CZ14" s="562">
        <f t="shared" si="24"/>
        <v>0</v>
      </c>
      <c r="DA14" s="545"/>
      <c r="DB14" s="571"/>
      <c r="DC14" s="545"/>
      <c r="DD14" s="571"/>
      <c r="DE14" s="545"/>
      <c r="DH14" s="562">
        <f t="shared" si="29"/>
        <v>0</v>
      </c>
      <c r="DM14" s="547" t="str">
        <f t="shared" si="0"/>
        <v>Ene 20</v>
      </c>
      <c r="DN14" s="547">
        <f t="shared" si="25"/>
        <v>1</v>
      </c>
      <c r="DO14" s="547">
        <f t="shared" si="26"/>
        <v>0</v>
      </c>
      <c r="DP14" s="547">
        <f t="shared" si="27"/>
        <v>1</v>
      </c>
      <c r="DT14" s="547">
        <f t="shared" si="28"/>
        <v>1</v>
      </c>
      <c r="EE14" s="564" t="str">
        <f t="shared" si="16"/>
        <v>Ene 20</v>
      </c>
      <c r="EG14" s="439">
        <f t="shared" si="17"/>
        <v>0</v>
      </c>
      <c r="EH14" s="440">
        <f t="shared" si="18"/>
        <v>0</v>
      </c>
      <c r="EI14" s="440">
        <f t="shared" si="19"/>
        <v>0</v>
      </c>
      <c r="EJ14" s="541">
        <f t="shared" si="20"/>
        <v>0</v>
      </c>
      <c r="EK14" s="541">
        <f t="shared" si="21"/>
        <v>0</v>
      </c>
      <c r="EL14" s="573">
        <f t="shared" si="22"/>
        <v>0</v>
      </c>
    </row>
    <row r="15" spans="1:142" ht="29.45" customHeight="1" thickBot="1" x14ac:dyDescent="0.3">
      <c r="A15" s="982">
        <v>6</v>
      </c>
      <c r="B15" s="983">
        <v>23</v>
      </c>
      <c r="C15" s="851" t="s">
        <v>592</v>
      </c>
      <c r="D15" s="1003" t="s">
        <v>431</v>
      </c>
      <c r="E15" s="726">
        <v>1</v>
      </c>
      <c r="F15" s="537">
        <v>1</v>
      </c>
      <c r="G15" s="537">
        <v>1</v>
      </c>
      <c r="H15" s="537">
        <v>0</v>
      </c>
      <c r="I15" s="725">
        <v>1</v>
      </c>
      <c r="J15" s="724">
        <v>2</v>
      </c>
      <c r="K15" s="537">
        <v>2</v>
      </c>
      <c r="L15" s="537">
        <v>2</v>
      </c>
      <c r="M15" s="727">
        <v>2</v>
      </c>
      <c r="N15" s="726"/>
      <c r="O15" s="727"/>
      <c r="P15" s="724">
        <v>0</v>
      </c>
      <c r="Q15" s="724">
        <v>0</v>
      </c>
      <c r="R15" s="724">
        <v>0</v>
      </c>
      <c r="S15" s="724">
        <v>1</v>
      </c>
      <c r="T15" s="724">
        <v>2</v>
      </c>
      <c r="U15" s="724">
        <f t="shared" si="1"/>
        <v>2</v>
      </c>
      <c r="V15" s="724"/>
      <c r="W15" s="724"/>
      <c r="X15" s="724"/>
      <c r="Y15" s="726"/>
      <c r="Z15" s="724"/>
      <c r="AA15" s="726"/>
      <c r="AB15" s="724"/>
      <c r="AC15" s="537"/>
      <c r="AD15" s="537"/>
      <c r="AE15" s="537"/>
      <c r="AF15" s="537"/>
      <c r="AG15" s="537"/>
      <c r="AH15" s="537"/>
      <c r="AI15" s="537"/>
      <c r="AJ15" s="537"/>
      <c r="AK15" s="727"/>
      <c r="AL15" s="390">
        <f t="shared" si="2"/>
        <v>2</v>
      </c>
      <c r="AM15" s="913"/>
      <c r="AN15" s="730"/>
      <c r="AO15" s="731"/>
      <c r="AP15" s="732"/>
      <c r="AQ15" s="850"/>
      <c r="AR15" s="848"/>
      <c r="AS15" s="917"/>
      <c r="AT15" s="931"/>
      <c r="AU15" s="937"/>
      <c r="AV15" s="1015"/>
      <c r="AW15" s="1020"/>
      <c r="AX15" s="1020"/>
      <c r="AY15" s="1020"/>
      <c r="AZ15" s="898"/>
      <c r="BA15" s="1024"/>
      <c r="BC15" s="575" t="s">
        <v>442</v>
      </c>
      <c r="BE15" s="545">
        <v>9</v>
      </c>
      <c r="BF15" s="564" t="s">
        <v>592</v>
      </c>
      <c r="BG15" s="276">
        <f t="shared" si="3"/>
        <v>2</v>
      </c>
      <c r="BH15" s="282">
        <f t="shared" si="4"/>
        <v>0</v>
      </c>
      <c r="BI15" s="565">
        <f t="shared" si="5"/>
        <v>0</v>
      </c>
      <c r="BJ15" s="566">
        <f t="shared" si="6"/>
        <v>0</v>
      </c>
      <c r="BQ15" s="298">
        <f t="shared" si="7"/>
        <v>2</v>
      </c>
      <c r="BR15" s="257">
        <f t="shared" si="8"/>
        <v>2</v>
      </c>
      <c r="BS15" s="257">
        <f t="shared" si="9"/>
        <v>2</v>
      </c>
      <c r="BT15" s="302">
        <f t="shared" si="10"/>
        <v>2</v>
      </c>
      <c r="BU15" s="303">
        <f t="shared" si="11"/>
        <v>1</v>
      </c>
      <c r="BV15" s="257">
        <f t="shared" si="12"/>
        <v>1</v>
      </c>
      <c r="BW15" s="456">
        <f t="shared" si="13"/>
        <v>1</v>
      </c>
      <c r="BX15" s="459">
        <f t="shared" si="14"/>
        <v>0</v>
      </c>
      <c r="BY15" s="311">
        <f t="shared" si="23"/>
        <v>2</v>
      </c>
      <c r="CC15" s="545"/>
      <c r="CD15" s="559">
        <f t="shared" si="15"/>
        <v>0</v>
      </c>
      <c r="CH15" s="545"/>
      <c r="CJ15" s="545"/>
      <c r="CK15" s="545"/>
      <c r="CM15" s="545"/>
      <c r="CN15" s="545"/>
      <c r="CO15" s="545"/>
      <c r="CP15" s="572"/>
      <c r="CQ15" s="571"/>
      <c r="CR15" s="571"/>
      <c r="CS15" s="545"/>
      <c r="CW15" s="545"/>
      <c r="CX15" s="572"/>
      <c r="CY15" s="545"/>
      <c r="CZ15" s="828">
        <f t="shared" si="24"/>
        <v>0</v>
      </c>
      <c r="DA15" s="545"/>
      <c r="DB15" s="571"/>
      <c r="DC15" s="545"/>
      <c r="DD15" s="571"/>
      <c r="DE15" s="545"/>
      <c r="DH15" s="562">
        <f t="shared" si="29"/>
        <v>0</v>
      </c>
      <c r="DM15" s="547" t="str">
        <f t="shared" si="0"/>
        <v>Ene 23</v>
      </c>
      <c r="DN15" s="547">
        <f t="shared" si="25"/>
        <v>2</v>
      </c>
      <c r="DO15" s="547">
        <f t="shared" si="26"/>
        <v>0</v>
      </c>
      <c r="DP15" s="547">
        <f t="shared" si="27"/>
        <v>2</v>
      </c>
      <c r="DT15" s="547">
        <f t="shared" si="28"/>
        <v>2</v>
      </c>
      <c r="EE15" s="564" t="str">
        <f t="shared" si="16"/>
        <v>Ene 23</v>
      </c>
      <c r="EG15" s="439">
        <f t="shared" si="17"/>
        <v>0</v>
      </c>
      <c r="EH15" s="440">
        <f t="shared" si="18"/>
        <v>0</v>
      </c>
      <c r="EI15" s="440">
        <f t="shared" si="19"/>
        <v>0</v>
      </c>
      <c r="EJ15" s="541">
        <f t="shared" si="20"/>
        <v>1</v>
      </c>
      <c r="EK15" s="541">
        <f t="shared" si="21"/>
        <v>2</v>
      </c>
      <c r="EL15" s="573">
        <f t="shared" si="22"/>
        <v>2</v>
      </c>
    </row>
    <row r="16" spans="1:142" ht="30.75" customHeight="1" thickBot="1" x14ac:dyDescent="0.3">
      <c r="A16" s="982">
        <v>6</v>
      </c>
      <c r="B16" s="983">
        <v>3</v>
      </c>
      <c r="C16" s="851" t="s">
        <v>224</v>
      </c>
      <c r="D16" s="1003" t="s">
        <v>223</v>
      </c>
      <c r="E16" s="726">
        <v>1</v>
      </c>
      <c r="F16" s="537">
        <v>1</v>
      </c>
      <c r="G16" s="537">
        <v>1</v>
      </c>
      <c r="H16" s="537">
        <v>1</v>
      </c>
      <c r="I16" s="725">
        <v>1</v>
      </c>
      <c r="J16" s="724">
        <v>1</v>
      </c>
      <c r="K16" s="537">
        <v>1</v>
      </c>
      <c r="L16" s="537">
        <v>1</v>
      </c>
      <c r="M16" s="727">
        <v>1</v>
      </c>
      <c r="N16" s="726"/>
      <c r="O16" s="727"/>
      <c r="P16" s="724">
        <v>0</v>
      </c>
      <c r="Q16" s="724">
        <v>0</v>
      </c>
      <c r="R16" s="724">
        <v>0</v>
      </c>
      <c r="S16" s="724">
        <v>0</v>
      </c>
      <c r="T16" s="724">
        <v>0</v>
      </c>
      <c r="U16" s="724">
        <f t="shared" si="1"/>
        <v>0</v>
      </c>
      <c r="V16" s="724"/>
      <c r="W16" s="724"/>
      <c r="X16" s="724"/>
      <c r="Y16" s="726"/>
      <c r="Z16" s="724"/>
      <c r="AA16" s="726"/>
      <c r="AB16" s="724"/>
      <c r="AC16" s="537"/>
      <c r="AD16" s="537"/>
      <c r="AE16" s="537"/>
      <c r="AF16" s="537" t="s">
        <v>444</v>
      </c>
      <c r="AG16" s="537"/>
      <c r="AH16" s="537"/>
      <c r="AI16" s="897"/>
      <c r="AJ16" s="537"/>
      <c r="AK16" s="727"/>
      <c r="AL16" s="390">
        <f t="shared" si="2"/>
        <v>1</v>
      </c>
      <c r="AM16" s="729"/>
      <c r="AN16" s="730"/>
      <c r="AO16" s="731"/>
      <c r="AP16" s="732"/>
      <c r="AQ16" s="850"/>
      <c r="AR16" s="848"/>
      <c r="AS16" s="733"/>
      <c r="AT16" s="852"/>
      <c r="AU16" s="858"/>
      <c r="AV16" s="1015"/>
      <c r="AW16" s="1020"/>
      <c r="AX16" s="1020"/>
      <c r="AY16" s="1020"/>
      <c r="AZ16" s="898"/>
      <c r="BA16" s="1024"/>
      <c r="BC16" s="576" t="s">
        <v>623</v>
      </c>
      <c r="BE16" s="545">
        <v>10</v>
      </c>
      <c r="BF16" s="564" t="s">
        <v>224</v>
      </c>
      <c r="BG16" s="276">
        <f t="shared" si="3"/>
        <v>1</v>
      </c>
      <c r="BH16" s="282">
        <f t="shared" si="4"/>
        <v>0</v>
      </c>
      <c r="BI16" s="565">
        <f t="shared" si="5"/>
        <v>0</v>
      </c>
      <c r="BJ16" s="566">
        <f t="shared" si="6"/>
        <v>0</v>
      </c>
      <c r="BQ16" s="298">
        <f t="shared" si="7"/>
        <v>1</v>
      </c>
      <c r="BR16" s="257">
        <f t="shared" si="8"/>
        <v>1</v>
      </c>
      <c r="BS16" s="257">
        <f t="shared" si="9"/>
        <v>1</v>
      </c>
      <c r="BT16" s="302">
        <f t="shared" si="10"/>
        <v>1</v>
      </c>
      <c r="BU16" s="303">
        <f t="shared" si="11"/>
        <v>1</v>
      </c>
      <c r="BV16" s="257">
        <f t="shared" si="12"/>
        <v>1</v>
      </c>
      <c r="BW16" s="456">
        <f t="shared" si="13"/>
        <v>1</v>
      </c>
      <c r="BX16" s="459">
        <f t="shared" si="14"/>
        <v>0</v>
      </c>
      <c r="BY16" s="335">
        <f t="shared" si="23"/>
        <v>1</v>
      </c>
      <c r="BZ16" s="549"/>
      <c r="CA16" s="550"/>
      <c r="CB16" s="550"/>
      <c r="CC16" s="547"/>
      <c r="CD16" s="570">
        <f t="shared" si="15"/>
        <v>0</v>
      </c>
      <c r="CE16" s="550"/>
      <c r="CF16" s="550"/>
      <c r="CG16" s="550"/>
      <c r="CH16" s="547"/>
      <c r="CI16" s="550"/>
      <c r="CJ16" s="547"/>
      <c r="CK16" s="547"/>
      <c r="CL16" s="550"/>
      <c r="CM16" s="547"/>
      <c r="CN16" s="547"/>
      <c r="CO16" s="547"/>
      <c r="CP16" s="551"/>
      <c r="CQ16" s="549"/>
      <c r="CR16" s="549"/>
      <c r="CS16" s="547"/>
      <c r="CT16" s="550"/>
      <c r="CU16" s="550"/>
      <c r="CV16" s="550"/>
      <c r="CW16" s="547"/>
      <c r="CX16" s="551"/>
      <c r="CY16" s="547"/>
      <c r="CZ16" s="562">
        <f t="shared" si="24"/>
        <v>0</v>
      </c>
      <c r="DA16" s="547"/>
      <c r="DB16" s="549"/>
      <c r="DC16" s="547"/>
      <c r="DD16" s="574">
        <f>IF(OR(DD7=DD1,DD7=DD2),BY16,0)</f>
        <v>0</v>
      </c>
      <c r="DE16" s="545"/>
      <c r="DH16" s="562">
        <f t="shared" si="29"/>
        <v>0</v>
      </c>
      <c r="DM16" s="547" t="str">
        <f t="shared" si="0"/>
        <v>Ene 3</v>
      </c>
      <c r="DN16" s="547">
        <f t="shared" si="25"/>
        <v>1</v>
      </c>
      <c r="DO16" s="547">
        <f t="shared" si="26"/>
        <v>0</v>
      </c>
      <c r="DP16" s="547">
        <f t="shared" si="27"/>
        <v>1</v>
      </c>
      <c r="DT16" s="547">
        <f t="shared" si="28"/>
        <v>1</v>
      </c>
      <c r="EE16" s="564" t="str">
        <f t="shared" si="16"/>
        <v>Ene 3</v>
      </c>
      <c r="EG16" s="439">
        <f t="shared" si="17"/>
        <v>0</v>
      </c>
      <c r="EH16" s="440">
        <f t="shared" si="18"/>
        <v>0</v>
      </c>
      <c r="EI16" s="440">
        <f t="shared" si="19"/>
        <v>0</v>
      </c>
      <c r="EJ16" s="541">
        <f t="shared" si="20"/>
        <v>0</v>
      </c>
      <c r="EK16" s="541">
        <f t="shared" si="21"/>
        <v>0</v>
      </c>
      <c r="EL16" s="573">
        <f t="shared" si="22"/>
        <v>0</v>
      </c>
    </row>
    <row r="17" spans="1:142" ht="15.75" thickBot="1" x14ac:dyDescent="0.3">
      <c r="A17" s="982">
        <v>6</v>
      </c>
      <c r="B17" s="983">
        <v>4</v>
      </c>
      <c r="C17" s="851" t="s">
        <v>105</v>
      </c>
      <c r="D17" s="1003" t="s">
        <v>427</v>
      </c>
      <c r="E17" s="726">
        <v>1</v>
      </c>
      <c r="F17" s="537">
        <v>1</v>
      </c>
      <c r="G17" s="537">
        <v>1</v>
      </c>
      <c r="H17" s="537">
        <v>1</v>
      </c>
      <c r="I17" s="725">
        <v>1</v>
      </c>
      <c r="J17" s="724">
        <v>1</v>
      </c>
      <c r="K17" s="537">
        <v>1</v>
      </c>
      <c r="L17" s="537">
        <v>1</v>
      </c>
      <c r="M17" s="727">
        <v>1</v>
      </c>
      <c r="N17" s="726"/>
      <c r="O17" s="727"/>
      <c r="P17" s="724">
        <v>0</v>
      </c>
      <c r="Q17" s="724">
        <v>0</v>
      </c>
      <c r="R17" s="724">
        <v>0</v>
      </c>
      <c r="S17" s="724">
        <v>0</v>
      </c>
      <c r="T17" s="724">
        <v>0</v>
      </c>
      <c r="U17" s="724">
        <f t="shared" si="1"/>
        <v>0</v>
      </c>
      <c r="V17" s="724"/>
      <c r="W17" s="724"/>
      <c r="X17" s="724"/>
      <c r="Y17" s="726"/>
      <c r="Z17" s="724"/>
      <c r="AA17" s="726"/>
      <c r="AB17" s="724"/>
      <c r="AC17" s="537"/>
      <c r="AD17" s="537"/>
      <c r="AE17" s="537"/>
      <c r="AF17" s="537" t="s">
        <v>444</v>
      </c>
      <c r="AG17" s="537"/>
      <c r="AH17" s="537"/>
      <c r="AI17" s="537"/>
      <c r="AJ17" s="537"/>
      <c r="AK17" s="727"/>
      <c r="AL17" s="390">
        <f t="shared" si="2"/>
        <v>1</v>
      </c>
      <c r="AM17" s="729"/>
      <c r="AN17" s="730"/>
      <c r="AO17" s="731"/>
      <c r="AP17" s="732"/>
      <c r="AQ17" s="850"/>
      <c r="AR17" s="848"/>
      <c r="AS17" s="733"/>
      <c r="AT17" s="852"/>
      <c r="AU17" s="858"/>
      <c r="AV17" s="1015"/>
      <c r="AW17" s="1020"/>
      <c r="AX17" s="1020"/>
      <c r="AY17" s="1020"/>
      <c r="AZ17" s="898"/>
      <c r="BA17" s="1024"/>
      <c r="BC17" s="578" t="s">
        <v>667</v>
      </c>
      <c r="BE17" s="545">
        <v>11</v>
      </c>
      <c r="BF17" s="564" t="s">
        <v>105</v>
      </c>
      <c r="BG17" s="276">
        <f t="shared" si="3"/>
        <v>1</v>
      </c>
      <c r="BH17" s="282">
        <f t="shared" si="4"/>
        <v>0</v>
      </c>
      <c r="BI17" s="565">
        <f t="shared" si="5"/>
        <v>0</v>
      </c>
      <c r="BJ17" s="566">
        <f t="shared" si="6"/>
        <v>0</v>
      </c>
      <c r="BQ17" s="298">
        <f t="shared" si="7"/>
        <v>1</v>
      </c>
      <c r="BR17" s="257">
        <f t="shared" si="8"/>
        <v>1</v>
      </c>
      <c r="BS17" s="257">
        <f t="shared" si="9"/>
        <v>1</v>
      </c>
      <c r="BT17" s="302">
        <f t="shared" si="10"/>
        <v>1</v>
      </c>
      <c r="BU17" s="303">
        <f t="shared" si="11"/>
        <v>1</v>
      </c>
      <c r="BV17" s="257">
        <f t="shared" si="12"/>
        <v>1</v>
      </c>
      <c r="BW17" s="456">
        <f t="shared" si="13"/>
        <v>1</v>
      </c>
      <c r="BX17" s="459">
        <f t="shared" si="14"/>
        <v>0</v>
      </c>
      <c r="BY17" s="311">
        <f t="shared" si="23"/>
        <v>1</v>
      </c>
      <c r="CC17" s="545"/>
      <c r="CD17" s="577">
        <f t="shared" si="15"/>
        <v>0</v>
      </c>
      <c r="CH17" s="545"/>
      <c r="CJ17" s="545"/>
      <c r="CK17" s="545"/>
      <c r="CM17" s="545"/>
      <c r="CN17" s="545"/>
      <c r="CO17" s="545"/>
      <c r="CP17" s="572"/>
      <c r="CQ17" s="571"/>
      <c r="CR17" s="571"/>
      <c r="CS17" s="545"/>
      <c r="CW17" s="545"/>
      <c r="CX17" s="572"/>
      <c r="CY17" s="545"/>
      <c r="CZ17" s="594">
        <f t="shared" si="24"/>
        <v>0</v>
      </c>
      <c r="DA17" s="545"/>
      <c r="DB17" s="571"/>
      <c r="DC17" s="545"/>
      <c r="DE17" s="545"/>
      <c r="DH17" s="562">
        <f t="shared" si="29"/>
        <v>0</v>
      </c>
      <c r="DM17" s="547" t="str">
        <f t="shared" si="0"/>
        <v>Ene 4</v>
      </c>
      <c r="DN17" s="547">
        <f t="shared" si="25"/>
        <v>1</v>
      </c>
      <c r="DO17" s="547">
        <f t="shared" si="26"/>
        <v>0</v>
      </c>
      <c r="DP17" s="547">
        <f t="shared" si="27"/>
        <v>1</v>
      </c>
      <c r="DT17" s="547">
        <f t="shared" si="28"/>
        <v>1</v>
      </c>
      <c r="EE17" s="564" t="str">
        <f t="shared" si="16"/>
        <v>Ene 4</v>
      </c>
      <c r="EG17" s="439">
        <f t="shared" si="17"/>
        <v>0</v>
      </c>
      <c r="EH17" s="440">
        <f t="shared" si="18"/>
        <v>0</v>
      </c>
      <c r="EI17" s="440">
        <f t="shared" si="19"/>
        <v>0</v>
      </c>
      <c r="EJ17" s="541">
        <f t="shared" si="20"/>
        <v>0</v>
      </c>
      <c r="EK17" s="541">
        <f t="shared" si="21"/>
        <v>0</v>
      </c>
      <c r="EL17" s="573">
        <f t="shared" si="22"/>
        <v>0</v>
      </c>
    </row>
    <row r="18" spans="1:142" ht="45.75" thickBot="1" x14ac:dyDescent="0.3">
      <c r="A18" s="982">
        <v>6</v>
      </c>
      <c r="B18" s="983">
        <v>5</v>
      </c>
      <c r="C18" s="851" t="s">
        <v>249</v>
      </c>
      <c r="D18" s="1003" t="s">
        <v>428</v>
      </c>
      <c r="E18" s="726">
        <v>1</v>
      </c>
      <c r="F18" s="537">
        <v>1</v>
      </c>
      <c r="G18" s="537">
        <v>1</v>
      </c>
      <c r="H18" s="537">
        <v>0</v>
      </c>
      <c r="I18" s="725">
        <v>1</v>
      </c>
      <c r="J18" s="724">
        <v>3</v>
      </c>
      <c r="K18" s="537">
        <v>3</v>
      </c>
      <c r="L18" s="537">
        <v>3</v>
      </c>
      <c r="M18" s="727">
        <v>3</v>
      </c>
      <c r="N18" s="726"/>
      <c r="O18" s="727"/>
      <c r="P18" s="724">
        <v>0</v>
      </c>
      <c r="Q18" s="724">
        <v>0</v>
      </c>
      <c r="R18" s="724">
        <v>0</v>
      </c>
      <c r="S18" s="724">
        <v>1</v>
      </c>
      <c r="T18" s="724">
        <v>1</v>
      </c>
      <c r="U18" s="724">
        <f t="shared" si="1"/>
        <v>1</v>
      </c>
      <c r="V18" s="724"/>
      <c r="W18" s="724"/>
      <c r="X18" s="724"/>
      <c r="Y18" s="726"/>
      <c r="Z18" s="724"/>
      <c r="AA18" s="726"/>
      <c r="AB18" s="724"/>
      <c r="AC18" s="537"/>
      <c r="AD18" s="537"/>
      <c r="AE18" s="537"/>
      <c r="AF18" s="897"/>
      <c r="AG18" s="897"/>
      <c r="AH18" s="897"/>
      <c r="AI18" s="897"/>
      <c r="AJ18" s="537"/>
      <c r="AK18" s="727"/>
      <c r="AL18" s="390">
        <f t="shared" si="2"/>
        <v>3</v>
      </c>
      <c r="AM18" s="729"/>
      <c r="AN18" s="730"/>
      <c r="AO18" s="731"/>
      <c r="AP18" s="732"/>
      <c r="AQ18" s="850"/>
      <c r="AR18" s="848"/>
      <c r="AS18" s="733"/>
      <c r="AT18" s="852"/>
      <c r="AU18" s="858"/>
      <c r="AV18" s="1015"/>
      <c r="AW18" s="1020"/>
      <c r="AX18" s="1020"/>
      <c r="AY18" s="1020"/>
      <c r="AZ18" s="898"/>
      <c r="BA18" s="1024"/>
      <c r="BC18" s="871" t="s">
        <v>780</v>
      </c>
      <c r="BE18" s="545">
        <v>12</v>
      </c>
      <c r="BF18" s="564" t="s">
        <v>249</v>
      </c>
      <c r="BG18" s="276">
        <f t="shared" si="3"/>
        <v>3</v>
      </c>
      <c r="BH18" s="282">
        <f t="shared" si="4"/>
        <v>0</v>
      </c>
      <c r="BI18" s="565">
        <f t="shared" si="5"/>
        <v>0</v>
      </c>
      <c r="BJ18" s="566">
        <f t="shared" si="6"/>
        <v>0</v>
      </c>
      <c r="BQ18" s="299">
        <f t="shared" si="7"/>
        <v>3</v>
      </c>
      <c r="BR18" s="300">
        <f t="shared" si="8"/>
        <v>3</v>
      </c>
      <c r="BS18" s="300">
        <f t="shared" si="9"/>
        <v>3</v>
      </c>
      <c r="BT18" s="301">
        <f t="shared" si="10"/>
        <v>3</v>
      </c>
      <c r="BU18" s="303">
        <f t="shared" si="11"/>
        <v>1</v>
      </c>
      <c r="BV18" s="257">
        <f t="shared" si="12"/>
        <v>1</v>
      </c>
      <c r="BW18" s="456">
        <f t="shared" si="13"/>
        <v>1</v>
      </c>
      <c r="BX18" s="459">
        <f t="shared" si="14"/>
        <v>0</v>
      </c>
      <c r="BY18" s="311">
        <f t="shared" si="23"/>
        <v>3</v>
      </c>
      <c r="CC18" s="545"/>
      <c r="CD18" s="559">
        <f t="shared" si="15"/>
        <v>0</v>
      </c>
      <c r="CH18" s="545"/>
      <c r="CJ18" s="545"/>
      <c r="CK18" s="545"/>
      <c r="CM18" s="545"/>
      <c r="CN18" s="545"/>
      <c r="CO18" s="545"/>
      <c r="CP18" s="572"/>
      <c r="CQ18" s="571"/>
      <c r="CR18" s="571"/>
      <c r="CS18" s="545"/>
      <c r="CW18" s="545"/>
      <c r="CX18" s="572"/>
      <c r="CY18" s="545"/>
      <c r="CZ18" s="562">
        <f t="shared" si="24"/>
        <v>0</v>
      </c>
      <c r="DA18" s="545"/>
      <c r="DB18" s="571"/>
      <c r="DC18" s="545"/>
      <c r="DE18" s="545"/>
      <c r="DH18" s="562">
        <f t="shared" si="29"/>
        <v>0</v>
      </c>
      <c r="DM18" s="547" t="str">
        <f t="shared" si="0"/>
        <v>Ene 5</v>
      </c>
      <c r="DN18" s="547">
        <f t="shared" si="25"/>
        <v>3</v>
      </c>
      <c r="DO18" s="547">
        <f t="shared" si="26"/>
        <v>0</v>
      </c>
      <c r="DP18" s="547">
        <f t="shared" si="27"/>
        <v>3</v>
      </c>
      <c r="DT18" s="547">
        <f t="shared" si="28"/>
        <v>3</v>
      </c>
      <c r="EE18" s="564" t="str">
        <f t="shared" si="16"/>
        <v>Ene 5</v>
      </c>
      <c r="EG18" s="439">
        <f t="shared" si="17"/>
        <v>0</v>
      </c>
      <c r="EH18" s="440">
        <f t="shared" si="18"/>
        <v>0</v>
      </c>
      <c r="EI18" s="440">
        <f t="shared" si="19"/>
        <v>0</v>
      </c>
      <c r="EJ18" s="541">
        <f t="shared" si="20"/>
        <v>1</v>
      </c>
      <c r="EK18" s="541">
        <f t="shared" si="21"/>
        <v>1</v>
      </c>
      <c r="EL18" s="573">
        <f t="shared" si="22"/>
        <v>1</v>
      </c>
    </row>
    <row r="19" spans="1:142" ht="45.75" thickBot="1" x14ac:dyDescent="0.3">
      <c r="A19" s="982">
        <v>6</v>
      </c>
      <c r="B19" s="983">
        <v>5</v>
      </c>
      <c r="C19" s="851" t="s">
        <v>597</v>
      </c>
      <c r="D19" s="1003" t="s">
        <v>606</v>
      </c>
      <c r="E19" s="726">
        <v>1</v>
      </c>
      <c r="F19" s="537">
        <v>1</v>
      </c>
      <c r="G19" s="537">
        <v>1</v>
      </c>
      <c r="H19" s="537">
        <v>0</v>
      </c>
      <c r="I19" s="725">
        <v>1</v>
      </c>
      <c r="J19" s="724">
        <v>2</v>
      </c>
      <c r="K19" s="537">
        <v>2</v>
      </c>
      <c r="L19" s="537">
        <v>2</v>
      </c>
      <c r="M19" s="727">
        <v>2</v>
      </c>
      <c r="N19" s="726"/>
      <c r="O19" s="727"/>
      <c r="P19" s="724">
        <v>0</v>
      </c>
      <c r="Q19" s="724">
        <v>0</v>
      </c>
      <c r="R19" s="724">
        <v>0</v>
      </c>
      <c r="S19" s="724">
        <v>0</v>
      </c>
      <c r="T19" s="724">
        <v>0</v>
      </c>
      <c r="U19" s="724">
        <f t="shared" si="1"/>
        <v>0</v>
      </c>
      <c r="V19" s="724"/>
      <c r="W19" s="724"/>
      <c r="X19" s="724"/>
      <c r="Y19" s="726"/>
      <c r="Z19" s="724"/>
      <c r="AA19" s="726"/>
      <c r="AB19" s="724"/>
      <c r="AC19" s="537"/>
      <c r="AD19" s="537"/>
      <c r="AE19" s="537"/>
      <c r="AF19" s="897"/>
      <c r="AG19" s="897"/>
      <c r="AH19" s="897"/>
      <c r="AI19" s="897"/>
      <c r="AJ19" s="537"/>
      <c r="AK19" s="727"/>
      <c r="AL19" s="390">
        <f t="shared" si="2"/>
        <v>2</v>
      </c>
      <c r="AM19" s="729"/>
      <c r="AN19" s="730"/>
      <c r="AO19" s="731"/>
      <c r="AP19" s="732"/>
      <c r="AQ19" s="850"/>
      <c r="AR19" s="848"/>
      <c r="AS19" s="733"/>
      <c r="AT19" s="852"/>
      <c r="AU19" s="858"/>
      <c r="AV19" s="1015"/>
      <c r="AW19" s="1020"/>
      <c r="AX19" s="1020"/>
      <c r="AY19" s="1020"/>
      <c r="AZ19" s="898"/>
      <c r="BA19" s="1024"/>
      <c r="BE19" s="545">
        <v>13</v>
      </c>
      <c r="BF19" s="564" t="s">
        <v>354</v>
      </c>
      <c r="BG19" s="276">
        <f t="shared" si="3"/>
        <v>1</v>
      </c>
      <c r="BH19" s="282">
        <f t="shared" si="4"/>
        <v>0</v>
      </c>
      <c r="BI19" s="565">
        <f t="shared" si="5"/>
        <v>0</v>
      </c>
      <c r="BJ19" s="566">
        <f t="shared" si="6"/>
        <v>0</v>
      </c>
      <c r="BQ19" s="299">
        <f t="shared" si="7"/>
        <v>1</v>
      </c>
      <c r="BR19" s="300">
        <f t="shared" si="8"/>
        <v>0</v>
      </c>
      <c r="BS19" s="300">
        <f t="shared" si="9"/>
        <v>1</v>
      </c>
      <c r="BT19" s="301">
        <f t="shared" si="10"/>
        <v>1</v>
      </c>
      <c r="BU19" s="303">
        <f t="shared" si="11"/>
        <v>1</v>
      </c>
      <c r="BV19" s="257">
        <f t="shared" si="12"/>
        <v>1</v>
      </c>
      <c r="BW19" s="456">
        <f t="shared" si="13"/>
        <v>1</v>
      </c>
      <c r="BX19" s="459">
        <f t="shared" si="14"/>
        <v>1</v>
      </c>
      <c r="BY19" s="335">
        <f t="shared" si="23"/>
        <v>1</v>
      </c>
      <c r="BZ19" s="549"/>
      <c r="CA19" s="550"/>
      <c r="CB19" s="550"/>
      <c r="CC19" s="547"/>
      <c r="CD19" s="570">
        <f t="shared" si="15"/>
        <v>0</v>
      </c>
      <c r="CE19" s="550"/>
      <c r="CF19" s="550"/>
      <c r="CG19" s="550"/>
      <c r="CH19" s="547"/>
      <c r="CI19" s="550"/>
      <c r="CJ19" s="547"/>
      <c r="CK19" s="547"/>
      <c r="CL19" s="550"/>
      <c r="CM19" s="562">
        <f>IF(CM7="Ja",0,BY19)</f>
        <v>0</v>
      </c>
      <c r="CN19" s="545"/>
      <c r="CO19" s="545"/>
      <c r="CP19" s="572"/>
      <c r="CQ19" s="571"/>
      <c r="CR19" s="571"/>
      <c r="CS19" s="545"/>
      <c r="CW19" s="545"/>
      <c r="CX19" s="572"/>
      <c r="CY19" s="545"/>
      <c r="CZ19" s="562">
        <f t="shared" si="24"/>
        <v>0</v>
      </c>
      <c r="DA19" s="545"/>
      <c r="DB19" s="571"/>
      <c r="DC19" s="545"/>
      <c r="DE19" s="545"/>
      <c r="DH19" s="562">
        <f t="shared" si="29"/>
        <v>0</v>
      </c>
      <c r="DM19" s="547" t="str">
        <f t="shared" si="0"/>
        <v>Ene 6</v>
      </c>
      <c r="DN19" s="547">
        <f t="shared" si="25"/>
        <v>1</v>
      </c>
      <c r="DO19" s="547">
        <f t="shared" si="26"/>
        <v>0</v>
      </c>
      <c r="DP19" s="547">
        <f t="shared" si="27"/>
        <v>1</v>
      </c>
      <c r="DT19" s="547">
        <f t="shared" si="28"/>
        <v>1</v>
      </c>
      <c r="EE19" s="564" t="str">
        <f t="shared" si="16"/>
        <v>Ene 6</v>
      </c>
      <c r="EG19" s="439">
        <f t="shared" si="17"/>
        <v>0</v>
      </c>
      <c r="EH19" s="440">
        <f t="shared" si="18"/>
        <v>0</v>
      </c>
      <c r="EI19" s="440">
        <f t="shared" si="19"/>
        <v>0</v>
      </c>
      <c r="EJ19" s="541">
        <f t="shared" si="20"/>
        <v>0</v>
      </c>
      <c r="EK19" s="541">
        <f t="shared" si="21"/>
        <v>0</v>
      </c>
      <c r="EL19" s="573">
        <f t="shared" si="22"/>
        <v>0</v>
      </c>
    </row>
    <row r="20" spans="1:142" ht="75.75" thickBot="1" x14ac:dyDescent="0.3">
      <c r="A20" s="982">
        <v>6</v>
      </c>
      <c r="B20" s="983">
        <v>6</v>
      </c>
      <c r="C20" s="851" t="s">
        <v>354</v>
      </c>
      <c r="D20" s="1003" t="s">
        <v>470</v>
      </c>
      <c r="E20" s="726">
        <v>1</v>
      </c>
      <c r="F20" s="537">
        <v>1</v>
      </c>
      <c r="G20" s="537">
        <v>1</v>
      </c>
      <c r="H20" s="537">
        <v>0</v>
      </c>
      <c r="I20" s="725">
        <v>1</v>
      </c>
      <c r="J20" s="724">
        <v>1</v>
      </c>
      <c r="K20" s="537">
        <v>0</v>
      </c>
      <c r="L20" s="537">
        <v>1</v>
      </c>
      <c r="M20" s="727">
        <v>1</v>
      </c>
      <c r="N20" s="726"/>
      <c r="O20" s="727">
        <v>1</v>
      </c>
      <c r="P20" s="724">
        <v>0</v>
      </c>
      <c r="Q20" s="724">
        <v>0</v>
      </c>
      <c r="R20" s="724">
        <v>0</v>
      </c>
      <c r="S20" s="724">
        <v>0</v>
      </c>
      <c r="T20" s="724">
        <v>0</v>
      </c>
      <c r="U20" s="724">
        <f t="shared" si="1"/>
        <v>0</v>
      </c>
      <c r="V20" s="724"/>
      <c r="W20" s="724"/>
      <c r="X20" s="724"/>
      <c r="Y20" s="726"/>
      <c r="Z20" s="724"/>
      <c r="AA20" s="726"/>
      <c r="AB20" s="724"/>
      <c r="AC20" s="537"/>
      <c r="AD20" s="537"/>
      <c r="AE20" s="537"/>
      <c r="AF20" s="537"/>
      <c r="AG20" s="537"/>
      <c r="AH20" s="537"/>
      <c r="AI20" s="537"/>
      <c r="AJ20" s="537"/>
      <c r="AK20" s="727"/>
      <c r="AL20" s="390">
        <f t="shared" si="2"/>
        <v>1</v>
      </c>
      <c r="AM20" s="729"/>
      <c r="AN20" s="730"/>
      <c r="AO20" s="731"/>
      <c r="AP20" s="732"/>
      <c r="AQ20" s="850"/>
      <c r="AR20" s="848"/>
      <c r="AS20" s="733"/>
      <c r="AT20" s="852"/>
      <c r="AU20" s="858"/>
      <c r="AV20" s="1015"/>
      <c r="AW20" s="1020"/>
      <c r="AX20" s="1020"/>
      <c r="AY20" s="1020"/>
      <c r="AZ20" s="898"/>
      <c r="BA20" s="1024"/>
      <c r="BE20" s="545">
        <v>14</v>
      </c>
      <c r="BF20" s="564" t="s">
        <v>357</v>
      </c>
      <c r="BG20" s="276">
        <f t="shared" si="3"/>
        <v>3</v>
      </c>
      <c r="BH20" s="282">
        <f t="shared" si="4"/>
        <v>0</v>
      </c>
      <c r="BI20" s="565">
        <f t="shared" si="5"/>
        <v>0</v>
      </c>
      <c r="BJ20" s="566">
        <f t="shared" si="6"/>
        <v>0</v>
      </c>
      <c r="BQ20" s="567">
        <f t="shared" si="7"/>
        <v>3</v>
      </c>
      <c r="BR20" s="568">
        <f t="shared" si="8"/>
        <v>0</v>
      </c>
      <c r="BS20" s="568">
        <f t="shared" si="9"/>
        <v>3</v>
      </c>
      <c r="BT20" s="569">
        <f t="shared" si="10"/>
        <v>3</v>
      </c>
      <c r="BU20" s="303">
        <f t="shared" si="11"/>
        <v>1</v>
      </c>
      <c r="BV20" s="257">
        <f t="shared" si="12"/>
        <v>1</v>
      </c>
      <c r="BW20" s="456">
        <f t="shared" si="13"/>
        <v>1</v>
      </c>
      <c r="BX20" s="459">
        <f t="shared" si="14"/>
        <v>0</v>
      </c>
      <c r="BY20" s="335">
        <f t="shared" si="23"/>
        <v>3</v>
      </c>
      <c r="BZ20" s="549"/>
      <c r="CA20" s="550"/>
      <c r="CB20" s="550"/>
      <c r="CC20" s="547"/>
      <c r="CD20" s="570">
        <f t="shared" si="15"/>
        <v>0</v>
      </c>
      <c r="CE20" s="550"/>
      <c r="CF20" s="550"/>
      <c r="CG20" s="550"/>
      <c r="CH20" s="547"/>
      <c r="CI20" s="550"/>
      <c r="CJ20" s="547"/>
      <c r="CK20" s="547"/>
      <c r="CL20" s="550"/>
      <c r="CM20" s="549"/>
      <c r="CN20" s="547"/>
      <c r="CO20" s="562">
        <f>IF(CO7="Ja",0,BY20)</f>
        <v>0</v>
      </c>
      <c r="CP20" s="572"/>
      <c r="CQ20" s="571"/>
      <c r="CR20" s="571"/>
      <c r="CS20" s="545"/>
      <c r="CW20" s="545"/>
      <c r="CX20" s="572"/>
      <c r="CY20" s="545"/>
      <c r="CZ20" s="562">
        <f t="shared" si="24"/>
        <v>0</v>
      </c>
      <c r="DA20" s="545"/>
      <c r="DB20" s="571"/>
      <c r="DC20" s="545"/>
      <c r="DE20" s="545"/>
      <c r="DH20" s="562">
        <f t="shared" si="29"/>
        <v>0</v>
      </c>
      <c r="DM20" s="547" t="str">
        <f t="shared" si="0"/>
        <v>Ene 7</v>
      </c>
      <c r="DN20" s="547">
        <f t="shared" si="25"/>
        <v>3</v>
      </c>
      <c r="DO20" s="547">
        <f t="shared" si="26"/>
        <v>0</v>
      </c>
      <c r="DP20" s="549">
        <f t="shared" si="27"/>
        <v>3</v>
      </c>
      <c r="DQ20" s="1238" t="s">
        <v>250</v>
      </c>
      <c r="DR20" s="1239"/>
      <c r="DS20" s="1240"/>
      <c r="DT20" s="547">
        <f t="shared" si="28"/>
        <v>3</v>
      </c>
      <c r="EE20" s="564" t="str">
        <f t="shared" si="16"/>
        <v>Ene 7</v>
      </c>
      <c r="EG20" s="439">
        <f t="shared" si="17"/>
        <v>0</v>
      </c>
      <c r="EH20" s="440">
        <f t="shared" si="18"/>
        <v>0</v>
      </c>
      <c r="EI20" s="440">
        <f t="shared" si="19"/>
        <v>0</v>
      </c>
      <c r="EJ20" s="541">
        <f t="shared" si="20"/>
        <v>0</v>
      </c>
      <c r="EK20" s="541">
        <f t="shared" si="21"/>
        <v>0</v>
      </c>
      <c r="EL20" s="573">
        <f t="shared" si="22"/>
        <v>0</v>
      </c>
    </row>
    <row r="21" spans="1:142" ht="60" x14ac:dyDescent="0.25">
      <c r="A21" s="982">
        <v>6</v>
      </c>
      <c r="B21" s="983">
        <v>7</v>
      </c>
      <c r="C21" s="851" t="s">
        <v>357</v>
      </c>
      <c r="D21" s="1003" t="s">
        <v>429</v>
      </c>
      <c r="E21" s="726">
        <v>1</v>
      </c>
      <c r="F21" s="537">
        <v>1</v>
      </c>
      <c r="G21" s="537">
        <v>1</v>
      </c>
      <c r="H21" s="537">
        <v>0</v>
      </c>
      <c r="I21" s="725">
        <v>1</v>
      </c>
      <c r="J21" s="724">
        <v>3</v>
      </c>
      <c r="K21" s="537">
        <v>0</v>
      </c>
      <c r="L21" s="537">
        <v>3</v>
      </c>
      <c r="M21" s="727">
        <v>3</v>
      </c>
      <c r="N21" s="726"/>
      <c r="O21" s="727"/>
      <c r="P21" s="724">
        <v>0</v>
      </c>
      <c r="Q21" s="724">
        <v>0</v>
      </c>
      <c r="R21" s="724">
        <v>0</v>
      </c>
      <c r="S21" s="724">
        <v>0</v>
      </c>
      <c r="T21" s="724">
        <v>0</v>
      </c>
      <c r="U21" s="724">
        <f t="shared" si="1"/>
        <v>0</v>
      </c>
      <c r="V21" s="724"/>
      <c r="W21" s="724"/>
      <c r="X21" s="724"/>
      <c r="Y21" s="726"/>
      <c r="Z21" s="724"/>
      <c r="AA21" s="726"/>
      <c r="AB21" s="724"/>
      <c r="AC21" s="537"/>
      <c r="AD21" s="537"/>
      <c r="AE21" s="537"/>
      <c r="AF21" s="897"/>
      <c r="AG21" s="897"/>
      <c r="AH21" s="897"/>
      <c r="AI21" s="537"/>
      <c r="AJ21" s="537"/>
      <c r="AK21" s="727"/>
      <c r="AL21" s="390">
        <f t="shared" si="2"/>
        <v>3</v>
      </c>
      <c r="AM21" s="729"/>
      <c r="AN21" s="730"/>
      <c r="AO21" s="731"/>
      <c r="AP21" s="732"/>
      <c r="AQ21" s="850"/>
      <c r="AR21" s="848"/>
      <c r="AS21" s="733"/>
      <c r="AT21" s="852"/>
      <c r="AU21" s="858"/>
      <c r="AV21" s="1015"/>
      <c r="AW21" s="1020"/>
      <c r="AX21" s="1020"/>
      <c r="AY21" s="1020"/>
      <c r="AZ21" s="898"/>
      <c r="BA21" s="1024"/>
      <c r="BE21" s="545">
        <v>15</v>
      </c>
      <c r="BF21" s="564" t="s">
        <v>186</v>
      </c>
      <c r="BG21" s="276">
        <f t="shared" si="3"/>
        <v>2</v>
      </c>
      <c r="BH21" s="282">
        <f t="shared" si="4"/>
        <v>0</v>
      </c>
      <c r="BI21" s="565">
        <f t="shared" si="5"/>
        <v>0</v>
      </c>
      <c r="BJ21" s="566">
        <f t="shared" si="6"/>
        <v>0</v>
      </c>
      <c r="BK21" s="1236" t="s">
        <v>250</v>
      </c>
      <c r="BL21" s="1237"/>
      <c r="BM21" s="1237"/>
      <c r="BN21" s="1237"/>
      <c r="BO21" s="549"/>
      <c r="BP21" s="551"/>
      <c r="BQ21" s="336">
        <f t="shared" si="7"/>
        <v>2</v>
      </c>
      <c r="BR21" s="300">
        <f t="shared" si="8"/>
        <v>2</v>
      </c>
      <c r="BS21" s="300">
        <f t="shared" si="9"/>
        <v>2</v>
      </c>
      <c r="BT21" s="301">
        <f t="shared" si="10"/>
        <v>2</v>
      </c>
      <c r="BU21" s="303">
        <f t="shared" si="11"/>
        <v>1</v>
      </c>
      <c r="BV21" s="257">
        <f t="shared" si="12"/>
        <v>1</v>
      </c>
      <c r="BW21" s="456">
        <f t="shared" si="13"/>
        <v>1</v>
      </c>
      <c r="BX21" s="459">
        <f t="shared" si="14"/>
        <v>0</v>
      </c>
      <c r="BY21" s="335">
        <f t="shared" si="23"/>
        <v>2</v>
      </c>
      <c r="BZ21" s="549"/>
      <c r="CA21" s="550"/>
      <c r="CB21" s="550"/>
      <c r="CC21" s="547"/>
      <c r="CD21" s="570">
        <f t="shared" si="15"/>
        <v>0</v>
      </c>
      <c r="CE21" s="550"/>
      <c r="CF21" s="550"/>
      <c r="CG21" s="550"/>
      <c r="CH21" s="547"/>
      <c r="CI21" s="550"/>
      <c r="CJ21" s="547"/>
      <c r="CK21" s="547"/>
      <c r="CL21" s="550"/>
      <c r="CM21" s="549"/>
      <c r="CN21" s="547"/>
      <c r="CO21" s="547"/>
      <c r="CP21" s="580">
        <f>IF(CP7="Ja",0,BY21)</f>
        <v>0</v>
      </c>
      <c r="CQ21" s="581"/>
      <c r="CR21" s="571"/>
      <c r="CS21" s="545"/>
      <c r="CW21" s="545"/>
      <c r="CX21" s="572"/>
      <c r="CY21" s="545"/>
      <c r="CZ21" s="562">
        <f t="shared" si="24"/>
        <v>0</v>
      </c>
      <c r="DA21" s="545"/>
      <c r="DB21" s="571"/>
      <c r="DC21" s="545"/>
      <c r="DE21" s="545"/>
      <c r="DH21" s="562">
        <f t="shared" si="29"/>
        <v>0</v>
      </c>
      <c r="DM21" s="547" t="str">
        <f t="shared" si="0"/>
        <v>Ene 8</v>
      </c>
      <c r="DN21" s="547">
        <f t="shared" si="25"/>
        <v>2</v>
      </c>
      <c r="DO21" s="547">
        <f t="shared" si="26"/>
        <v>0</v>
      </c>
      <c r="DP21" s="549">
        <f t="shared" si="27"/>
        <v>2</v>
      </c>
      <c r="DQ21" s="289" t="s">
        <v>664</v>
      </c>
      <c r="DR21" s="264" t="s">
        <v>665</v>
      </c>
      <c r="DS21" s="343" t="s">
        <v>710</v>
      </c>
      <c r="DT21" s="547">
        <f t="shared" si="28"/>
        <v>2</v>
      </c>
      <c r="EE21" s="564" t="str">
        <f t="shared" si="16"/>
        <v>Ene 8</v>
      </c>
      <c r="EG21" s="439">
        <f t="shared" si="17"/>
        <v>0</v>
      </c>
      <c r="EH21" s="440">
        <f t="shared" si="18"/>
        <v>0</v>
      </c>
      <c r="EI21" s="440">
        <f t="shared" si="19"/>
        <v>0</v>
      </c>
      <c r="EJ21" s="541">
        <f t="shared" si="20"/>
        <v>0</v>
      </c>
      <c r="EK21" s="541">
        <f t="shared" si="21"/>
        <v>0</v>
      </c>
      <c r="EL21" s="573">
        <f t="shared" si="22"/>
        <v>0</v>
      </c>
    </row>
    <row r="22" spans="1:142" ht="15.75" thickBot="1" x14ac:dyDescent="0.3">
      <c r="A22" s="982">
        <v>6</v>
      </c>
      <c r="B22" s="983">
        <v>8</v>
      </c>
      <c r="C22" s="851" t="s">
        <v>186</v>
      </c>
      <c r="D22" s="1003" t="s">
        <v>48</v>
      </c>
      <c r="E22" s="726">
        <v>1</v>
      </c>
      <c r="F22" s="537">
        <v>1</v>
      </c>
      <c r="G22" s="537">
        <v>1</v>
      </c>
      <c r="H22" s="537">
        <v>0</v>
      </c>
      <c r="I22" s="725">
        <v>1</v>
      </c>
      <c r="J22" s="724">
        <v>2</v>
      </c>
      <c r="K22" s="537">
        <v>2</v>
      </c>
      <c r="L22" s="537">
        <v>2</v>
      </c>
      <c r="M22" s="727">
        <v>2</v>
      </c>
      <c r="N22" s="726"/>
      <c r="O22" s="727"/>
      <c r="P22" s="724">
        <v>0</v>
      </c>
      <c r="Q22" s="724">
        <v>0</v>
      </c>
      <c r="R22" s="724">
        <v>0</v>
      </c>
      <c r="S22" s="724">
        <v>0</v>
      </c>
      <c r="T22" s="724">
        <v>0</v>
      </c>
      <c r="U22" s="724">
        <f t="shared" si="1"/>
        <v>0</v>
      </c>
      <c r="V22" s="724"/>
      <c r="W22" s="724"/>
      <c r="X22" s="724"/>
      <c r="Y22" s="726"/>
      <c r="Z22" s="724"/>
      <c r="AA22" s="726"/>
      <c r="AB22" s="724"/>
      <c r="AC22" s="537"/>
      <c r="AD22" s="537"/>
      <c r="AE22" s="537"/>
      <c r="AF22" s="537" t="s">
        <v>444</v>
      </c>
      <c r="AG22" s="537"/>
      <c r="AH22" s="537"/>
      <c r="AI22" s="537"/>
      <c r="AJ22" s="537"/>
      <c r="AK22" s="727"/>
      <c r="AL22" s="390">
        <f t="shared" si="2"/>
        <v>2</v>
      </c>
      <c r="AM22" s="729"/>
      <c r="AN22" s="730"/>
      <c r="AO22" s="731"/>
      <c r="AP22" s="732"/>
      <c r="AQ22" s="850"/>
      <c r="AR22" s="848"/>
      <c r="AS22" s="733"/>
      <c r="AT22" s="852"/>
      <c r="AU22" s="858"/>
      <c r="AV22" s="1015"/>
      <c r="AW22" s="1020"/>
      <c r="AX22" s="1020"/>
      <c r="AY22" s="1020"/>
      <c r="AZ22" s="898"/>
      <c r="BA22" s="1024"/>
      <c r="BE22" s="545">
        <v>16</v>
      </c>
      <c r="BF22" s="582" t="s">
        <v>185</v>
      </c>
      <c r="BG22" s="280">
        <f t="shared" si="3"/>
        <v>0</v>
      </c>
      <c r="BH22" s="282">
        <f t="shared" si="4"/>
        <v>0</v>
      </c>
      <c r="BI22" s="565">
        <f t="shared" si="5"/>
        <v>0</v>
      </c>
      <c r="BJ22" s="566">
        <f t="shared" si="6"/>
        <v>0</v>
      </c>
      <c r="BK22" s="283">
        <f>SUM(BG9:BG22)</f>
        <v>28</v>
      </c>
      <c r="BL22" s="284">
        <f>SUM(BH9:BH22)</f>
        <v>0</v>
      </c>
      <c r="BM22" s="284">
        <f>SUM(BI9:BI22)</f>
        <v>0</v>
      </c>
      <c r="BN22" s="284">
        <f>SUM(BJ9:BJ22)</f>
        <v>0</v>
      </c>
      <c r="BQ22" s="299">
        <f t="shared" si="7"/>
        <v>1</v>
      </c>
      <c r="BR22" s="300">
        <f t="shared" si="8"/>
        <v>1</v>
      </c>
      <c r="BS22" s="300">
        <f t="shared" si="9"/>
        <v>0</v>
      </c>
      <c r="BT22" s="301">
        <f t="shared" si="10"/>
        <v>0</v>
      </c>
      <c r="BU22" s="303">
        <f t="shared" si="11"/>
        <v>1</v>
      </c>
      <c r="BV22" s="257">
        <f t="shared" si="12"/>
        <v>1</v>
      </c>
      <c r="BW22" s="456">
        <f t="shared" si="13"/>
        <v>1</v>
      </c>
      <c r="BX22" s="459">
        <f t="shared" si="14"/>
        <v>0</v>
      </c>
      <c r="BY22" s="335">
        <f t="shared" si="23"/>
        <v>0</v>
      </c>
      <c r="BZ22" s="549"/>
      <c r="CA22" s="550"/>
      <c r="CB22" s="550"/>
      <c r="CC22" s="547"/>
      <c r="CD22" s="570">
        <f t="shared" si="15"/>
        <v>0</v>
      </c>
      <c r="CE22" s="550"/>
      <c r="CF22" s="550"/>
      <c r="CG22" s="550"/>
      <c r="CH22" s="547"/>
      <c r="CI22" s="550"/>
      <c r="CJ22" s="547"/>
      <c r="CK22" s="547"/>
      <c r="CL22" s="550"/>
      <c r="CM22" s="549"/>
      <c r="CN22" s="547"/>
      <c r="CO22" s="547"/>
      <c r="CP22" s="551"/>
      <c r="CQ22" s="574">
        <f>IF(CQ7="Ja",0,BY22)</f>
        <v>0</v>
      </c>
      <c r="CR22" s="571"/>
      <c r="CS22" s="545"/>
      <c r="CW22" s="545"/>
      <c r="CX22" s="572"/>
      <c r="CY22" s="545"/>
      <c r="CZ22" s="562">
        <f t="shared" si="24"/>
        <v>0</v>
      </c>
      <c r="DA22" s="545"/>
      <c r="DB22" s="571"/>
      <c r="DC22" s="545"/>
      <c r="DE22" s="545"/>
      <c r="DH22" s="562">
        <f t="shared" si="29"/>
        <v>0</v>
      </c>
      <c r="DM22" s="547" t="str">
        <f t="shared" si="0"/>
        <v>Ene 9</v>
      </c>
      <c r="DN22" s="547">
        <f t="shared" si="25"/>
        <v>0</v>
      </c>
      <c r="DO22" s="547">
        <f t="shared" si="26"/>
        <v>0</v>
      </c>
      <c r="DP22" s="549">
        <f t="shared" si="27"/>
        <v>0</v>
      </c>
      <c r="DQ22" s="344">
        <f>SUM(DN9:DN22)</f>
        <v>31</v>
      </c>
      <c r="DR22" s="345">
        <f>SUM(DO9:DO22)</f>
        <v>3</v>
      </c>
      <c r="DS22" s="346">
        <f>SUM(DT9:DT22)</f>
        <v>28</v>
      </c>
      <c r="DT22" s="547">
        <f t="shared" si="28"/>
        <v>0</v>
      </c>
      <c r="EE22" s="582" t="str">
        <f t="shared" si="16"/>
        <v>Ene 9</v>
      </c>
      <c r="EG22" s="439">
        <f t="shared" si="17"/>
        <v>0</v>
      </c>
      <c r="EH22" s="440">
        <f t="shared" si="18"/>
        <v>0</v>
      </c>
      <c r="EI22" s="440">
        <f t="shared" si="19"/>
        <v>0</v>
      </c>
      <c r="EJ22" s="541">
        <f t="shared" si="20"/>
        <v>0</v>
      </c>
      <c r="EK22" s="541">
        <f t="shared" si="21"/>
        <v>0</v>
      </c>
      <c r="EL22" s="573">
        <f t="shared" si="22"/>
        <v>0</v>
      </c>
    </row>
    <row r="23" spans="1:142" ht="30" x14ac:dyDescent="0.25">
      <c r="A23" s="982">
        <v>6</v>
      </c>
      <c r="B23" s="983">
        <v>9</v>
      </c>
      <c r="C23" s="851" t="s">
        <v>185</v>
      </c>
      <c r="D23" s="1003" t="s">
        <v>184</v>
      </c>
      <c r="E23" s="726">
        <v>1</v>
      </c>
      <c r="F23" s="537">
        <v>1</v>
      </c>
      <c r="G23" s="537">
        <v>1</v>
      </c>
      <c r="H23" s="537">
        <v>0</v>
      </c>
      <c r="I23" s="725">
        <v>1</v>
      </c>
      <c r="J23" s="724">
        <v>1</v>
      </c>
      <c r="K23" s="537">
        <v>1</v>
      </c>
      <c r="L23" s="537">
        <v>0</v>
      </c>
      <c r="M23" s="727">
        <v>0</v>
      </c>
      <c r="N23" s="726"/>
      <c r="O23" s="727"/>
      <c r="P23" s="724">
        <v>0</v>
      </c>
      <c r="Q23" s="724">
        <v>0</v>
      </c>
      <c r="R23" s="724">
        <v>0</v>
      </c>
      <c r="S23" s="724">
        <v>0</v>
      </c>
      <c r="T23" s="724">
        <v>0</v>
      </c>
      <c r="U23" s="724">
        <f t="shared" si="1"/>
        <v>0</v>
      </c>
      <c r="V23" s="724"/>
      <c r="W23" s="724"/>
      <c r="X23" s="724"/>
      <c r="Y23" s="726"/>
      <c r="Z23" s="724"/>
      <c r="AA23" s="726"/>
      <c r="AB23" s="724"/>
      <c r="AC23" s="537"/>
      <c r="AD23" s="537"/>
      <c r="AE23" s="537"/>
      <c r="AF23" s="537"/>
      <c r="AG23" s="537"/>
      <c r="AH23" s="537"/>
      <c r="AI23" s="537"/>
      <c r="AJ23" s="537"/>
      <c r="AK23" s="727"/>
      <c r="AL23" s="390">
        <f t="shared" si="2"/>
        <v>0</v>
      </c>
      <c r="AM23" s="729"/>
      <c r="AN23" s="730"/>
      <c r="AO23" s="731"/>
      <c r="AP23" s="732"/>
      <c r="AQ23" s="850"/>
      <c r="AR23" s="848"/>
      <c r="AS23" s="733"/>
      <c r="AT23" s="852"/>
      <c r="AU23" s="858"/>
      <c r="AV23" s="1015"/>
      <c r="AW23" s="1020"/>
      <c r="AX23" s="1020"/>
      <c r="AY23" s="1020"/>
      <c r="AZ23" s="898"/>
      <c r="BA23" s="1024"/>
      <c r="BE23" s="545">
        <v>17</v>
      </c>
      <c r="BF23" s="583" t="s">
        <v>76</v>
      </c>
      <c r="BG23" s="281">
        <f t="shared" si="3"/>
        <v>1</v>
      </c>
      <c r="BH23" s="282">
        <f t="shared" si="4"/>
        <v>0</v>
      </c>
      <c r="BI23" s="565">
        <f t="shared" si="5"/>
        <v>0</v>
      </c>
      <c r="BJ23" s="566">
        <f t="shared" si="6"/>
        <v>0</v>
      </c>
      <c r="BQ23" s="299">
        <f t="shared" si="7"/>
        <v>1</v>
      </c>
      <c r="BR23" s="300">
        <f t="shared" si="8"/>
        <v>1</v>
      </c>
      <c r="BS23" s="300">
        <f t="shared" si="9"/>
        <v>1</v>
      </c>
      <c r="BT23" s="301">
        <f t="shared" si="10"/>
        <v>1</v>
      </c>
      <c r="BU23" s="303">
        <f t="shared" si="11"/>
        <v>1</v>
      </c>
      <c r="BV23" s="257">
        <f t="shared" si="12"/>
        <v>1</v>
      </c>
      <c r="BW23" s="456">
        <f t="shared" si="13"/>
        <v>1</v>
      </c>
      <c r="BX23" s="459">
        <f t="shared" si="14"/>
        <v>0</v>
      </c>
      <c r="BY23" s="311">
        <f t="shared" si="23"/>
        <v>1</v>
      </c>
      <c r="CC23" s="545"/>
      <c r="CD23" s="584">
        <f t="shared" si="15"/>
        <v>0</v>
      </c>
      <c r="CH23" s="545"/>
      <c r="CJ23" s="545"/>
      <c r="CK23" s="545"/>
      <c r="CM23" s="571"/>
      <c r="CN23" s="545"/>
      <c r="CO23" s="545"/>
      <c r="CR23" s="571"/>
      <c r="CS23" s="545"/>
      <c r="CW23" s="545"/>
      <c r="CX23" s="572"/>
      <c r="CY23" s="545"/>
      <c r="CZ23" s="562">
        <f t="shared" si="24"/>
        <v>0</v>
      </c>
      <c r="DA23" s="545"/>
      <c r="DB23" s="571"/>
      <c r="DC23" s="545"/>
      <c r="DE23" s="545"/>
      <c r="DH23" s="562">
        <f t="shared" si="29"/>
        <v>0</v>
      </c>
      <c r="DM23" s="547" t="str">
        <f t="shared" si="0"/>
        <v>Hea 1</v>
      </c>
      <c r="DN23" s="547">
        <f t="shared" si="25"/>
        <v>1</v>
      </c>
      <c r="DO23" s="547">
        <f t="shared" si="26"/>
        <v>0</v>
      </c>
      <c r="DP23" s="547">
        <f t="shared" si="27"/>
        <v>1</v>
      </c>
      <c r="DT23" s="547">
        <f t="shared" si="28"/>
        <v>1</v>
      </c>
      <c r="EE23" s="583" t="str">
        <f t="shared" si="16"/>
        <v>Hea 1</v>
      </c>
      <c r="EG23" s="439">
        <f t="shared" si="17"/>
        <v>0</v>
      </c>
      <c r="EH23" s="440">
        <f t="shared" si="18"/>
        <v>0</v>
      </c>
      <c r="EI23" s="440">
        <f t="shared" si="19"/>
        <v>0</v>
      </c>
      <c r="EJ23" s="541">
        <f t="shared" si="20"/>
        <v>0</v>
      </c>
      <c r="EK23" s="541">
        <f t="shared" si="21"/>
        <v>0</v>
      </c>
      <c r="EL23" s="573">
        <f t="shared" si="22"/>
        <v>0</v>
      </c>
    </row>
    <row r="24" spans="1:142" x14ac:dyDescent="0.25">
      <c r="A24" s="982">
        <v>5</v>
      </c>
      <c r="B24" s="983">
        <v>1</v>
      </c>
      <c r="C24" s="851" t="s">
        <v>76</v>
      </c>
      <c r="D24" s="1003" t="s">
        <v>267</v>
      </c>
      <c r="E24" s="726">
        <v>1</v>
      </c>
      <c r="F24" s="537">
        <v>1</v>
      </c>
      <c r="G24" s="537">
        <v>1</v>
      </c>
      <c r="H24" s="537">
        <v>1</v>
      </c>
      <c r="I24" s="725">
        <v>1</v>
      </c>
      <c r="J24" s="724">
        <v>1</v>
      </c>
      <c r="K24" s="537">
        <v>1</v>
      </c>
      <c r="L24" s="537">
        <v>1</v>
      </c>
      <c r="M24" s="727">
        <v>1</v>
      </c>
      <c r="N24" s="726"/>
      <c r="O24" s="727"/>
      <c r="P24" s="724">
        <v>0</v>
      </c>
      <c r="Q24" s="724">
        <v>0</v>
      </c>
      <c r="R24" s="724">
        <v>0</v>
      </c>
      <c r="S24" s="724">
        <v>0</v>
      </c>
      <c r="T24" s="724">
        <v>0</v>
      </c>
      <c r="U24" s="724">
        <f t="shared" si="1"/>
        <v>0</v>
      </c>
      <c r="V24" s="724"/>
      <c r="W24" s="724"/>
      <c r="X24" s="724"/>
      <c r="Y24" s="726"/>
      <c r="Z24" s="724"/>
      <c r="AA24" s="726"/>
      <c r="AB24" s="724"/>
      <c r="AC24" s="537"/>
      <c r="AD24" s="537"/>
      <c r="AE24" s="537"/>
      <c r="AF24" s="537"/>
      <c r="AG24" s="537"/>
      <c r="AH24" s="537"/>
      <c r="AI24" s="537"/>
      <c r="AJ24" s="537"/>
      <c r="AK24" s="727"/>
      <c r="AL24" s="390">
        <f t="shared" si="2"/>
        <v>1</v>
      </c>
      <c r="AM24" s="729"/>
      <c r="AN24" s="730"/>
      <c r="AO24" s="731"/>
      <c r="AP24" s="732"/>
      <c r="AQ24" s="850"/>
      <c r="AR24" s="848"/>
      <c r="AS24" s="917"/>
      <c r="AT24" s="931"/>
      <c r="AU24" s="937"/>
      <c r="AV24" s="1015"/>
      <c r="AW24" s="1020"/>
      <c r="AX24" s="1020"/>
      <c r="AY24" s="1020"/>
      <c r="AZ24" s="898"/>
      <c r="BA24" s="1024"/>
      <c r="BE24" s="545">
        <v>18</v>
      </c>
      <c r="BF24" s="564" t="s">
        <v>203</v>
      </c>
      <c r="BG24" s="276">
        <f t="shared" si="3"/>
        <v>2</v>
      </c>
      <c r="BH24" s="282">
        <f t="shared" si="4"/>
        <v>0</v>
      </c>
      <c r="BI24" s="565">
        <f t="shared" si="5"/>
        <v>0</v>
      </c>
      <c r="BJ24" s="566">
        <f t="shared" si="6"/>
        <v>0</v>
      </c>
      <c r="BQ24" s="299">
        <f t="shared" si="7"/>
        <v>2</v>
      </c>
      <c r="BR24" s="300">
        <f t="shared" si="8"/>
        <v>2</v>
      </c>
      <c r="BS24" s="300">
        <f t="shared" si="9"/>
        <v>2</v>
      </c>
      <c r="BT24" s="301">
        <f t="shared" si="10"/>
        <v>2</v>
      </c>
      <c r="BU24" s="303">
        <f t="shared" si="11"/>
        <v>0</v>
      </c>
      <c r="BV24" s="257">
        <f t="shared" si="12"/>
        <v>1</v>
      </c>
      <c r="BW24" s="456">
        <f t="shared" si="13"/>
        <v>0</v>
      </c>
      <c r="BX24" s="459">
        <f t="shared" si="14"/>
        <v>0</v>
      </c>
      <c r="BY24" s="335">
        <f t="shared" si="23"/>
        <v>2</v>
      </c>
      <c r="BZ24" s="549"/>
      <c r="CA24" s="550"/>
      <c r="CB24" s="550"/>
      <c r="CC24" s="547"/>
      <c r="CD24" s="570">
        <f t="shared" si="15"/>
        <v>0</v>
      </c>
      <c r="CE24" s="550"/>
      <c r="CF24" s="550"/>
      <c r="CG24" s="550"/>
      <c r="CH24" s="547"/>
      <c r="CI24" s="550"/>
      <c r="CJ24" s="562">
        <f>IF(CK6=CI4,IF(CK5&gt;500,0,BY24),0)</f>
        <v>0</v>
      </c>
      <c r="CK24" s="545"/>
      <c r="CM24" s="571"/>
      <c r="CN24" s="545"/>
      <c r="CO24" s="545"/>
      <c r="CR24" s="571"/>
      <c r="CS24" s="545"/>
      <c r="CW24" s="545"/>
      <c r="CX24" s="572"/>
      <c r="CY24" s="545"/>
      <c r="CZ24" s="562">
        <f t="shared" si="24"/>
        <v>0</v>
      </c>
      <c r="DA24" s="545"/>
      <c r="DB24" s="571"/>
      <c r="DC24" s="545"/>
      <c r="DE24" s="545"/>
      <c r="DH24" s="562">
        <f t="shared" si="29"/>
        <v>0</v>
      </c>
      <c r="DM24" s="547" t="str">
        <f t="shared" si="0"/>
        <v>Hea 10</v>
      </c>
      <c r="DN24" s="547">
        <f t="shared" si="25"/>
        <v>2</v>
      </c>
      <c r="DO24" s="547">
        <f t="shared" si="26"/>
        <v>0</v>
      </c>
      <c r="DP24" s="547">
        <f t="shared" si="27"/>
        <v>2</v>
      </c>
      <c r="DT24" s="547">
        <f t="shared" si="28"/>
        <v>2</v>
      </c>
      <c r="EE24" s="564" t="str">
        <f t="shared" si="16"/>
        <v>Hea 10</v>
      </c>
      <c r="EG24" s="439">
        <f t="shared" si="17"/>
        <v>0</v>
      </c>
      <c r="EH24" s="440">
        <f t="shared" si="18"/>
        <v>0</v>
      </c>
      <c r="EI24" s="440">
        <f t="shared" si="19"/>
        <v>0</v>
      </c>
      <c r="EJ24" s="541">
        <f t="shared" si="20"/>
        <v>0</v>
      </c>
      <c r="EK24" s="541">
        <f t="shared" si="21"/>
        <v>0</v>
      </c>
      <c r="EL24" s="573">
        <f t="shared" si="22"/>
        <v>0</v>
      </c>
    </row>
    <row r="25" spans="1:142" ht="30" x14ac:dyDescent="0.25">
      <c r="A25" s="982">
        <v>5</v>
      </c>
      <c r="B25" s="983">
        <v>1</v>
      </c>
      <c r="C25" s="851" t="s">
        <v>594</v>
      </c>
      <c r="D25" s="1003" t="s">
        <v>603</v>
      </c>
      <c r="E25" s="726">
        <v>1</v>
      </c>
      <c r="F25" s="537">
        <v>1</v>
      </c>
      <c r="G25" s="537">
        <v>1</v>
      </c>
      <c r="H25" s="537">
        <v>0</v>
      </c>
      <c r="I25" s="725">
        <v>1</v>
      </c>
      <c r="J25" s="724">
        <v>1</v>
      </c>
      <c r="K25" s="537">
        <v>1</v>
      </c>
      <c r="L25" s="537">
        <v>1</v>
      </c>
      <c r="M25" s="727">
        <v>1</v>
      </c>
      <c r="N25" s="726"/>
      <c r="O25" s="727"/>
      <c r="P25" s="724">
        <v>0</v>
      </c>
      <c r="Q25" s="724">
        <v>0</v>
      </c>
      <c r="R25" s="724">
        <v>0</v>
      </c>
      <c r="S25" s="724">
        <v>0</v>
      </c>
      <c r="T25" s="724">
        <v>0</v>
      </c>
      <c r="U25" s="724">
        <f t="shared" si="1"/>
        <v>0</v>
      </c>
      <c r="V25" s="724"/>
      <c r="W25" s="724"/>
      <c r="X25" s="724"/>
      <c r="Y25" s="726"/>
      <c r="Z25" s="724"/>
      <c r="AA25" s="726"/>
      <c r="AB25" s="724"/>
      <c r="AC25" s="537"/>
      <c r="AD25" s="537"/>
      <c r="AE25" s="537"/>
      <c r="AF25" s="1004"/>
      <c r="AG25" s="1004"/>
      <c r="AH25" s="1004"/>
      <c r="AI25" s="898"/>
      <c r="AJ25" s="537"/>
      <c r="AK25" s="727"/>
      <c r="AL25" s="390">
        <f t="shared" si="2"/>
        <v>1</v>
      </c>
      <c r="AM25" s="729"/>
      <c r="AN25" s="730"/>
      <c r="AO25" s="731"/>
      <c r="AP25" s="732"/>
      <c r="AQ25" s="850"/>
      <c r="AR25" s="848"/>
      <c r="AS25" s="733"/>
      <c r="AT25" s="852"/>
      <c r="AU25" s="858"/>
      <c r="AV25" s="1015"/>
      <c r="AW25" s="1020"/>
      <c r="AX25" s="1020"/>
      <c r="AY25" s="1020"/>
      <c r="AZ25" s="898"/>
      <c r="BA25" s="1024"/>
      <c r="BE25" s="545">
        <v>19</v>
      </c>
      <c r="BF25" s="564" t="s">
        <v>96</v>
      </c>
      <c r="BG25" s="276">
        <f t="shared" si="3"/>
        <v>1</v>
      </c>
      <c r="BH25" s="282">
        <f t="shared" si="4"/>
        <v>0</v>
      </c>
      <c r="BI25" s="565">
        <f t="shared" si="5"/>
        <v>0</v>
      </c>
      <c r="BJ25" s="566">
        <f t="shared" si="6"/>
        <v>0</v>
      </c>
      <c r="BQ25" s="298">
        <f t="shared" si="7"/>
        <v>1</v>
      </c>
      <c r="BR25" s="257">
        <f t="shared" si="8"/>
        <v>1</v>
      </c>
      <c r="BS25" s="257">
        <f t="shared" si="9"/>
        <v>1</v>
      </c>
      <c r="BT25" s="302">
        <f t="shared" si="10"/>
        <v>1</v>
      </c>
      <c r="BU25" s="303">
        <f t="shared" si="11"/>
        <v>0</v>
      </c>
      <c r="BV25" s="257">
        <f t="shared" si="12"/>
        <v>1</v>
      </c>
      <c r="BW25" s="456">
        <f t="shared" si="13"/>
        <v>0</v>
      </c>
      <c r="BX25" s="459">
        <f t="shared" si="14"/>
        <v>0</v>
      </c>
      <c r="BY25" s="335">
        <f t="shared" si="23"/>
        <v>1</v>
      </c>
      <c r="BZ25" s="549"/>
      <c r="CA25" s="550"/>
      <c r="CB25" s="550"/>
      <c r="CC25" s="547"/>
      <c r="CD25" s="570">
        <f t="shared" si="15"/>
        <v>0</v>
      </c>
      <c r="CE25" s="550"/>
      <c r="CF25" s="550"/>
      <c r="CG25" s="550"/>
      <c r="CH25" s="547"/>
      <c r="CI25" s="550"/>
      <c r="CJ25" s="562">
        <f>IF(OR(CK6=CI2,CK6=CI4),IF(CK5&gt;500,0,BY25),0)</f>
        <v>0</v>
      </c>
      <c r="CK25" s="545"/>
      <c r="CM25" s="571"/>
      <c r="CN25" s="545"/>
      <c r="CO25" s="545"/>
      <c r="CR25" s="571"/>
      <c r="CS25" s="545"/>
      <c r="CW25" s="545"/>
      <c r="CX25" s="572"/>
      <c r="CY25" s="545"/>
      <c r="CZ25" s="562">
        <f t="shared" si="24"/>
        <v>0</v>
      </c>
      <c r="DA25" s="545"/>
      <c r="DB25" s="571"/>
      <c r="DC25" s="545"/>
      <c r="DE25" s="545"/>
      <c r="DH25" s="562">
        <f t="shared" si="29"/>
        <v>0</v>
      </c>
      <c r="DM25" s="547" t="str">
        <f t="shared" si="0"/>
        <v>Hea 11</v>
      </c>
      <c r="DN25" s="547">
        <f t="shared" si="25"/>
        <v>1</v>
      </c>
      <c r="DO25" s="547">
        <f t="shared" si="26"/>
        <v>0</v>
      </c>
      <c r="DP25" s="547">
        <f t="shared" si="27"/>
        <v>1</v>
      </c>
      <c r="DT25" s="547">
        <f t="shared" si="28"/>
        <v>1</v>
      </c>
      <c r="EE25" s="564" t="str">
        <f t="shared" si="16"/>
        <v>Hea 11</v>
      </c>
      <c r="EG25" s="439">
        <f t="shared" si="17"/>
        <v>0</v>
      </c>
      <c r="EH25" s="440">
        <f t="shared" si="18"/>
        <v>0</v>
      </c>
      <c r="EI25" s="440">
        <f t="shared" si="19"/>
        <v>0</v>
      </c>
      <c r="EJ25" s="541">
        <f t="shared" si="20"/>
        <v>0</v>
      </c>
      <c r="EK25" s="541">
        <f t="shared" si="21"/>
        <v>0</v>
      </c>
      <c r="EL25" s="573">
        <f t="shared" si="22"/>
        <v>0</v>
      </c>
    </row>
    <row r="26" spans="1:142" x14ac:dyDescent="0.25">
      <c r="A26" s="982">
        <v>5</v>
      </c>
      <c r="B26" s="983">
        <v>10</v>
      </c>
      <c r="C26" s="851" t="s">
        <v>203</v>
      </c>
      <c r="D26" s="1003" t="s">
        <v>202</v>
      </c>
      <c r="E26" s="726">
        <v>0</v>
      </c>
      <c r="F26" s="537">
        <v>1</v>
      </c>
      <c r="G26" s="537">
        <v>1</v>
      </c>
      <c r="H26" s="537">
        <v>1</v>
      </c>
      <c r="I26" s="725">
        <v>0</v>
      </c>
      <c r="J26" s="724">
        <v>2</v>
      </c>
      <c r="K26" s="537">
        <v>2</v>
      </c>
      <c r="L26" s="537">
        <v>2</v>
      </c>
      <c r="M26" s="727">
        <v>2</v>
      </c>
      <c r="N26" s="726"/>
      <c r="O26" s="727"/>
      <c r="P26" s="724">
        <v>0</v>
      </c>
      <c r="Q26" s="724">
        <v>0</v>
      </c>
      <c r="R26" s="724">
        <v>0</v>
      </c>
      <c r="S26" s="724">
        <v>0</v>
      </c>
      <c r="T26" s="724">
        <v>0</v>
      </c>
      <c r="U26" s="724">
        <f t="shared" si="1"/>
        <v>0</v>
      </c>
      <c r="V26" s="724"/>
      <c r="W26" s="724"/>
      <c r="X26" s="724"/>
      <c r="Y26" s="726"/>
      <c r="Z26" s="724"/>
      <c r="AA26" s="726"/>
      <c r="AB26" s="724"/>
      <c r="AC26" s="537"/>
      <c r="AD26" s="537"/>
      <c r="AE26" s="537"/>
      <c r="AF26" s="537" t="s">
        <v>444</v>
      </c>
      <c r="AG26" s="537"/>
      <c r="AH26" s="537"/>
      <c r="AI26" s="537"/>
      <c r="AJ26" s="537"/>
      <c r="AK26" s="727"/>
      <c r="AL26" s="390">
        <f t="shared" si="2"/>
        <v>2</v>
      </c>
      <c r="AM26" s="729"/>
      <c r="AN26" s="730"/>
      <c r="AO26" s="731"/>
      <c r="AP26" s="732"/>
      <c r="AQ26" s="850"/>
      <c r="AR26" s="848"/>
      <c r="AS26" s="733"/>
      <c r="AT26" s="852"/>
      <c r="AU26" s="858"/>
      <c r="AV26" s="1015"/>
      <c r="AW26" s="1020"/>
      <c r="AX26" s="1020"/>
      <c r="AY26" s="1020"/>
      <c r="AZ26" s="898"/>
      <c r="BA26" s="1024"/>
      <c r="BE26" s="545">
        <v>20</v>
      </c>
      <c r="BF26" s="564" t="s">
        <v>229</v>
      </c>
      <c r="BG26" s="276">
        <f t="shared" si="3"/>
        <v>1</v>
      </c>
      <c r="BH26" s="282">
        <f t="shared" si="4"/>
        <v>0</v>
      </c>
      <c r="BI26" s="565">
        <f t="shared" si="5"/>
        <v>0</v>
      </c>
      <c r="BJ26" s="566">
        <f t="shared" si="6"/>
        <v>0</v>
      </c>
      <c r="BQ26" s="567">
        <f t="shared" si="7"/>
        <v>1</v>
      </c>
      <c r="BR26" s="568">
        <f t="shared" si="8"/>
        <v>1</v>
      </c>
      <c r="BS26" s="568">
        <f t="shared" si="9"/>
        <v>1</v>
      </c>
      <c r="BT26" s="569">
        <f t="shared" si="10"/>
        <v>1</v>
      </c>
      <c r="BU26" s="303">
        <f t="shared" si="11"/>
        <v>0</v>
      </c>
      <c r="BV26" s="257">
        <f t="shared" si="12"/>
        <v>1</v>
      </c>
      <c r="BW26" s="456">
        <f t="shared" si="13"/>
        <v>1</v>
      </c>
      <c r="BX26" s="459">
        <f t="shared" si="14"/>
        <v>0</v>
      </c>
      <c r="BY26" s="311">
        <f t="shared" si="23"/>
        <v>1</v>
      </c>
      <c r="CC26" s="545"/>
      <c r="CD26" s="584">
        <f t="shared" si="15"/>
        <v>0</v>
      </c>
      <c r="CH26" s="545"/>
      <c r="CJ26" s="545"/>
      <c r="CK26" s="545"/>
      <c r="CM26" s="571"/>
      <c r="CN26" s="545"/>
      <c r="CO26" s="545"/>
      <c r="CR26" s="571"/>
      <c r="CS26" s="545"/>
      <c r="CW26" s="545"/>
      <c r="CX26" s="572"/>
      <c r="CY26" s="545"/>
      <c r="CZ26" s="562">
        <f t="shared" si="24"/>
        <v>0</v>
      </c>
      <c r="DA26" s="545"/>
      <c r="DB26" s="571"/>
      <c r="DC26" s="545"/>
      <c r="DE26" s="545"/>
      <c r="DH26" s="562">
        <f t="shared" si="29"/>
        <v>0</v>
      </c>
      <c r="DM26" s="547" t="str">
        <f t="shared" si="0"/>
        <v>Hea 12</v>
      </c>
      <c r="DN26" s="547">
        <f t="shared" si="25"/>
        <v>1</v>
      </c>
      <c r="DO26" s="547">
        <f>IF(SUM(BZ26:DL26)&gt;DN26,DN26,SUM(BZ26:DL26))</f>
        <v>0</v>
      </c>
      <c r="DP26" s="547">
        <f t="shared" si="27"/>
        <v>1</v>
      </c>
      <c r="DT26" s="547">
        <f t="shared" si="28"/>
        <v>1</v>
      </c>
      <c r="EE26" s="564" t="str">
        <f t="shared" si="16"/>
        <v>Hea 12</v>
      </c>
      <c r="EG26" s="439">
        <f t="shared" si="17"/>
        <v>0</v>
      </c>
      <c r="EH26" s="440">
        <f t="shared" si="18"/>
        <v>0</v>
      </c>
      <c r="EI26" s="440">
        <f t="shared" si="19"/>
        <v>0</v>
      </c>
      <c r="EJ26" s="541">
        <f t="shared" si="20"/>
        <v>0</v>
      </c>
      <c r="EK26" s="541">
        <f t="shared" si="21"/>
        <v>0</v>
      </c>
      <c r="EL26" s="573">
        <f t="shared" si="22"/>
        <v>0</v>
      </c>
    </row>
    <row r="27" spans="1:142" x14ac:dyDescent="0.25">
      <c r="A27" s="982">
        <v>5</v>
      </c>
      <c r="B27" s="983">
        <v>11</v>
      </c>
      <c r="C27" s="851" t="s">
        <v>96</v>
      </c>
      <c r="D27" s="1003" t="s">
        <v>95</v>
      </c>
      <c r="E27" s="726">
        <v>0</v>
      </c>
      <c r="F27" s="537">
        <v>1</v>
      </c>
      <c r="G27" s="537">
        <v>1</v>
      </c>
      <c r="H27" s="537">
        <v>1</v>
      </c>
      <c r="I27" s="725">
        <v>0</v>
      </c>
      <c r="J27" s="724">
        <v>1</v>
      </c>
      <c r="K27" s="537">
        <v>1</v>
      </c>
      <c r="L27" s="537">
        <v>1</v>
      </c>
      <c r="M27" s="727">
        <v>1</v>
      </c>
      <c r="N27" s="726"/>
      <c r="O27" s="727"/>
      <c r="P27" s="724">
        <v>0</v>
      </c>
      <c r="Q27" s="724">
        <v>0</v>
      </c>
      <c r="R27" s="724">
        <v>0</v>
      </c>
      <c r="S27" s="724">
        <v>0</v>
      </c>
      <c r="T27" s="724">
        <v>0</v>
      </c>
      <c r="U27" s="724">
        <f t="shared" si="1"/>
        <v>0</v>
      </c>
      <c r="V27" s="724"/>
      <c r="W27" s="724"/>
      <c r="X27" s="724"/>
      <c r="Y27" s="726"/>
      <c r="Z27" s="724"/>
      <c r="AA27" s="726"/>
      <c r="AB27" s="724"/>
      <c r="AC27" s="537"/>
      <c r="AD27" s="537"/>
      <c r="AE27" s="537"/>
      <c r="AF27" s="537"/>
      <c r="AG27" s="537"/>
      <c r="AH27" s="537"/>
      <c r="AI27" s="537"/>
      <c r="AJ27" s="537"/>
      <c r="AK27" s="727"/>
      <c r="AL27" s="390">
        <f t="shared" si="2"/>
        <v>1</v>
      </c>
      <c r="AM27" s="729"/>
      <c r="AN27" s="730"/>
      <c r="AO27" s="731"/>
      <c r="AP27" s="732"/>
      <c r="AQ27" s="850"/>
      <c r="AR27" s="848"/>
      <c r="AS27" s="917"/>
      <c r="AT27" s="931"/>
      <c r="AU27" s="937"/>
      <c r="AV27" s="1015"/>
      <c r="AW27" s="1020"/>
      <c r="AX27" s="1020"/>
      <c r="AY27" s="1020"/>
      <c r="AZ27" s="898"/>
      <c r="BA27" s="1024"/>
      <c r="BE27" s="545">
        <v>21</v>
      </c>
      <c r="BF27" s="564" t="s">
        <v>201</v>
      </c>
      <c r="BG27" s="276">
        <f t="shared" si="3"/>
        <v>1</v>
      </c>
      <c r="BH27" s="282">
        <f t="shared" si="4"/>
        <v>0</v>
      </c>
      <c r="BI27" s="565">
        <f t="shared" si="5"/>
        <v>0</v>
      </c>
      <c r="BJ27" s="566">
        <f t="shared" si="6"/>
        <v>0</v>
      </c>
      <c r="BQ27" s="299">
        <f t="shared" si="7"/>
        <v>1</v>
      </c>
      <c r="BR27" s="300">
        <f t="shared" si="8"/>
        <v>1</v>
      </c>
      <c r="BS27" s="300">
        <f t="shared" si="9"/>
        <v>1</v>
      </c>
      <c r="BT27" s="301">
        <f t="shared" si="10"/>
        <v>1</v>
      </c>
      <c r="BU27" s="303">
        <f t="shared" si="11"/>
        <v>0</v>
      </c>
      <c r="BV27" s="257">
        <f t="shared" si="12"/>
        <v>1</v>
      </c>
      <c r="BW27" s="456">
        <f t="shared" si="13"/>
        <v>0</v>
      </c>
      <c r="BX27" s="459">
        <f t="shared" si="14"/>
        <v>0</v>
      </c>
      <c r="BY27" s="335">
        <f t="shared" si="23"/>
        <v>1</v>
      </c>
      <c r="BZ27" s="549"/>
      <c r="CA27" s="550"/>
      <c r="CB27" s="550"/>
      <c r="CC27" s="547"/>
      <c r="CD27" s="570">
        <f t="shared" si="15"/>
        <v>0</v>
      </c>
      <c r="CE27" s="550"/>
      <c r="CF27" s="550"/>
      <c r="CG27" s="550"/>
      <c r="CH27" s="547"/>
      <c r="CI27" s="550"/>
      <c r="CJ27" s="586">
        <f>IF(OR(CK6=CI2,CK6=CI4),IF(CK5&gt;500,0,BY27),0)</f>
        <v>0</v>
      </c>
      <c r="CK27" s="545"/>
      <c r="CM27" s="571"/>
      <c r="CN27" s="545"/>
      <c r="CO27" s="545"/>
      <c r="CR27" s="571"/>
      <c r="CS27" s="545"/>
      <c r="CW27" s="545"/>
      <c r="CX27" s="572"/>
      <c r="CY27" s="545"/>
      <c r="CZ27" s="562">
        <f t="shared" si="24"/>
        <v>0</v>
      </c>
      <c r="DA27" s="545"/>
      <c r="DB27" s="571"/>
      <c r="DC27" s="545"/>
      <c r="DE27" s="545"/>
      <c r="DH27" s="562">
        <f t="shared" si="29"/>
        <v>0</v>
      </c>
      <c r="DM27" s="547" t="str">
        <f t="shared" si="0"/>
        <v>Hea 13</v>
      </c>
      <c r="DN27" s="547">
        <f t="shared" si="25"/>
        <v>1</v>
      </c>
      <c r="DO27" s="547">
        <f t="shared" si="26"/>
        <v>0</v>
      </c>
      <c r="DP27" s="547">
        <f t="shared" si="27"/>
        <v>1</v>
      </c>
      <c r="DT27" s="547">
        <f t="shared" si="28"/>
        <v>1</v>
      </c>
      <c r="EE27" s="564" t="str">
        <f t="shared" si="16"/>
        <v>Hea 13</v>
      </c>
      <c r="EG27" s="439">
        <f t="shared" si="17"/>
        <v>0</v>
      </c>
      <c r="EH27" s="440">
        <f t="shared" si="18"/>
        <v>0</v>
      </c>
      <c r="EI27" s="440">
        <f t="shared" si="19"/>
        <v>0</v>
      </c>
      <c r="EJ27" s="541">
        <f t="shared" si="20"/>
        <v>0</v>
      </c>
      <c r="EK27" s="541">
        <f t="shared" si="21"/>
        <v>0</v>
      </c>
      <c r="EL27" s="573">
        <f t="shared" si="22"/>
        <v>0</v>
      </c>
    </row>
    <row r="28" spans="1:142" ht="30" x14ac:dyDescent="0.25">
      <c r="A28" s="982">
        <v>5</v>
      </c>
      <c r="B28" s="983">
        <v>12</v>
      </c>
      <c r="C28" s="851" t="s">
        <v>229</v>
      </c>
      <c r="D28" s="1003" t="s">
        <v>228</v>
      </c>
      <c r="E28" s="726">
        <v>0</v>
      </c>
      <c r="F28" s="537">
        <v>1</v>
      </c>
      <c r="G28" s="537">
        <v>1</v>
      </c>
      <c r="H28" s="537">
        <v>1</v>
      </c>
      <c r="I28" s="725">
        <v>1</v>
      </c>
      <c r="J28" s="724">
        <v>1</v>
      </c>
      <c r="K28" s="537">
        <v>1</v>
      </c>
      <c r="L28" s="537">
        <v>1</v>
      </c>
      <c r="M28" s="727">
        <v>1</v>
      </c>
      <c r="N28" s="726"/>
      <c r="O28" s="727"/>
      <c r="P28" s="724">
        <v>0</v>
      </c>
      <c r="Q28" s="724">
        <v>0</v>
      </c>
      <c r="R28" s="724">
        <v>0</v>
      </c>
      <c r="S28" s="724">
        <v>0</v>
      </c>
      <c r="T28" s="724">
        <v>0</v>
      </c>
      <c r="U28" s="724">
        <f t="shared" si="1"/>
        <v>0</v>
      </c>
      <c r="V28" s="724"/>
      <c r="W28" s="724"/>
      <c r="X28" s="724"/>
      <c r="Y28" s="726"/>
      <c r="Z28" s="724"/>
      <c r="AA28" s="726"/>
      <c r="AB28" s="724"/>
      <c r="AC28" s="537"/>
      <c r="AD28" s="537"/>
      <c r="AE28" s="537"/>
      <c r="AF28" s="537"/>
      <c r="AG28" s="537"/>
      <c r="AH28" s="537"/>
      <c r="AI28" s="537"/>
      <c r="AJ28" s="537"/>
      <c r="AK28" s="727"/>
      <c r="AL28" s="390">
        <f t="shared" si="2"/>
        <v>1</v>
      </c>
      <c r="AM28" s="729"/>
      <c r="AN28" s="730"/>
      <c r="AO28" s="731"/>
      <c r="AP28" s="732"/>
      <c r="AQ28" s="850"/>
      <c r="AR28" s="848"/>
      <c r="AS28" s="733"/>
      <c r="AT28" s="852"/>
      <c r="AU28" s="858"/>
      <c r="AV28" s="1015"/>
      <c r="AW28" s="1020"/>
      <c r="AX28" s="1020"/>
      <c r="AY28" s="1020"/>
      <c r="AZ28" s="898"/>
      <c r="BA28" s="1024"/>
      <c r="BE28" s="545">
        <v>22</v>
      </c>
      <c r="BF28" s="564" t="s">
        <v>351</v>
      </c>
      <c r="BG28" s="276">
        <f t="shared" si="3"/>
        <v>0</v>
      </c>
      <c r="BH28" s="282">
        <f t="shared" si="4"/>
        <v>0</v>
      </c>
      <c r="BI28" s="565">
        <f t="shared" si="5"/>
        <v>0</v>
      </c>
      <c r="BJ28" s="566">
        <f t="shared" si="6"/>
        <v>0</v>
      </c>
      <c r="BQ28" s="298">
        <f t="shared" si="7"/>
        <v>2</v>
      </c>
      <c r="BR28" s="257">
        <f t="shared" si="8"/>
        <v>0</v>
      </c>
      <c r="BS28" s="257">
        <f t="shared" si="9"/>
        <v>2</v>
      </c>
      <c r="BT28" s="302">
        <f t="shared" si="10"/>
        <v>0</v>
      </c>
      <c r="BU28" s="303">
        <f t="shared" si="11"/>
        <v>1</v>
      </c>
      <c r="BV28" s="257">
        <f t="shared" si="12"/>
        <v>1</v>
      </c>
      <c r="BW28" s="456">
        <f t="shared" si="13"/>
        <v>1</v>
      </c>
      <c r="BX28" s="459">
        <f t="shared" si="14"/>
        <v>0</v>
      </c>
      <c r="BY28" s="335">
        <f t="shared" si="23"/>
        <v>0</v>
      </c>
      <c r="BZ28" s="549"/>
      <c r="CA28" s="550"/>
      <c r="CB28" s="550"/>
      <c r="CC28" s="547"/>
      <c r="CD28" s="570">
        <f t="shared" si="15"/>
        <v>0</v>
      </c>
      <c r="CE28" s="550"/>
      <c r="CF28" s="550"/>
      <c r="CG28" s="550"/>
      <c r="CH28" s="547"/>
      <c r="CI28" s="550"/>
      <c r="CJ28" s="562">
        <f>IF(CK5&gt;500,BY28,IF(CK5=0,BY28,0))</f>
        <v>0</v>
      </c>
      <c r="CK28" s="545"/>
      <c r="CM28" s="571"/>
      <c r="CN28" s="545"/>
      <c r="CO28" s="545"/>
      <c r="CR28" s="571"/>
      <c r="CS28" s="545"/>
      <c r="CW28" s="545"/>
      <c r="CX28" s="572"/>
      <c r="CY28" s="545"/>
      <c r="CZ28" s="562">
        <f t="shared" si="24"/>
        <v>0</v>
      </c>
      <c r="DA28" s="545"/>
      <c r="DB28" s="571"/>
      <c r="DC28" s="545"/>
      <c r="DE28" s="545"/>
      <c r="DH28" s="562">
        <f t="shared" si="29"/>
        <v>0</v>
      </c>
      <c r="DM28" s="547" t="str">
        <f t="shared" si="0"/>
        <v>Hea 14</v>
      </c>
      <c r="DN28" s="547">
        <f t="shared" si="25"/>
        <v>0</v>
      </c>
      <c r="DO28" s="547">
        <f t="shared" si="26"/>
        <v>0</v>
      </c>
      <c r="DP28" s="547">
        <f t="shared" si="27"/>
        <v>0</v>
      </c>
      <c r="DT28" s="547">
        <f t="shared" si="28"/>
        <v>0</v>
      </c>
      <c r="EE28" s="564" t="str">
        <f t="shared" si="16"/>
        <v>Hea 14</v>
      </c>
      <c r="EG28" s="439">
        <f t="shared" si="17"/>
        <v>0</v>
      </c>
      <c r="EH28" s="440">
        <f t="shared" si="18"/>
        <v>0</v>
      </c>
      <c r="EI28" s="440">
        <f t="shared" si="19"/>
        <v>0</v>
      </c>
      <c r="EJ28" s="541">
        <f t="shared" si="20"/>
        <v>0</v>
      </c>
      <c r="EK28" s="541">
        <f t="shared" si="21"/>
        <v>0</v>
      </c>
      <c r="EL28" s="573">
        <f t="shared" si="22"/>
        <v>0</v>
      </c>
    </row>
    <row r="29" spans="1:142" x14ac:dyDescent="0.25">
      <c r="A29" s="982">
        <v>5</v>
      </c>
      <c r="B29" s="983">
        <v>13</v>
      </c>
      <c r="C29" s="851" t="s">
        <v>201</v>
      </c>
      <c r="D29" s="1003" t="s">
        <v>200</v>
      </c>
      <c r="E29" s="726">
        <v>0</v>
      </c>
      <c r="F29" s="537">
        <v>1</v>
      </c>
      <c r="G29" s="537">
        <v>1</v>
      </c>
      <c r="H29" s="537">
        <v>1</v>
      </c>
      <c r="I29" s="725">
        <v>0</v>
      </c>
      <c r="J29" s="724">
        <v>1</v>
      </c>
      <c r="K29" s="537">
        <v>1</v>
      </c>
      <c r="L29" s="537">
        <v>1</v>
      </c>
      <c r="M29" s="727">
        <v>1</v>
      </c>
      <c r="N29" s="726"/>
      <c r="O29" s="727"/>
      <c r="P29" s="724">
        <v>0</v>
      </c>
      <c r="Q29" s="724">
        <v>0</v>
      </c>
      <c r="R29" s="724">
        <v>0</v>
      </c>
      <c r="S29" s="724">
        <v>0</v>
      </c>
      <c r="T29" s="724">
        <v>0</v>
      </c>
      <c r="U29" s="724">
        <f t="shared" si="1"/>
        <v>0</v>
      </c>
      <c r="V29" s="724"/>
      <c r="W29" s="724"/>
      <c r="X29" s="724"/>
      <c r="Y29" s="726"/>
      <c r="Z29" s="724"/>
      <c r="AA29" s="726"/>
      <c r="AB29" s="724"/>
      <c r="AC29" s="537"/>
      <c r="AD29" s="537"/>
      <c r="AE29" s="537"/>
      <c r="AF29" s="897"/>
      <c r="AG29" s="897"/>
      <c r="AH29" s="897"/>
      <c r="AI29" s="897"/>
      <c r="AJ29" s="537"/>
      <c r="AK29" s="727"/>
      <c r="AL29" s="390">
        <f t="shared" si="2"/>
        <v>1</v>
      </c>
      <c r="AM29" s="729"/>
      <c r="AN29" s="730"/>
      <c r="AO29" s="731"/>
      <c r="AP29" s="732"/>
      <c r="AQ29" s="850"/>
      <c r="AR29" s="848"/>
      <c r="AS29" s="733"/>
      <c r="AT29" s="852"/>
      <c r="AU29" s="858"/>
      <c r="AV29" s="1015"/>
      <c r="AW29" s="1020"/>
      <c r="AX29" s="1020"/>
      <c r="AY29" s="1020"/>
      <c r="AZ29" s="898"/>
      <c r="BA29" s="1024"/>
      <c r="BE29" s="545">
        <v>23</v>
      </c>
      <c r="BF29" s="564" t="s">
        <v>235</v>
      </c>
      <c r="BG29" s="276">
        <f t="shared" si="3"/>
        <v>1</v>
      </c>
      <c r="BH29" s="282">
        <f t="shared" si="4"/>
        <v>0</v>
      </c>
      <c r="BI29" s="565">
        <f t="shared" si="5"/>
        <v>0</v>
      </c>
      <c r="BJ29" s="566">
        <f t="shared" si="6"/>
        <v>0</v>
      </c>
      <c r="BQ29" s="299">
        <f t="shared" si="7"/>
        <v>1</v>
      </c>
      <c r="BR29" s="300">
        <f t="shared" si="8"/>
        <v>1</v>
      </c>
      <c r="BS29" s="300">
        <f t="shared" si="9"/>
        <v>1</v>
      </c>
      <c r="BT29" s="301">
        <f t="shared" si="10"/>
        <v>1</v>
      </c>
      <c r="BU29" s="303">
        <f t="shared" si="11"/>
        <v>1</v>
      </c>
      <c r="BV29" s="257">
        <f t="shared" si="12"/>
        <v>1</v>
      </c>
      <c r="BW29" s="456">
        <f t="shared" si="13"/>
        <v>0</v>
      </c>
      <c r="BX29" s="459">
        <f t="shared" si="14"/>
        <v>0</v>
      </c>
      <c r="BY29" s="335">
        <f t="shared" si="23"/>
        <v>1</v>
      </c>
      <c r="BZ29" s="549"/>
      <c r="CA29" s="550"/>
      <c r="CB29" s="550"/>
      <c r="CC29" s="547"/>
      <c r="CD29" s="570">
        <f t="shared" si="15"/>
        <v>0</v>
      </c>
      <c r="CE29" s="550"/>
      <c r="CF29" s="550"/>
      <c r="CG29" s="550"/>
      <c r="CH29" s="547"/>
      <c r="CI29" s="550"/>
      <c r="CJ29" s="562">
        <f>IF(OR(CK6=CI2,CK6=CI4),IF(CK5&gt;500,0,BY29),0)</f>
        <v>0</v>
      </c>
      <c r="CK29" s="545"/>
      <c r="CM29" s="571"/>
      <c r="CN29" s="545"/>
      <c r="CO29" s="545"/>
      <c r="CR29" s="571"/>
      <c r="CS29" s="545"/>
      <c r="CW29" s="545"/>
      <c r="CX29" s="572"/>
      <c r="CY29" s="545"/>
      <c r="CZ29" s="562">
        <f t="shared" si="24"/>
        <v>0</v>
      </c>
      <c r="DA29" s="545"/>
      <c r="DB29" s="571"/>
      <c r="DC29" s="545"/>
      <c r="DE29" s="545"/>
      <c r="DH29" s="562">
        <f t="shared" si="29"/>
        <v>0</v>
      </c>
      <c r="DM29" s="547" t="str">
        <f t="shared" si="0"/>
        <v>Hea 2</v>
      </c>
      <c r="DN29" s="547">
        <f t="shared" si="25"/>
        <v>1</v>
      </c>
      <c r="DO29" s="547">
        <f t="shared" si="26"/>
        <v>0</v>
      </c>
      <c r="DP29" s="547">
        <f t="shared" si="27"/>
        <v>1</v>
      </c>
      <c r="DT29" s="547">
        <f t="shared" si="28"/>
        <v>1</v>
      </c>
      <c r="EE29" s="564" t="str">
        <f t="shared" si="16"/>
        <v>Hea 2</v>
      </c>
      <c r="EG29" s="439">
        <f t="shared" si="17"/>
        <v>0</v>
      </c>
      <c r="EH29" s="440">
        <f t="shared" si="18"/>
        <v>0</v>
      </c>
      <c r="EI29" s="440">
        <f t="shared" si="19"/>
        <v>0</v>
      </c>
      <c r="EJ29" s="541">
        <f t="shared" si="20"/>
        <v>0</v>
      </c>
      <c r="EK29" s="541">
        <f t="shared" si="21"/>
        <v>0</v>
      </c>
      <c r="EL29" s="573">
        <f t="shared" si="22"/>
        <v>0</v>
      </c>
    </row>
    <row r="30" spans="1:142" x14ac:dyDescent="0.25">
      <c r="A30" s="982">
        <v>5</v>
      </c>
      <c r="B30" s="983">
        <v>14</v>
      </c>
      <c r="C30" s="851" t="s">
        <v>351</v>
      </c>
      <c r="D30" s="1003" t="s">
        <v>685</v>
      </c>
      <c r="E30" s="906">
        <v>1</v>
      </c>
      <c r="F30" s="897">
        <v>1</v>
      </c>
      <c r="G30" s="897">
        <v>1</v>
      </c>
      <c r="H30" s="897">
        <v>1</v>
      </c>
      <c r="I30" s="905">
        <v>1</v>
      </c>
      <c r="J30" s="904">
        <v>2</v>
      </c>
      <c r="K30" s="897">
        <v>0</v>
      </c>
      <c r="L30" s="897">
        <v>2</v>
      </c>
      <c r="M30" s="907">
        <v>0</v>
      </c>
      <c r="N30" s="906"/>
      <c r="O30" s="907"/>
      <c r="P30" s="904">
        <v>0</v>
      </c>
      <c r="Q30" s="904">
        <v>0</v>
      </c>
      <c r="R30" s="904">
        <v>0</v>
      </c>
      <c r="S30" s="904">
        <v>0</v>
      </c>
      <c r="T30" s="904">
        <v>0</v>
      </c>
      <c r="U30" s="904">
        <f t="shared" si="1"/>
        <v>0</v>
      </c>
      <c r="V30" s="904"/>
      <c r="W30" s="904"/>
      <c r="X30" s="904"/>
      <c r="Y30" s="906"/>
      <c r="Z30" s="904"/>
      <c r="AA30" s="906"/>
      <c r="AB30" s="904"/>
      <c r="AC30" s="897"/>
      <c r="AD30" s="897"/>
      <c r="AE30" s="897"/>
      <c r="AF30" s="897"/>
      <c r="AG30" s="897"/>
      <c r="AH30" s="897"/>
      <c r="AI30" s="897"/>
      <c r="AJ30" s="897"/>
      <c r="AK30" s="907"/>
      <c r="AL30" s="390">
        <f t="shared" si="2"/>
        <v>0</v>
      </c>
      <c r="AM30" s="913"/>
      <c r="AN30" s="914"/>
      <c r="AO30" s="915"/>
      <c r="AP30" s="916"/>
      <c r="AQ30" s="930"/>
      <c r="AR30" s="928"/>
      <c r="AS30" s="917"/>
      <c r="AT30" s="931"/>
      <c r="AU30" s="937"/>
      <c r="AV30" s="1015"/>
      <c r="AW30" s="1020"/>
      <c r="AX30" s="1020"/>
      <c r="AY30" s="1020"/>
      <c r="AZ30" s="898"/>
      <c r="BA30" s="1024"/>
      <c r="BE30" s="545">
        <v>24</v>
      </c>
      <c r="BF30" s="564" t="s">
        <v>447</v>
      </c>
      <c r="BG30" s="276">
        <f t="shared" si="3"/>
        <v>3</v>
      </c>
      <c r="BH30" s="282">
        <f t="shared" si="4"/>
        <v>0</v>
      </c>
      <c r="BI30" s="565">
        <f t="shared" si="5"/>
        <v>0</v>
      </c>
      <c r="BJ30" s="566">
        <f t="shared" si="6"/>
        <v>0</v>
      </c>
      <c r="BQ30" s="298">
        <f t="shared" si="7"/>
        <v>3</v>
      </c>
      <c r="BR30" s="257">
        <f t="shared" si="8"/>
        <v>3</v>
      </c>
      <c r="BS30" s="257">
        <f t="shared" si="9"/>
        <v>3</v>
      </c>
      <c r="BT30" s="302">
        <f t="shared" si="10"/>
        <v>3</v>
      </c>
      <c r="BU30" s="303">
        <f t="shared" si="11"/>
        <v>1</v>
      </c>
      <c r="BV30" s="257">
        <f t="shared" si="12"/>
        <v>1</v>
      </c>
      <c r="BW30" s="456">
        <f t="shared" si="13"/>
        <v>1</v>
      </c>
      <c r="BX30" s="459">
        <f t="shared" si="14"/>
        <v>0</v>
      </c>
      <c r="BY30" s="311">
        <f t="shared" si="23"/>
        <v>3</v>
      </c>
      <c r="CC30" s="545"/>
      <c r="CD30" s="584">
        <f t="shared" si="15"/>
        <v>0</v>
      </c>
      <c r="CH30" s="545"/>
      <c r="CJ30" s="547"/>
      <c r="CK30" s="545"/>
      <c r="CM30" s="571"/>
      <c r="CN30" s="545"/>
      <c r="CO30" s="545"/>
      <c r="CR30" s="571"/>
      <c r="CS30" s="545"/>
      <c r="CW30" s="545"/>
      <c r="CX30" s="572"/>
      <c r="CY30" s="545"/>
      <c r="CZ30" s="562">
        <f t="shared" si="24"/>
        <v>0</v>
      </c>
      <c r="DA30" s="545"/>
      <c r="DB30" s="571"/>
      <c r="DC30" s="545"/>
      <c r="DE30" s="545"/>
      <c r="DH30" s="562">
        <f t="shared" si="29"/>
        <v>0</v>
      </c>
      <c r="DM30" s="547" t="str">
        <f t="shared" si="0"/>
        <v>Hea 20</v>
      </c>
      <c r="DN30" s="547">
        <f t="shared" si="25"/>
        <v>3</v>
      </c>
      <c r="DO30" s="547">
        <f t="shared" si="26"/>
        <v>0</v>
      </c>
      <c r="DP30" s="547">
        <f t="shared" si="27"/>
        <v>3</v>
      </c>
      <c r="DT30" s="547">
        <f t="shared" si="28"/>
        <v>3</v>
      </c>
      <c r="EE30" s="564" t="str">
        <f t="shared" si="16"/>
        <v>Hea 20</v>
      </c>
      <c r="EG30" s="439">
        <f t="shared" si="17"/>
        <v>0</v>
      </c>
      <c r="EH30" s="440">
        <f t="shared" si="18"/>
        <v>0</v>
      </c>
      <c r="EI30" s="440">
        <f t="shared" si="19"/>
        <v>1</v>
      </c>
      <c r="EJ30" s="541">
        <f t="shared" si="20"/>
        <v>1</v>
      </c>
      <c r="EK30" s="541">
        <f t="shared" si="21"/>
        <v>1</v>
      </c>
      <c r="EL30" s="573">
        <f t="shared" si="22"/>
        <v>1</v>
      </c>
    </row>
    <row r="31" spans="1:142" ht="30" x14ac:dyDescent="0.25">
      <c r="A31" s="982">
        <v>5</v>
      </c>
      <c r="B31" s="983">
        <v>14</v>
      </c>
      <c r="C31" s="851" t="s">
        <v>596</v>
      </c>
      <c r="D31" s="1003" t="s">
        <v>686</v>
      </c>
      <c r="E31" s="726">
        <v>1</v>
      </c>
      <c r="F31" s="537">
        <v>1</v>
      </c>
      <c r="G31" s="537">
        <v>1</v>
      </c>
      <c r="H31" s="537">
        <v>0</v>
      </c>
      <c r="I31" s="725">
        <v>1</v>
      </c>
      <c r="J31" s="724">
        <v>1</v>
      </c>
      <c r="K31" s="537">
        <v>0</v>
      </c>
      <c r="L31" s="537">
        <v>1</v>
      </c>
      <c r="M31" s="727">
        <v>0</v>
      </c>
      <c r="N31" s="726"/>
      <c r="O31" s="727"/>
      <c r="P31" s="724">
        <v>0</v>
      </c>
      <c r="Q31" s="724">
        <v>0</v>
      </c>
      <c r="R31" s="724">
        <v>0</v>
      </c>
      <c r="S31" s="724">
        <v>0</v>
      </c>
      <c r="T31" s="724">
        <v>0</v>
      </c>
      <c r="U31" s="724">
        <f t="shared" si="1"/>
        <v>0</v>
      </c>
      <c r="V31" s="724"/>
      <c r="W31" s="724"/>
      <c r="X31" s="724"/>
      <c r="Y31" s="726"/>
      <c r="Z31" s="724"/>
      <c r="AA31" s="726"/>
      <c r="AB31" s="724"/>
      <c r="AC31" s="537"/>
      <c r="AD31" s="537"/>
      <c r="AE31" s="537"/>
      <c r="AF31" s="537"/>
      <c r="AG31" s="537"/>
      <c r="AH31" s="537"/>
      <c r="AI31" s="537"/>
      <c r="AJ31" s="537"/>
      <c r="AK31" s="727"/>
      <c r="AL31" s="390">
        <f t="shared" si="2"/>
        <v>0</v>
      </c>
      <c r="AM31" s="729"/>
      <c r="AN31" s="730"/>
      <c r="AO31" s="731"/>
      <c r="AP31" s="732"/>
      <c r="AQ31" s="850"/>
      <c r="AR31" s="848"/>
      <c r="AS31" s="733"/>
      <c r="AT31" s="852"/>
      <c r="AU31" s="858"/>
      <c r="AV31" s="1015"/>
      <c r="AW31" s="1020"/>
      <c r="AX31" s="1020"/>
      <c r="AY31" s="1020"/>
      <c r="AZ31" s="898"/>
      <c r="BA31" s="1024"/>
      <c r="BE31" s="545">
        <v>25</v>
      </c>
      <c r="BF31" s="564" t="s">
        <v>102</v>
      </c>
      <c r="BG31" s="276">
        <f t="shared" si="3"/>
        <v>1</v>
      </c>
      <c r="BH31" s="282">
        <f t="shared" si="4"/>
        <v>0</v>
      </c>
      <c r="BI31" s="565">
        <f t="shared" si="5"/>
        <v>0</v>
      </c>
      <c r="BJ31" s="566">
        <f t="shared" si="6"/>
        <v>0</v>
      </c>
      <c r="BQ31" s="298">
        <f t="shared" si="7"/>
        <v>1</v>
      </c>
      <c r="BR31" s="257">
        <f t="shared" si="8"/>
        <v>1</v>
      </c>
      <c r="BS31" s="257">
        <f t="shared" si="9"/>
        <v>1</v>
      </c>
      <c r="BT31" s="302">
        <f t="shared" si="10"/>
        <v>1</v>
      </c>
      <c r="BU31" s="303">
        <f t="shared" si="11"/>
        <v>0</v>
      </c>
      <c r="BV31" s="257">
        <f t="shared" si="12"/>
        <v>1</v>
      </c>
      <c r="BW31" s="456">
        <f t="shared" si="13"/>
        <v>0</v>
      </c>
      <c r="BX31" s="459">
        <f t="shared" si="14"/>
        <v>0</v>
      </c>
      <c r="BY31" s="335">
        <f t="shared" si="23"/>
        <v>1</v>
      </c>
      <c r="BZ31" s="549"/>
      <c r="CA31" s="550"/>
      <c r="CB31" s="550"/>
      <c r="CC31" s="547"/>
      <c r="CD31" s="570">
        <f t="shared" si="15"/>
        <v>0</v>
      </c>
      <c r="CE31" s="550"/>
      <c r="CF31" s="550"/>
      <c r="CG31" s="550"/>
      <c r="CH31" s="547"/>
      <c r="CI31" s="550"/>
      <c r="CJ31" s="562">
        <f>IF(OR(CK6=CI2,CK6=CI4),IF(CK5&gt;500,0,BY31),0)</f>
        <v>0</v>
      </c>
      <c r="CK31" s="545"/>
      <c r="CM31" s="571"/>
      <c r="CN31" s="545"/>
      <c r="CO31" s="545"/>
      <c r="CR31" s="571"/>
      <c r="CS31" s="545"/>
      <c r="CW31" s="545"/>
      <c r="CX31" s="572"/>
      <c r="CY31" s="545"/>
      <c r="CZ31" s="562">
        <f t="shared" si="24"/>
        <v>0</v>
      </c>
      <c r="DA31" s="545"/>
      <c r="DB31" s="571"/>
      <c r="DC31" s="545"/>
      <c r="DE31" s="545"/>
      <c r="DH31" s="562">
        <f t="shared" si="29"/>
        <v>0</v>
      </c>
      <c r="DM31" s="547" t="str">
        <f t="shared" si="0"/>
        <v>Hea 3</v>
      </c>
      <c r="DN31" s="547">
        <f t="shared" si="25"/>
        <v>1</v>
      </c>
      <c r="DO31" s="547">
        <f t="shared" si="26"/>
        <v>0</v>
      </c>
      <c r="DP31" s="547">
        <f t="shared" si="27"/>
        <v>1</v>
      </c>
      <c r="DT31" s="547">
        <f t="shared" si="28"/>
        <v>1</v>
      </c>
      <c r="EE31" s="564" t="str">
        <f t="shared" si="16"/>
        <v>Hea 3</v>
      </c>
      <c r="EG31" s="439">
        <f t="shared" si="17"/>
        <v>0</v>
      </c>
      <c r="EH31" s="440">
        <f t="shared" si="18"/>
        <v>0</v>
      </c>
      <c r="EI31" s="440">
        <f t="shared" si="19"/>
        <v>0</v>
      </c>
      <c r="EJ31" s="541">
        <f t="shared" si="20"/>
        <v>0</v>
      </c>
      <c r="EK31" s="541">
        <f t="shared" si="21"/>
        <v>0</v>
      </c>
      <c r="EL31" s="573">
        <f t="shared" si="22"/>
        <v>0</v>
      </c>
    </row>
    <row r="32" spans="1:142" x14ac:dyDescent="0.25">
      <c r="A32" s="982">
        <v>5</v>
      </c>
      <c r="B32" s="983">
        <v>2</v>
      </c>
      <c r="C32" s="851" t="s">
        <v>235</v>
      </c>
      <c r="D32" s="1003" t="s">
        <v>684</v>
      </c>
      <c r="E32" s="726">
        <v>1</v>
      </c>
      <c r="F32" s="537">
        <v>1</v>
      </c>
      <c r="G32" s="537">
        <v>1</v>
      </c>
      <c r="H32" s="537">
        <v>1</v>
      </c>
      <c r="I32" s="725">
        <v>0</v>
      </c>
      <c r="J32" s="724">
        <v>1</v>
      </c>
      <c r="K32" s="537">
        <v>1</v>
      </c>
      <c r="L32" s="537">
        <v>1</v>
      </c>
      <c r="M32" s="727">
        <v>1</v>
      </c>
      <c r="N32" s="726"/>
      <c r="O32" s="727"/>
      <c r="P32" s="724">
        <v>0</v>
      </c>
      <c r="Q32" s="724">
        <v>0</v>
      </c>
      <c r="R32" s="724">
        <v>0</v>
      </c>
      <c r="S32" s="724">
        <v>0</v>
      </c>
      <c r="T32" s="724">
        <v>0</v>
      </c>
      <c r="U32" s="724">
        <f t="shared" si="1"/>
        <v>0</v>
      </c>
      <c r="V32" s="724"/>
      <c r="W32" s="724"/>
      <c r="X32" s="724"/>
      <c r="Y32" s="726"/>
      <c r="Z32" s="724"/>
      <c r="AA32" s="726"/>
      <c r="AB32" s="724"/>
      <c r="AC32" s="537"/>
      <c r="AD32" s="537"/>
      <c r="AE32" s="537"/>
      <c r="AF32" s="537"/>
      <c r="AG32" s="537"/>
      <c r="AH32" s="537"/>
      <c r="AI32" s="537"/>
      <c r="AJ32" s="537"/>
      <c r="AK32" s="727"/>
      <c r="AL32" s="390">
        <f t="shared" si="2"/>
        <v>1</v>
      </c>
      <c r="AM32" s="729"/>
      <c r="AN32" s="730"/>
      <c r="AO32" s="731"/>
      <c r="AP32" s="732"/>
      <c r="AQ32" s="850"/>
      <c r="AR32" s="848"/>
      <c r="AS32" s="733"/>
      <c r="AT32" s="852"/>
      <c r="AU32" s="858"/>
      <c r="AV32" s="1015"/>
      <c r="AW32" s="1020"/>
      <c r="AX32" s="1020"/>
      <c r="AY32" s="1020"/>
      <c r="AZ32" s="898"/>
      <c r="BA32" s="1024"/>
      <c r="BE32" s="545">
        <v>26</v>
      </c>
      <c r="BF32" s="564" t="s">
        <v>100</v>
      </c>
      <c r="BG32" s="276">
        <f t="shared" si="3"/>
        <v>1</v>
      </c>
      <c r="BH32" s="282">
        <f t="shared" si="4"/>
        <v>0</v>
      </c>
      <c r="BI32" s="565">
        <f t="shared" si="5"/>
        <v>0</v>
      </c>
      <c r="BJ32" s="566">
        <f t="shared" si="6"/>
        <v>0</v>
      </c>
      <c r="BQ32" s="587">
        <f t="shared" si="7"/>
        <v>1</v>
      </c>
      <c r="BR32" s="588">
        <f t="shared" si="8"/>
        <v>1</v>
      </c>
      <c r="BS32" s="588">
        <f t="shared" si="9"/>
        <v>1</v>
      </c>
      <c r="BT32" s="589">
        <f t="shared" si="10"/>
        <v>1</v>
      </c>
      <c r="BU32" s="337">
        <f t="shared" si="11"/>
        <v>0</v>
      </c>
      <c r="BV32" s="308">
        <f t="shared" si="12"/>
        <v>1</v>
      </c>
      <c r="BW32" s="457">
        <f t="shared" si="13"/>
        <v>1</v>
      </c>
      <c r="BX32" s="459">
        <f t="shared" si="14"/>
        <v>0</v>
      </c>
      <c r="BY32" s="338">
        <f t="shared" si="23"/>
        <v>1</v>
      </c>
      <c r="BZ32" s="590"/>
      <c r="CA32" s="590"/>
      <c r="CB32" s="590"/>
      <c r="CC32" s="544"/>
      <c r="CD32" s="559">
        <f t="shared" si="15"/>
        <v>0</v>
      </c>
      <c r="CH32" s="545"/>
      <c r="CJ32" s="544"/>
      <c r="CK32" s="545"/>
      <c r="CM32" s="571"/>
      <c r="CN32" s="545"/>
      <c r="CO32" s="545"/>
      <c r="CR32" s="571"/>
      <c r="CS32" s="545"/>
      <c r="CW32" s="545"/>
      <c r="CX32" s="572"/>
      <c r="CY32" s="545"/>
      <c r="CZ32" s="562">
        <f t="shared" si="24"/>
        <v>0</v>
      </c>
      <c r="DA32" s="545"/>
      <c r="DB32" s="571"/>
      <c r="DC32" s="545"/>
      <c r="DE32" s="545"/>
      <c r="DH32" s="562">
        <f t="shared" si="29"/>
        <v>0</v>
      </c>
      <c r="DM32" s="547" t="str">
        <f t="shared" si="0"/>
        <v>Hea 4</v>
      </c>
      <c r="DN32" s="547">
        <f t="shared" si="25"/>
        <v>1</v>
      </c>
      <c r="DO32" s="547">
        <f t="shared" si="26"/>
        <v>0</v>
      </c>
      <c r="DP32" s="547">
        <f t="shared" si="27"/>
        <v>1</v>
      </c>
      <c r="DT32" s="547">
        <f t="shared" si="28"/>
        <v>1</v>
      </c>
      <c r="EE32" s="564" t="str">
        <f t="shared" si="16"/>
        <v>Hea 4</v>
      </c>
      <c r="EG32" s="439">
        <f t="shared" si="17"/>
        <v>1</v>
      </c>
      <c r="EH32" s="440">
        <f t="shared" si="18"/>
        <v>1</v>
      </c>
      <c r="EI32" s="440">
        <f t="shared" si="19"/>
        <v>1</v>
      </c>
      <c r="EJ32" s="541">
        <f t="shared" si="20"/>
        <v>1</v>
      </c>
      <c r="EK32" s="541">
        <f t="shared" si="21"/>
        <v>1</v>
      </c>
      <c r="EL32" s="573">
        <f t="shared" si="22"/>
        <v>1</v>
      </c>
    </row>
    <row r="33" spans="1:142" x14ac:dyDescent="0.25">
      <c r="A33" s="982">
        <v>5</v>
      </c>
      <c r="B33" s="983">
        <v>20</v>
      </c>
      <c r="C33" s="851" t="s">
        <v>447</v>
      </c>
      <c r="D33" s="1003" t="s">
        <v>425</v>
      </c>
      <c r="E33" s="726">
        <v>1</v>
      </c>
      <c r="F33" s="537">
        <v>1</v>
      </c>
      <c r="G33" s="537">
        <v>1</v>
      </c>
      <c r="H33" s="537">
        <v>0</v>
      </c>
      <c r="I33" s="725">
        <v>1</v>
      </c>
      <c r="J33" s="724">
        <v>3</v>
      </c>
      <c r="K33" s="537">
        <v>3</v>
      </c>
      <c r="L33" s="537">
        <v>3</v>
      </c>
      <c r="M33" s="727">
        <v>3</v>
      </c>
      <c r="N33" s="726"/>
      <c r="O33" s="727"/>
      <c r="P33" s="724">
        <v>0</v>
      </c>
      <c r="Q33" s="724">
        <v>0</v>
      </c>
      <c r="R33" s="724">
        <v>1</v>
      </c>
      <c r="S33" s="724">
        <v>1</v>
      </c>
      <c r="T33" s="724">
        <v>1</v>
      </c>
      <c r="U33" s="724">
        <f t="shared" si="1"/>
        <v>1</v>
      </c>
      <c r="V33" s="724"/>
      <c r="W33" s="724"/>
      <c r="X33" s="724"/>
      <c r="Y33" s="726"/>
      <c r="Z33" s="724"/>
      <c r="AA33" s="726"/>
      <c r="AB33" s="724"/>
      <c r="AC33" s="537"/>
      <c r="AD33" s="537"/>
      <c r="AE33" s="537"/>
      <c r="AF33" s="897"/>
      <c r="AG33" s="897"/>
      <c r="AH33" s="897"/>
      <c r="AI33" s="897"/>
      <c r="AJ33" s="537"/>
      <c r="AK33" s="727"/>
      <c r="AL33" s="390">
        <f t="shared" si="2"/>
        <v>3</v>
      </c>
      <c r="AM33" s="729"/>
      <c r="AN33" s="730"/>
      <c r="AO33" s="731"/>
      <c r="AP33" s="732"/>
      <c r="AQ33" s="850"/>
      <c r="AR33" s="848"/>
      <c r="AS33" s="733"/>
      <c r="AT33" s="852"/>
      <c r="AU33" s="858"/>
      <c r="AV33" s="1015"/>
      <c r="AW33" s="1020"/>
      <c r="AX33" s="1020"/>
      <c r="AY33" s="1020"/>
      <c r="AZ33" s="898"/>
      <c r="BA33" s="1024"/>
      <c r="BE33" s="545">
        <v>27</v>
      </c>
      <c r="BF33" s="564" t="s">
        <v>187</v>
      </c>
      <c r="BG33" s="276">
        <f t="shared" si="3"/>
        <v>1</v>
      </c>
      <c r="BH33" s="282">
        <f t="shared" si="4"/>
        <v>0</v>
      </c>
      <c r="BI33" s="565">
        <f t="shared" si="5"/>
        <v>0</v>
      </c>
      <c r="BJ33" s="566">
        <f t="shared" si="6"/>
        <v>0</v>
      </c>
      <c r="BQ33" s="339">
        <f t="shared" si="7"/>
        <v>1</v>
      </c>
      <c r="BR33" s="309">
        <f t="shared" si="8"/>
        <v>1</v>
      </c>
      <c r="BS33" s="309">
        <f t="shared" si="9"/>
        <v>1</v>
      </c>
      <c r="BT33" s="340">
        <f t="shared" si="10"/>
        <v>1</v>
      </c>
      <c r="BU33" s="341">
        <f t="shared" si="11"/>
        <v>0</v>
      </c>
      <c r="BV33" s="309">
        <f t="shared" si="12"/>
        <v>1</v>
      </c>
      <c r="BW33" s="458">
        <f t="shared" si="13"/>
        <v>1</v>
      </c>
      <c r="BX33" s="459">
        <f t="shared" si="14"/>
        <v>0</v>
      </c>
      <c r="BY33" s="342">
        <f t="shared" si="23"/>
        <v>1</v>
      </c>
      <c r="BZ33" s="591"/>
      <c r="CA33" s="591"/>
      <c r="CB33" s="591"/>
      <c r="CC33" s="546"/>
      <c r="CD33" s="577">
        <f t="shared" si="15"/>
        <v>0</v>
      </c>
      <c r="CH33" s="545"/>
      <c r="CJ33" s="546"/>
      <c r="CK33" s="545"/>
      <c r="CM33" s="571"/>
      <c r="CN33" s="545"/>
      <c r="CO33" s="545"/>
      <c r="CR33" s="571"/>
      <c r="CS33" s="545"/>
      <c r="CW33" s="545"/>
      <c r="CX33" s="572"/>
      <c r="CY33" s="545"/>
      <c r="CZ33" s="562">
        <f t="shared" si="24"/>
        <v>0</v>
      </c>
      <c r="DA33" s="545"/>
      <c r="DB33" s="571"/>
      <c r="DC33" s="545"/>
      <c r="DE33" s="545"/>
      <c r="DH33" s="562">
        <f t="shared" si="29"/>
        <v>0</v>
      </c>
      <c r="DM33" s="547" t="str">
        <f t="shared" si="0"/>
        <v>Hea 5</v>
      </c>
      <c r="DN33" s="547">
        <f t="shared" si="25"/>
        <v>1</v>
      </c>
      <c r="DO33" s="547">
        <f t="shared" si="26"/>
        <v>0</v>
      </c>
      <c r="DP33" s="547">
        <f t="shared" si="27"/>
        <v>1</v>
      </c>
      <c r="DT33" s="547">
        <f t="shared" si="28"/>
        <v>1</v>
      </c>
      <c r="EE33" s="564" t="str">
        <f t="shared" si="16"/>
        <v>Hea 5</v>
      </c>
      <c r="EG33" s="439">
        <f t="shared" si="17"/>
        <v>0</v>
      </c>
      <c r="EH33" s="440">
        <f t="shared" si="18"/>
        <v>0</v>
      </c>
      <c r="EI33" s="440">
        <f t="shared" si="19"/>
        <v>0</v>
      </c>
      <c r="EJ33" s="541">
        <f t="shared" si="20"/>
        <v>0</v>
      </c>
      <c r="EK33" s="541">
        <f t="shared" si="21"/>
        <v>0</v>
      </c>
      <c r="EL33" s="573">
        <f t="shared" si="22"/>
        <v>0</v>
      </c>
    </row>
    <row r="34" spans="1:142" x14ac:dyDescent="0.25">
      <c r="A34" s="982">
        <v>5</v>
      </c>
      <c r="B34" s="983">
        <v>3</v>
      </c>
      <c r="C34" s="851" t="s">
        <v>102</v>
      </c>
      <c r="D34" s="1003" t="s">
        <v>101</v>
      </c>
      <c r="E34" s="726">
        <v>0</v>
      </c>
      <c r="F34" s="537">
        <v>1</v>
      </c>
      <c r="G34" s="537">
        <v>1</v>
      </c>
      <c r="H34" s="537">
        <v>1</v>
      </c>
      <c r="I34" s="725">
        <v>0</v>
      </c>
      <c r="J34" s="724">
        <v>1</v>
      </c>
      <c r="K34" s="537">
        <v>1</v>
      </c>
      <c r="L34" s="537">
        <v>1</v>
      </c>
      <c r="M34" s="727">
        <v>1</v>
      </c>
      <c r="N34" s="726"/>
      <c r="O34" s="727"/>
      <c r="P34" s="724">
        <v>0</v>
      </c>
      <c r="Q34" s="724">
        <v>0</v>
      </c>
      <c r="R34" s="724">
        <v>0</v>
      </c>
      <c r="S34" s="724">
        <v>0</v>
      </c>
      <c r="T34" s="724">
        <v>0</v>
      </c>
      <c r="U34" s="724">
        <f t="shared" si="1"/>
        <v>0</v>
      </c>
      <c r="V34" s="724"/>
      <c r="W34" s="724"/>
      <c r="X34" s="724"/>
      <c r="Y34" s="726"/>
      <c r="Z34" s="724"/>
      <c r="AA34" s="726"/>
      <c r="AB34" s="724"/>
      <c r="AC34" s="537"/>
      <c r="AD34" s="537"/>
      <c r="AE34" s="537"/>
      <c r="AF34" s="537"/>
      <c r="AG34" s="537"/>
      <c r="AH34" s="537"/>
      <c r="AI34" s="537"/>
      <c r="AJ34" s="537"/>
      <c r="AK34" s="727"/>
      <c r="AL34" s="390">
        <f t="shared" si="2"/>
        <v>1</v>
      </c>
      <c r="AM34" s="913"/>
      <c r="AN34" s="730"/>
      <c r="AO34" s="731"/>
      <c r="AP34" s="732"/>
      <c r="AQ34" s="850"/>
      <c r="AR34" s="848"/>
      <c r="AS34" s="733"/>
      <c r="AT34" s="852"/>
      <c r="AU34" s="858"/>
      <c r="AV34" s="1015"/>
      <c r="AW34" s="1020"/>
      <c r="AX34" s="1020"/>
      <c r="AY34" s="1020"/>
      <c r="AZ34" s="898"/>
      <c r="BA34" s="1024"/>
      <c r="BE34" s="545">
        <v>28</v>
      </c>
      <c r="BF34" s="564" t="s">
        <v>98</v>
      </c>
      <c r="BG34" s="276">
        <f t="shared" si="3"/>
        <v>1</v>
      </c>
      <c r="BH34" s="282">
        <f t="shared" si="4"/>
        <v>0</v>
      </c>
      <c r="BI34" s="565">
        <f t="shared" si="5"/>
        <v>0</v>
      </c>
      <c r="BJ34" s="566">
        <f t="shared" si="6"/>
        <v>0</v>
      </c>
      <c r="BQ34" s="298">
        <f t="shared" si="7"/>
        <v>1</v>
      </c>
      <c r="BR34" s="257">
        <f t="shared" si="8"/>
        <v>1</v>
      </c>
      <c r="BS34" s="257">
        <f t="shared" si="9"/>
        <v>1</v>
      </c>
      <c r="BT34" s="302">
        <f t="shared" si="10"/>
        <v>1</v>
      </c>
      <c r="BU34" s="303">
        <f t="shared" si="11"/>
        <v>1</v>
      </c>
      <c r="BV34" s="257">
        <f t="shared" si="12"/>
        <v>1</v>
      </c>
      <c r="BW34" s="456">
        <f t="shared" si="13"/>
        <v>0</v>
      </c>
      <c r="BX34" s="459">
        <f t="shared" si="14"/>
        <v>0</v>
      </c>
      <c r="BY34" s="335">
        <f t="shared" si="23"/>
        <v>1</v>
      </c>
      <c r="BZ34" s="549"/>
      <c r="CA34" s="550"/>
      <c r="CB34" s="550"/>
      <c r="CC34" s="547"/>
      <c r="CD34" s="570">
        <f t="shared" si="15"/>
        <v>0</v>
      </c>
      <c r="CE34" s="550"/>
      <c r="CF34" s="550"/>
      <c r="CG34" s="550"/>
      <c r="CH34" s="547"/>
      <c r="CI34" s="550"/>
      <c r="CJ34" s="562">
        <f>IF(OR(CK6=CI2,CK6=CI4),IF(CK5&gt;500,0,BY34),0)</f>
        <v>0</v>
      </c>
      <c r="CK34" s="545"/>
      <c r="CM34" s="571"/>
      <c r="CN34" s="545"/>
      <c r="CO34" s="545"/>
      <c r="CR34" s="571"/>
      <c r="CS34" s="545"/>
      <c r="CW34" s="545"/>
      <c r="CX34" s="572"/>
      <c r="CY34" s="545"/>
      <c r="CZ34" s="562">
        <f t="shared" si="24"/>
        <v>0</v>
      </c>
      <c r="DA34" s="545"/>
      <c r="DB34" s="571"/>
      <c r="DC34" s="545"/>
      <c r="DE34" s="545"/>
      <c r="DH34" s="562">
        <f t="shared" si="29"/>
        <v>0</v>
      </c>
      <c r="DM34" s="547" t="str">
        <f t="shared" si="0"/>
        <v>Hea 6</v>
      </c>
      <c r="DN34" s="547">
        <f t="shared" si="25"/>
        <v>1</v>
      </c>
      <c r="DO34" s="547">
        <f t="shared" si="26"/>
        <v>0</v>
      </c>
      <c r="DP34" s="547">
        <f t="shared" si="27"/>
        <v>1</v>
      </c>
      <c r="DT34" s="547">
        <f t="shared" si="28"/>
        <v>1</v>
      </c>
      <c r="EE34" s="564" t="str">
        <f t="shared" si="16"/>
        <v>Hea 6</v>
      </c>
      <c r="EG34" s="439">
        <f t="shared" si="17"/>
        <v>0</v>
      </c>
      <c r="EH34" s="440">
        <f t="shared" si="18"/>
        <v>0</v>
      </c>
      <c r="EI34" s="440">
        <f t="shared" si="19"/>
        <v>0</v>
      </c>
      <c r="EJ34" s="541">
        <f t="shared" si="20"/>
        <v>0</v>
      </c>
      <c r="EK34" s="541">
        <f t="shared" si="21"/>
        <v>0</v>
      </c>
      <c r="EL34" s="573">
        <f t="shared" si="22"/>
        <v>0</v>
      </c>
    </row>
    <row r="35" spans="1:142" ht="30.75" thickBot="1" x14ac:dyDescent="0.3">
      <c r="A35" s="982">
        <v>5</v>
      </c>
      <c r="B35" s="983">
        <v>4</v>
      </c>
      <c r="C35" s="851" t="s">
        <v>100</v>
      </c>
      <c r="D35" s="1003" t="s">
        <v>99</v>
      </c>
      <c r="E35" s="906">
        <v>0</v>
      </c>
      <c r="F35" s="897">
        <v>1</v>
      </c>
      <c r="G35" s="897">
        <v>1</v>
      </c>
      <c r="H35" s="897">
        <v>1</v>
      </c>
      <c r="I35" s="905">
        <v>1</v>
      </c>
      <c r="J35" s="904">
        <v>1</v>
      </c>
      <c r="K35" s="897">
        <v>1</v>
      </c>
      <c r="L35" s="897">
        <v>1</v>
      </c>
      <c r="M35" s="907">
        <v>1</v>
      </c>
      <c r="N35" s="906"/>
      <c r="O35" s="907"/>
      <c r="P35" s="904">
        <v>1</v>
      </c>
      <c r="Q35" s="904">
        <v>1</v>
      </c>
      <c r="R35" s="904">
        <v>1</v>
      </c>
      <c r="S35" s="904">
        <v>1</v>
      </c>
      <c r="T35" s="904">
        <v>1</v>
      </c>
      <c r="U35" s="904">
        <f t="shared" si="1"/>
        <v>1</v>
      </c>
      <c r="V35" s="904"/>
      <c r="W35" s="904"/>
      <c r="X35" s="904"/>
      <c r="Y35" s="906"/>
      <c r="Z35" s="904"/>
      <c r="AA35" s="906"/>
      <c r="AB35" s="904"/>
      <c r="AC35" s="897"/>
      <c r="AD35" s="897"/>
      <c r="AE35" s="897"/>
      <c r="AF35" s="897" t="s">
        <v>444</v>
      </c>
      <c r="AG35" s="897"/>
      <c r="AH35" s="897"/>
      <c r="AI35" s="897"/>
      <c r="AJ35" s="897"/>
      <c r="AK35" s="907"/>
      <c r="AL35" s="390">
        <f t="shared" si="2"/>
        <v>1</v>
      </c>
      <c r="AM35" s="913"/>
      <c r="AN35" s="914"/>
      <c r="AO35" s="915"/>
      <c r="AP35" s="916"/>
      <c r="AQ35" s="930"/>
      <c r="AR35" s="928"/>
      <c r="AS35" s="917"/>
      <c r="AT35" s="931"/>
      <c r="AU35" s="937"/>
      <c r="AV35" s="1015"/>
      <c r="AW35" s="1020"/>
      <c r="AX35" s="1020"/>
      <c r="AY35" s="1020"/>
      <c r="AZ35" s="898"/>
      <c r="BA35" s="1024"/>
      <c r="BE35" s="545">
        <v>29</v>
      </c>
      <c r="BF35" s="564" t="s">
        <v>75</v>
      </c>
      <c r="BG35" s="276">
        <f t="shared" si="3"/>
        <v>1</v>
      </c>
      <c r="BH35" s="282">
        <f t="shared" si="4"/>
        <v>0</v>
      </c>
      <c r="BI35" s="565">
        <f t="shared" si="5"/>
        <v>0</v>
      </c>
      <c r="BJ35" s="566">
        <f t="shared" si="6"/>
        <v>0</v>
      </c>
      <c r="BQ35" s="298">
        <f t="shared" si="7"/>
        <v>1</v>
      </c>
      <c r="BR35" s="257">
        <f t="shared" si="8"/>
        <v>1</v>
      </c>
      <c r="BS35" s="257">
        <f t="shared" si="9"/>
        <v>1</v>
      </c>
      <c r="BT35" s="302">
        <f t="shared" si="10"/>
        <v>1</v>
      </c>
      <c r="BU35" s="303">
        <f t="shared" si="11"/>
        <v>1</v>
      </c>
      <c r="BV35" s="257">
        <f t="shared" si="12"/>
        <v>1</v>
      </c>
      <c r="BW35" s="456">
        <f t="shared" si="13"/>
        <v>0</v>
      </c>
      <c r="BX35" s="459">
        <f t="shared" si="14"/>
        <v>0</v>
      </c>
      <c r="BY35" s="335">
        <f t="shared" si="23"/>
        <v>1</v>
      </c>
      <c r="BZ35" s="549"/>
      <c r="CA35" s="550"/>
      <c r="CB35" s="550"/>
      <c r="CC35" s="547"/>
      <c r="CD35" s="570">
        <f t="shared" si="15"/>
        <v>0</v>
      </c>
      <c r="CE35" s="550"/>
      <c r="CF35" s="550"/>
      <c r="CG35" s="550"/>
      <c r="CH35" s="547"/>
      <c r="CI35" s="550"/>
      <c r="CJ35" s="562">
        <f>IF(OR(CK6=CI2,CK6=CI4),IF(CK5&gt;500,0,BY35),0)</f>
        <v>0</v>
      </c>
      <c r="CK35" s="545"/>
      <c r="CM35" s="571"/>
      <c r="CN35" s="545"/>
      <c r="CO35" s="545"/>
      <c r="CR35" s="571"/>
      <c r="CS35" s="545"/>
      <c r="CW35" s="545"/>
      <c r="CX35" s="572"/>
      <c r="CY35" s="545"/>
      <c r="CZ35" s="562">
        <f t="shared" si="24"/>
        <v>0</v>
      </c>
      <c r="DA35" s="545"/>
      <c r="DB35" s="571"/>
      <c r="DC35" s="545"/>
      <c r="DE35" s="545"/>
      <c r="DH35" s="562">
        <f t="shared" si="29"/>
        <v>0</v>
      </c>
      <c r="DM35" s="547" t="str">
        <f t="shared" si="0"/>
        <v>Hea 7</v>
      </c>
      <c r="DN35" s="547">
        <f t="shared" si="25"/>
        <v>1</v>
      </c>
      <c r="DO35" s="547">
        <f>IF(SUM(BZ35:DL35)&gt;DN35,DN35,SUM(BZ35:DL35))</f>
        <v>0</v>
      </c>
      <c r="DP35" s="547">
        <f t="shared" si="27"/>
        <v>1</v>
      </c>
      <c r="DQ35" s="592" t="s">
        <v>489</v>
      </c>
      <c r="DR35" s="593"/>
      <c r="DS35" s="593"/>
      <c r="DT35" s="547">
        <f t="shared" si="28"/>
        <v>1</v>
      </c>
      <c r="EE35" s="564" t="str">
        <f t="shared" si="16"/>
        <v>Hea 7</v>
      </c>
      <c r="EG35" s="439">
        <f t="shared" si="17"/>
        <v>0</v>
      </c>
      <c r="EH35" s="440">
        <f t="shared" si="18"/>
        <v>0</v>
      </c>
      <c r="EI35" s="440">
        <f t="shared" si="19"/>
        <v>0</v>
      </c>
      <c r="EJ35" s="541">
        <f t="shared" si="20"/>
        <v>0</v>
      </c>
      <c r="EK35" s="541">
        <f t="shared" si="21"/>
        <v>0</v>
      </c>
      <c r="EL35" s="573">
        <f t="shared" si="22"/>
        <v>0</v>
      </c>
    </row>
    <row r="36" spans="1:142" ht="60" x14ac:dyDescent="0.25">
      <c r="A36" s="982">
        <v>5</v>
      </c>
      <c r="B36" s="983">
        <v>5</v>
      </c>
      <c r="C36" s="851" t="s">
        <v>187</v>
      </c>
      <c r="D36" s="1003" t="s">
        <v>331</v>
      </c>
      <c r="E36" s="726">
        <v>0</v>
      </c>
      <c r="F36" s="537">
        <v>1</v>
      </c>
      <c r="G36" s="537">
        <v>1</v>
      </c>
      <c r="H36" s="537">
        <v>1</v>
      </c>
      <c r="I36" s="725">
        <v>1</v>
      </c>
      <c r="J36" s="724">
        <v>1</v>
      </c>
      <c r="K36" s="537">
        <v>1</v>
      </c>
      <c r="L36" s="537">
        <v>1</v>
      </c>
      <c r="M36" s="727">
        <v>1</v>
      </c>
      <c r="N36" s="726"/>
      <c r="O36" s="727"/>
      <c r="P36" s="724">
        <v>0</v>
      </c>
      <c r="Q36" s="724">
        <v>0</v>
      </c>
      <c r="R36" s="724">
        <v>0</v>
      </c>
      <c r="S36" s="724">
        <v>0</v>
      </c>
      <c r="T36" s="724">
        <v>0</v>
      </c>
      <c r="U36" s="724">
        <f t="shared" si="1"/>
        <v>0</v>
      </c>
      <c r="V36" s="724"/>
      <c r="W36" s="724"/>
      <c r="X36" s="724"/>
      <c r="Y36" s="726"/>
      <c r="Z36" s="724"/>
      <c r="AA36" s="726"/>
      <c r="AB36" s="724"/>
      <c r="AC36" s="537"/>
      <c r="AD36" s="537"/>
      <c r="AE36" s="537"/>
      <c r="AF36" s="537" t="s">
        <v>444</v>
      </c>
      <c r="AG36" s="537"/>
      <c r="AH36" s="537"/>
      <c r="AI36" s="897"/>
      <c r="AJ36" s="537"/>
      <c r="AK36" s="727"/>
      <c r="AL36" s="390">
        <f t="shared" si="2"/>
        <v>1</v>
      </c>
      <c r="AM36" s="729"/>
      <c r="AN36" s="730"/>
      <c r="AO36" s="731"/>
      <c r="AP36" s="732"/>
      <c r="AQ36" s="850"/>
      <c r="AR36" s="848"/>
      <c r="AS36" s="733"/>
      <c r="AT36" s="852"/>
      <c r="AU36" s="858"/>
      <c r="AV36" s="1015"/>
      <c r="AW36" s="1020"/>
      <c r="AX36" s="1020"/>
      <c r="AY36" s="1020"/>
      <c r="AZ36" s="898"/>
      <c r="BA36" s="1024"/>
      <c r="BE36" s="545">
        <v>30</v>
      </c>
      <c r="BF36" s="564" t="s">
        <v>73</v>
      </c>
      <c r="BG36" s="276">
        <f t="shared" si="3"/>
        <v>2</v>
      </c>
      <c r="BH36" s="282">
        <f t="shared" si="4"/>
        <v>0</v>
      </c>
      <c r="BI36" s="565">
        <f t="shared" si="5"/>
        <v>0</v>
      </c>
      <c r="BJ36" s="566">
        <f t="shared" si="6"/>
        <v>0</v>
      </c>
      <c r="BK36" s="1236" t="s">
        <v>489</v>
      </c>
      <c r="BL36" s="1237"/>
      <c r="BM36" s="1237"/>
      <c r="BN36" s="1237"/>
      <c r="BQ36" s="299">
        <f t="shared" si="7"/>
        <v>2</v>
      </c>
      <c r="BR36" s="300">
        <f t="shared" si="8"/>
        <v>2</v>
      </c>
      <c r="BS36" s="300">
        <f t="shared" si="9"/>
        <v>2</v>
      </c>
      <c r="BT36" s="301">
        <f t="shared" si="10"/>
        <v>2</v>
      </c>
      <c r="BU36" s="303">
        <f t="shared" si="11"/>
        <v>1</v>
      </c>
      <c r="BV36" s="257">
        <f t="shared" si="12"/>
        <v>1</v>
      </c>
      <c r="BW36" s="456">
        <f t="shared" si="13"/>
        <v>0</v>
      </c>
      <c r="BX36" s="459">
        <f t="shared" si="14"/>
        <v>0</v>
      </c>
      <c r="BY36" s="335">
        <f t="shared" si="23"/>
        <v>2</v>
      </c>
      <c r="BZ36" s="549"/>
      <c r="CA36" s="550"/>
      <c r="CB36" s="550"/>
      <c r="CC36" s="547"/>
      <c r="CD36" s="570">
        <f t="shared" si="15"/>
        <v>0</v>
      </c>
      <c r="CE36" s="550"/>
      <c r="CF36" s="550"/>
      <c r="CG36" s="550"/>
      <c r="CH36" s="547"/>
      <c r="CI36" s="550"/>
      <c r="CJ36" s="562">
        <f>IF(CK6=CI4,IF(CK5&gt;500,0,BY36),0)</f>
        <v>0</v>
      </c>
      <c r="CK36" s="545"/>
      <c r="CM36" s="571"/>
      <c r="CN36" s="545"/>
      <c r="CO36" s="545"/>
      <c r="CR36" s="571"/>
      <c r="CS36" s="545"/>
      <c r="CW36" s="545"/>
      <c r="CX36" s="572"/>
      <c r="CY36" s="545"/>
      <c r="CZ36" s="562">
        <f t="shared" si="24"/>
        <v>0</v>
      </c>
      <c r="DA36" s="545"/>
      <c r="DB36" s="571"/>
      <c r="DC36" s="545"/>
      <c r="DE36" s="545"/>
      <c r="DH36" s="562">
        <f t="shared" si="29"/>
        <v>0</v>
      </c>
      <c r="DM36" s="547" t="str">
        <f t="shared" si="0"/>
        <v>Hea 8</v>
      </c>
      <c r="DN36" s="547">
        <f t="shared" si="25"/>
        <v>2</v>
      </c>
      <c r="DO36" s="547">
        <f t="shared" si="26"/>
        <v>0</v>
      </c>
      <c r="DP36" s="547">
        <f t="shared" si="27"/>
        <v>2</v>
      </c>
      <c r="DQ36" s="289" t="s">
        <v>664</v>
      </c>
      <c r="DR36" s="264" t="s">
        <v>665</v>
      </c>
      <c r="DS36" s="343" t="s">
        <v>710</v>
      </c>
      <c r="DT36" s="547">
        <f t="shared" si="28"/>
        <v>2</v>
      </c>
      <c r="EE36" s="564" t="str">
        <f t="shared" si="16"/>
        <v>Hea 8</v>
      </c>
      <c r="EG36" s="439">
        <f t="shared" si="17"/>
        <v>0</v>
      </c>
      <c r="EH36" s="440">
        <f t="shared" si="18"/>
        <v>0</v>
      </c>
      <c r="EI36" s="440">
        <f t="shared" si="19"/>
        <v>1</v>
      </c>
      <c r="EJ36" s="541">
        <f t="shared" si="20"/>
        <v>1</v>
      </c>
      <c r="EK36" s="541">
        <f t="shared" si="21"/>
        <v>2</v>
      </c>
      <c r="EL36" s="573">
        <f t="shared" si="22"/>
        <v>2</v>
      </c>
    </row>
    <row r="37" spans="1:142" ht="15.75" thickBot="1" x14ac:dyDescent="0.3">
      <c r="A37" s="982">
        <v>5</v>
      </c>
      <c r="B37" s="983">
        <v>6</v>
      </c>
      <c r="C37" s="851" t="s">
        <v>98</v>
      </c>
      <c r="D37" s="1003" t="s">
        <v>97</v>
      </c>
      <c r="E37" s="726">
        <v>1</v>
      </c>
      <c r="F37" s="537">
        <v>0</v>
      </c>
      <c r="G37" s="537">
        <v>1</v>
      </c>
      <c r="H37" s="537">
        <v>1</v>
      </c>
      <c r="I37" s="725">
        <v>0</v>
      </c>
      <c r="J37" s="724">
        <v>1</v>
      </c>
      <c r="K37" s="537">
        <v>1</v>
      </c>
      <c r="L37" s="537">
        <v>1</v>
      </c>
      <c r="M37" s="727">
        <v>1</v>
      </c>
      <c r="N37" s="726"/>
      <c r="O37" s="727"/>
      <c r="P37" s="724">
        <v>0</v>
      </c>
      <c r="Q37" s="724">
        <v>0</v>
      </c>
      <c r="R37" s="724">
        <v>0</v>
      </c>
      <c r="S37" s="724">
        <v>0</v>
      </c>
      <c r="T37" s="724">
        <v>0</v>
      </c>
      <c r="U37" s="724">
        <f t="shared" si="1"/>
        <v>0</v>
      </c>
      <c r="V37" s="724"/>
      <c r="W37" s="724"/>
      <c r="X37" s="724"/>
      <c r="Y37" s="726"/>
      <c r="Z37" s="724"/>
      <c r="AA37" s="726"/>
      <c r="AB37" s="724"/>
      <c r="AC37" s="537"/>
      <c r="AD37" s="537"/>
      <c r="AE37" s="537"/>
      <c r="AF37" s="537" t="s">
        <v>444</v>
      </c>
      <c r="AG37" s="537"/>
      <c r="AH37" s="537"/>
      <c r="AI37" s="537"/>
      <c r="AJ37" s="537"/>
      <c r="AK37" s="727"/>
      <c r="AL37" s="390">
        <f t="shared" si="2"/>
        <v>1</v>
      </c>
      <c r="AM37" s="729"/>
      <c r="AN37" s="730"/>
      <c r="AO37" s="731"/>
      <c r="AP37" s="732"/>
      <c r="AQ37" s="850"/>
      <c r="AR37" s="848"/>
      <c r="AS37" s="733"/>
      <c r="AT37" s="852"/>
      <c r="AU37" s="858"/>
      <c r="AV37" s="1015"/>
      <c r="AW37" s="1020"/>
      <c r="AX37" s="1020"/>
      <c r="AY37" s="1020"/>
      <c r="AZ37" s="898"/>
      <c r="BA37" s="1024"/>
      <c r="BE37" s="545">
        <v>31</v>
      </c>
      <c r="BF37" s="582" t="s">
        <v>205</v>
      </c>
      <c r="BG37" s="280">
        <f t="shared" si="3"/>
        <v>2</v>
      </c>
      <c r="BH37" s="282">
        <f t="shared" si="4"/>
        <v>0</v>
      </c>
      <c r="BI37" s="565">
        <f t="shared" si="5"/>
        <v>0</v>
      </c>
      <c r="BJ37" s="566">
        <f t="shared" si="6"/>
        <v>0</v>
      </c>
      <c r="BK37" s="274">
        <f>SUM(BG23:BG37)</f>
        <v>19</v>
      </c>
      <c r="BL37" s="273">
        <f t="shared" ref="BL37:BN37" si="30">SUM(BH23:BH37)</f>
        <v>0</v>
      </c>
      <c r="BM37" s="273">
        <f t="shared" si="30"/>
        <v>0</v>
      </c>
      <c r="BN37" s="273">
        <f t="shared" si="30"/>
        <v>0</v>
      </c>
      <c r="BQ37" s="299">
        <f t="shared" si="7"/>
        <v>2</v>
      </c>
      <c r="BR37" s="300">
        <f t="shared" si="8"/>
        <v>2</v>
      </c>
      <c r="BS37" s="300">
        <f t="shared" si="9"/>
        <v>2</v>
      </c>
      <c r="BT37" s="301">
        <f t="shared" si="10"/>
        <v>2</v>
      </c>
      <c r="BU37" s="303">
        <f t="shared" si="11"/>
        <v>0</v>
      </c>
      <c r="BV37" s="257">
        <f t="shared" si="12"/>
        <v>1</v>
      </c>
      <c r="BW37" s="456">
        <f t="shared" si="13"/>
        <v>1</v>
      </c>
      <c r="BX37" s="459">
        <f t="shared" si="14"/>
        <v>0</v>
      </c>
      <c r="BY37" s="311">
        <f t="shared" si="23"/>
        <v>2</v>
      </c>
      <c r="CC37" s="545"/>
      <c r="CD37" s="577">
        <f t="shared" si="15"/>
        <v>0</v>
      </c>
      <c r="CH37" s="545"/>
      <c r="CK37" s="545"/>
      <c r="CM37" s="571"/>
      <c r="CN37" s="545"/>
      <c r="CO37" s="545"/>
      <c r="CR37" s="571"/>
      <c r="CS37" s="545"/>
      <c r="CW37" s="545"/>
      <c r="CX37" s="572"/>
      <c r="CY37" s="545"/>
      <c r="CZ37" s="562">
        <f t="shared" si="24"/>
        <v>0</v>
      </c>
      <c r="DA37" s="545"/>
      <c r="DB37" s="571"/>
      <c r="DC37" s="545"/>
      <c r="DE37" s="545"/>
      <c r="DH37" s="562">
        <f t="shared" si="29"/>
        <v>0</v>
      </c>
      <c r="DM37" s="547" t="str">
        <f t="shared" si="0"/>
        <v>Hea 9</v>
      </c>
      <c r="DN37" s="547">
        <f t="shared" si="25"/>
        <v>2</v>
      </c>
      <c r="DO37" s="547">
        <f t="shared" si="26"/>
        <v>0</v>
      </c>
      <c r="DP37" s="547">
        <f t="shared" si="27"/>
        <v>2</v>
      </c>
      <c r="DQ37" s="273">
        <f>SUM(DN23:DN37)</f>
        <v>19</v>
      </c>
      <c r="DR37" s="273">
        <f>SUM(DO23:DO37)</f>
        <v>0</v>
      </c>
      <c r="DS37" s="273">
        <f>SUM(DT23:DT37)</f>
        <v>19</v>
      </c>
      <c r="DT37" s="547">
        <f t="shared" si="28"/>
        <v>2</v>
      </c>
      <c r="EE37" s="582" t="str">
        <f t="shared" si="16"/>
        <v>Hea 9</v>
      </c>
      <c r="EG37" s="439">
        <f t="shared" si="17"/>
        <v>0</v>
      </c>
      <c r="EH37" s="440">
        <f t="shared" si="18"/>
        <v>0</v>
      </c>
      <c r="EI37" s="440">
        <f t="shared" si="19"/>
        <v>1</v>
      </c>
      <c r="EJ37" s="541">
        <f t="shared" si="20"/>
        <v>2</v>
      </c>
      <c r="EK37" s="541">
        <f t="shared" si="21"/>
        <v>2</v>
      </c>
      <c r="EL37" s="573">
        <f t="shared" si="22"/>
        <v>2</v>
      </c>
    </row>
    <row r="38" spans="1:142" ht="30" x14ac:dyDescent="0.25">
      <c r="A38" s="982">
        <v>5</v>
      </c>
      <c r="B38" s="983">
        <v>7</v>
      </c>
      <c r="C38" s="851" t="s">
        <v>75</v>
      </c>
      <c r="D38" s="1003" t="s">
        <v>696</v>
      </c>
      <c r="E38" s="726">
        <v>1</v>
      </c>
      <c r="F38" s="537">
        <v>1</v>
      </c>
      <c r="G38" s="537">
        <v>1</v>
      </c>
      <c r="H38" s="537">
        <v>0</v>
      </c>
      <c r="I38" s="725">
        <v>0</v>
      </c>
      <c r="J38" s="724">
        <v>1</v>
      </c>
      <c r="K38" s="537">
        <v>1</v>
      </c>
      <c r="L38" s="537">
        <v>1</v>
      </c>
      <c r="M38" s="727">
        <v>1</v>
      </c>
      <c r="N38" s="726"/>
      <c r="O38" s="727"/>
      <c r="P38" s="724">
        <v>0</v>
      </c>
      <c r="Q38" s="724">
        <v>0</v>
      </c>
      <c r="R38" s="724">
        <v>0</v>
      </c>
      <c r="S38" s="724">
        <v>0</v>
      </c>
      <c r="T38" s="724">
        <v>0</v>
      </c>
      <c r="U38" s="724">
        <f t="shared" si="1"/>
        <v>0</v>
      </c>
      <c r="V38" s="724"/>
      <c r="W38" s="724"/>
      <c r="X38" s="724"/>
      <c r="Y38" s="726"/>
      <c r="Z38" s="724"/>
      <c r="AA38" s="726"/>
      <c r="AB38" s="724"/>
      <c r="AC38" s="537"/>
      <c r="AD38" s="537"/>
      <c r="AE38" s="537"/>
      <c r="AF38" s="537"/>
      <c r="AG38" s="537"/>
      <c r="AH38" s="537"/>
      <c r="AI38" s="537"/>
      <c r="AJ38" s="537"/>
      <c r="AK38" s="727"/>
      <c r="AL38" s="390">
        <f t="shared" si="2"/>
        <v>1</v>
      </c>
      <c r="AM38" s="729"/>
      <c r="AN38" s="730"/>
      <c r="AO38" s="731"/>
      <c r="AP38" s="732"/>
      <c r="AQ38" s="850"/>
      <c r="AR38" s="848"/>
      <c r="AS38" s="733"/>
      <c r="AT38" s="852"/>
      <c r="AU38" s="858"/>
      <c r="AV38" s="1015"/>
      <c r="AW38" s="1020"/>
      <c r="AX38" s="1020"/>
      <c r="AY38" s="1020"/>
      <c r="AZ38" s="898"/>
      <c r="BA38" s="1024"/>
      <c r="BE38" s="545">
        <v>32</v>
      </c>
      <c r="BF38" s="583" t="s">
        <v>111</v>
      </c>
      <c r="BG38" s="281">
        <f t="shared" si="3"/>
        <v>1</v>
      </c>
      <c r="BH38" s="282">
        <f t="shared" si="4"/>
        <v>0</v>
      </c>
      <c r="BI38" s="565">
        <f t="shared" si="5"/>
        <v>0</v>
      </c>
      <c r="BJ38" s="566">
        <f t="shared" si="6"/>
        <v>0</v>
      </c>
      <c r="BQ38" s="298">
        <f t="shared" si="7"/>
        <v>1</v>
      </c>
      <c r="BR38" s="257">
        <f t="shared" si="8"/>
        <v>1</v>
      </c>
      <c r="BS38" s="257">
        <f t="shared" si="9"/>
        <v>1</v>
      </c>
      <c r="BT38" s="302">
        <f t="shared" si="10"/>
        <v>1</v>
      </c>
      <c r="BU38" s="303">
        <f t="shared" si="11"/>
        <v>1</v>
      </c>
      <c r="BV38" s="257">
        <f t="shared" si="12"/>
        <v>0</v>
      </c>
      <c r="BW38" s="456">
        <f t="shared" si="13"/>
        <v>1</v>
      </c>
      <c r="BX38" s="459">
        <f t="shared" si="14"/>
        <v>0</v>
      </c>
      <c r="BY38" s="311">
        <f t="shared" si="23"/>
        <v>1</v>
      </c>
      <c r="CC38" s="545"/>
      <c r="CD38" s="570">
        <f t="shared" si="15"/>
        <v>0</v>
      </c>
      <c r="CH38" s="545"/>
      <c r="CK38" s="545"/>
      <c r="CM38" s="571"/>
      <c r="CN38" s="545"/>
      <c r="CO38" s="545"/>
      <c r="CR38" s="571"/>
      <c r="CS38" s="545"/>
      <c r="CW38" s="545"/>
      <c r="CX38" s="572"/>
      <c r="CY38" s="545"/>
      <c r="CZ38" s="562">
        <f t="shared" si="24"/>
        <v>0</v>
      </c>
      <c r="DA38" s="545"/>
      <c r="DB38" s="571"/>
      <c r="DC38" s="545"/>
      <c r="DE38" s="545"/>
      <c r="DH38" s="562">
        <f t="shared" si="29"/>
        <v>0</v>
      </c>
      <c r="DM38" s="547" t="str">
        <f t="shared" si="0"/>
        <v>LE 1</v>
      </c>
      <c r="DN38" s="547">
        <f t="shared" si="25"/>
        <v>1</v>
      </c>
      <c r="DO38" s="547">
        <f t="shared" si="26"/>
        <v>0</v>
      </c>
      <c r="DP38" s="547">
        <f t="shared" si="27"/>
        <v>1</v>
      </c>
      <c r="DT38" s="547">
        <f t="shared" si="28"/>
        <v>1</v>
      </c>
      <c r="EE38" s="583" t="str">
        <f t="shared" si="16"/>
        <v>LE 1</v>
      </c>
      <c r="EG38" s="439">
        <f t="shared" si="17"/>
        <v>0</v>
      </c>
      <c r="EH38" s="440">
        <f t="shared" si="18"/>
        <v>0</v>
      </c>
      <c r="EI38" s="440">
        <f t="shared" si="19"/>
        <v>0</v>
      </c>
      <c r="EJ38" s="541">
        <f t="shared" si="20"/>
        <v>0</v>
      </c>
      <c r="EK38" s="541">
        <f t="shared" si="21"/>
        <v>0</v>
      </c>
      <c r="EL38" s="573">
        <f t="shared" si="22"/>
        <v>0</v>
      </c>
    </row>
    <row r="39" spans="1:142" ht="45" x14ac:dyDescent="0.25">
      <c r="A39" s="982">
        <v>5</v>
      </c>
      <c r="B39" s="983">
        <v>8</v>
      </c>
      <c r="C39" s="851" t="s">
        <v>73</v>
      </c>
      <c r="D39" s="1003" t="s">
        <v>423</v>
      </c>
      <c r="E39" s="726">
        <v>1</v>
      </c>
      <c r="F39" s="537">
        <v>1</v>
      </c>
      <c r="G39" s="537">
        <v>1</v>
      </c>
      <c r="H39" s="537">
        <v>0</v>
      </c>
      <c r="I39" s="725">
        <v>0</v>
      </c>
      <c r="J39" s="724">
        <v>2</v>
      </c>
      <c r="K39" s="537">
        <v>2</v>
      </c>
      <c r="L39" s="537">
        <v>2</v>
      </c>
      <c r="M39" s="727">
        <v>2</v>
      </c>
      <c r="N39" s="726"/>
      <c r="O39" s="727"/>
      <c r="P39" s="724">
        <v>0</v>
      </c>
      <c r="Q39" s="724">
        <v>0</v>
      </c>
      <c r="R39" s="724">
        <v>1</v>
      </c>
      <c r="S39" s="724">
        <v>1</v>
      </c>
      <c r="T39" s="724">
        <v>2</v>
      </c>
      <c r="U39" s="724">
        <f t="shared" si="1"/>
        <v>2</v>
      </c>
      <c r="V39" s="724"/>
      <c r="W39" s="724"/>
      <c r="X39" s="724"/>
      <c r="Y39" s="726"/>
      <c r="Z39" s="724"/>
      <c r="AA39" s="726"/>
      <c r="AB39" s="724"/>
      <c r="AC39" s="537"/>
      <c r="AD39" s="537"/>
      <c r="AE39" s="537"/>
      <c r="AF39" s="897" t="s">
        <v>444</v>
      </c>
      <c r="AG39" s="897"/>
      <c r="AH39" s="897"/>
      <c r="AI39" s="537"/>
      <c r="AJ39" s="537"/>
      <c r="AK39" s="727"/>
      <c r="AL39" s="390">
        <f t="shared" si="2"/>
        <v>2</v>
      </c>
      <c r="AM39" s="729"/>
      <c r="AN39" s="730"/>
      <c r="AO39" s="731"/>
      <c r="AP39" s="732"/>
      <c r="AQ39" s="850"/>
      <c r="AR39" s="848"/>
      <c r="AS39" s="733"/>
      <c r="AT39" s="852"/>
      <c r="AU39" s="858"/>
      <c r="AV39" s="1015"/>
      <c r="AW39" s="1020"/>
      <c r="AX39" s="1020"/>
      <c r="AY39" s="1020"/>
      <c r="AZ39" s="898"/>
      <c r="BA39" s="1024"/>
      <c r="BE39" s="545">
        <v>33</v>
      </c>
      <c r="BF39" s="564" t="s">
        <v>265</v>
      </c>
      <c r="BG39" s="276">
        <f t="shared" si="3"/>
        <v>1</v>
      </c>
      <c r="BH39" s="282">
        <f t="shared" si="4"/>
        <v>0</v>
      </c>
      <c r="BI39" s="565">
        <f t="shared" si="5"/>
        <v>0</v>
      </c>
      <c r="BJ39" s="566">
        <f t="shared" si="6"/>
        <v>0</v>
      </c>
      <c r="BQ39" s="298">
        <f t="shared" si="7"/>
        <v>1</v>
      </c>
      <c r="BR39" s="257">
        <f t="shared" si="8"/>
        <v>1</v>
      </c>
      <c r="BS39" s="257">
        <f t="shared" si="9"/>
        <v>1</v>
      </c>
      <c r="BT39" s="302">
        <f t="shared" si="10"/>
        <v>1</v>
      </c>
      <c r="BU39" s="303">
        <f t="shared" si="11"/>
        <v>1</v>
      </c>
      <c r="BV39" s="257">
        <f t="shared" si="12"/>
        <v>0</v>
      </c>
      <c r="BW39" s="456">
        <f t="shared" si="13"/>
        <v>1</v>
      </c>
      <c r="BX39" s="459">
        <f t="shared" si="14"/>
        <v>0</v>
      </c>
      <c r="BY39" s="311">
        <f t="shared" si="23"/>
        <v>1</v>
      </c>
      <c r="CC39" s="545"/>
      <c r="CD39" s="570">
        <f t="shared" si="15"/>
        <v>0</v>
      </c>
      <c r="CH39" s="545"/>
      <c r="CK39" s="545"/>
      <c r="CM39" s="571"/>
      <c r="CN39" s="545"/>
      <c r="CO39" s="545"/>
      <c r="CR39" s="571"/>
      <c r="CS39" s="545"/>
      <c r="CW39" s="545"/>
      <c r="CX39" s="572"/>
      <c r="CY39" s="545"/>
      <c r="CZ39" s="562">
        <f t="shared" si="24"/>
        <v>0</v>
      </c>
      <c r="DA39" s="545"/>
      <c r="DB39" s="571"/>
      <c r="DC39" s="545"/>
      <c r="DE39" s="545"/>
      <c r="DH39" s="562">
        <f t="shared" si="29"/>
        <v>0</v>
      </c>
      <c r="DM39" s="547" t="str">
        <f t="shared" si="0"/>
        <v>LE 2</v>
      </c>
      <c r="DN39" s="547">
        <f t="shared" si="25"/>
        <v>1</v>
      </c>
      <c r="DO39" s="547">
        <f t="shared" si="26"/>
        <v>0</v>
      </c>
      <c r="DP39" s="547">
        <f t="shared" si="27"/>
        <v>1</v>
      </c>
      <c r="DT39" s="547">
        <f t="shared" si="28"/>
        <v>1</v>
      </c>
      <c r="EE39" s="564" t="str">
        <f t="shared" si="16"/>
        <v>LE 2</v>
      </c>
      <c r="EG39" s="439">
        <f t="shared" si="17"/>
        <v>0</v>
      </c>
      <c r="EH39" s="440">
        <f t="shared" si="18"/>
        <v>0</v>
      </c>
      <c r="EI39" s="440">
        <f t="shared" si="19"/>
        <v>0</v>
      </c>
      <c r="EJ39" s="541">
        <f t="shared" si="20"/>
        <v>0</v>
      </c>
      <c r="EK39" s="541">
        <f t="shared" si="21"/>
        <v>0</v>
      </c>
      <c r="EL39" s="573">
        <f t="shared" si="22"/>
        <v>0</v>
      </c>
    </row>
    <row r="40" spans="1:142" ht="30" x14ac:dyDescent="0.25">
      <c r="A40" s="982">
        <v>5</v>
      </c>
      <c r="B40" s="983">
        <v>9</v>
      </c>
      <c r="C40" s="851" t="s">
        <v>205</v>
      </c>
      <c r="D40" s="1003" t="s">
        <v>424</v>
      </c>
      <c r="E40" s="726">
        <v>0</v>
      </c>
      <c r="F40" s="537">
        <v>1</v>
      </c>
      <c r="G40" s="537">
        <v>1</v>
      </c>
      <c r="H40" s="537">
        <v>1</v>
      </c>
      <c r="I40" s="725">
        <v>1</v>
      </c>
      <c r="J40" s="724">
        <v>2</v>
      </c>
      <c r="K40" s="537">
        <v>2</v>
      </c>
      <c r="L40" s="537">
        <v>2</v>
      </c>
      <c r="M40" s="727">
        <v>2</v>
      </c>
      <c r="N40" s="726"/>
      <c r="O40" s="727"/>
      <c r="P40" s="724">
        <v>0</v>
      </c>
      <c r="Q40" s="724">
        <v>0</v>
      </c>
      <c r="R40" s="724">
        <v>1</v>
      </c>
      <c r="S40" s="724">
        <v>2</v>
      </c>
      <c r="T40" s="724">
        <v>2</v>
      </c>
      <c r="U40" s="724">
        <f t="shared" si="1"/>
        <v>2</v>
      </c>
      <c r="V40" s="724"/>
      <c r="W40" s="724"/>
      <c r="X40" s="724"/>
      <c r="Y40" s="726"/>
      <c r="Z40" s="724"/>
      <c r="AA40" s="726"/>
      <c r="AB40" s="724"/>
      <c r="AC40" s="537"/>
      <c r="AD40" s="537"/>
      <c r="AE40" s="537"/>
      <c r="AF40" s="537" t="s">
        <v>444</v>
      </c>
      <c r="AG40" s="537"/>
      <c r="AH40" s="537"/>
      <c r="AI40" s="537"/>
      <c r="AJ40" s="537"/>
      <c r="AK40" s="727"/>
      <c r="AL40" s="390">
        <f t="shared" si="2"/>
        <v>2</v>
      </c>
      <c r="AM40" s="729"/>
      <c r="AN40" s="730"/>
      <c r="AO40" s="731"/>
      <c r="AP40" s="732"/>
      <c r="AQ40" s="850"/>
      <c r="AR40" s="848"/>
      <c r="AS40" s="733"/>
      <c r="AT40" s="852"/>
      <c r="AU40" s="858"/>
      <c r="AV40" s="1015"/>
      <c r="AW40" s="1020"/>
      <c r="AX40" s="1020"/>
      <c r="AY40" s="1020"/>
      <c r="AZ40" s="898"/>
      <c r="BA40" s="1024"/>
      <c r="BE40" s="545">
        <v>34</v>
      </c>
      <c r="BF40" s="564" t="s">
        <v>174</v>
      </c>
      <c r="BG40" s="276">
        <f t="shared" si="3"/>
        <v>1</v>
      </c>
      <c r="BH40" s="282">
        <f t="shared" si="4"/>
        <v>0</v>
      </c>
      <c r="BI40" s="565">
        <f t="shared" si="5"/>
        <v>0</v>
      </c>
      <c r="BJ40" s="566">
        <f t="shared" si="6"/>
        <v>0</v>
      </c>
      <c r="BQ40" s="298">
        <f t="shared" si="7"/>
        <v>1</v>
      </c>
      <c r="BR40" s="257">
        <f t="shared" si="8"/>
        <v>1</v>
      </c>
      <c r="BS40" s="257">
        <f t="shared" si="9"/>
        <v>1</v>
      </c>
      <c r="BT40" s="302">
        <f t="shared" si="10"/>
        <v>1</v>
      </c>
      <c r="BU40" s="303">
        <f t="shared" si="11"/>
        <v>1</v>
      </c>
      <c r="BV40" s="257">
        <f t="shared" si="12"/>
        <v>0</v>
      </c>
      <c r="BW40" s="456">
        <f t="shared" si="13"/>
        <v>1</v>
      </c>
      <c r="BX40" s="459">
        <f t="shared" si="14"/>
        <v>0</v>
      </c>
      <c r="BY40" s="311">
        <f t="shared" si="23"/>
        <v>1</v>
      </c>
      <c r="CC40" s="545"/>
      <c r="CD40" s="570">
        <f t="shared" si="15"/>
        <v>0</v>
      </c>
      <c r="CH40" s="545"/>
      <c r="CK40" s="545"/>
      <c r="CM40" s="571"/>
      <c r="CN40" s="545"/>
      <c r="CO40" s="545"/>
      <c r="CR40" s="571"/>
      <c r="CS40" s="545"/>
      <c r="CW40" s="545"/>
      <c r="CX40" s="572"/>
      <c r="CY40" s="545"/>
      <c r="CZ40" s="562">
        <f t="shared" si="24"/>
        <v>0</v>
      </c>
      <c r="DA40" s="545"/>
      <c r="DB40" s="571"/>
      <c r="DC40" s="545"/>
      <c r="DE40" s="545"/>
      <c r="DH40" s="562">
        <f t="shared" si="29"/>
        <v>0</v>
      </c>
      <c r="DM40" s="547" t="str">
        <f t="shared" si="0"/>
        <v>LE 3</v>
      </c>
      <c r="DN40" s="547">
        <f t="shared" si="25"/>
        <v>1</v>
      </c>
      <c r="DO40" s="547">
        <f t="shared" si="26"/>
        <v>0</v>
      </c>
      <c r="DP40" s="547">
        <f t="shared" si="27"/>
        <v>1</v>
      </c>
      <c r="DT40" s="547">
        <f t="shared" si="28"/>
        <v>1</v>
      </c>
      <c r="EE40" s="564" t="str">
        <f t="shared" si="16"/>
        <v>LE 3</v>
      </c>
      <c r="EG40" s="439">
        <f t="shared" si="17"/>
        <v>0</v>
      </c>
      <c r="EH40" s="440">
        <f t="shared" si="18"/>
        <v>0</v>
      </c>
      <c r="EI40" s="440">
        <f t="shared" si="19"/>
        <v>0</v>
      </c>
      <c r="EJ40" s="541">
        <f t="shared" si="20"/>
        <v>0</v>
      </c>
      <c r="EK40" s="541">
        <f t="shared" si="21"/>
        <v>0</v>
      </c>
      <c r="EL40" s="573">
        <f t="shared" si="22"/>
        <v>0</v>
      </c>
    </row>
    <row r="41" spans="1:142" ht="45.75" thickBot="1" x14ac:dyDescent="0.3">
      <c r="A41" s="982">
        <v>5</v>
      </c>
      <c r="B41" s="983">
        <v>9</v>
      </c>
      <c r="C41" s="851" t="s">
        <v>595</v>
      </c>
      <c r="D41" s="1003" t="s">
        <v>605</v>
      </c>
      <c r="E41" s="726">
        <v>1</v>
      </c>
      <c r="F41" s="537">
        <v>1</v>
      </c>
      <c r="G41" s="537">
        <v>1</v>
      </c>
      <c r="H41" s="537">
        <v>0</v>
      </c>
      <c r="I41" s="725">
        <v>1</v>
      </c>
      <c r="J41" s="724">
        <v>1</v>
      </c>
      <c r="K41" s="537">
        <v>1</v>
      </c>
      <c r="L41" s="537">
        <v>1</v>
      </c>
      <c r="M41" s="727">
        <v>1</v>
      </c>
      <c r="N41" s="726"/>
      <c r="O41" s="727"/>
      <c r="P41" s="724">
        <v>0</v>
      </c>
      <c r="Q41" s="724">
        <v>0</v>
      </c>
      <c r="R41" s="724">
        <v>0</v>
      </c>
      <c r="S41" s="724">
        <v>0</v>
      </c>
      <c r="T41" s="724">
        <v>0</v>
      </c>
      <c r="U41" s="724">
        <f t="shared" ref="U41:U72" si="31">VLOOKUP(C41,$EE$9:$EL$99,$EL$107,FALSE)</f>
        <v>0</v>
      </c>
      <c r="V41" s="724"/>
      <c r="W41" s="724"/>
      <c r="X41" s="724"/>
      <c r="Y41" s="726"/>
      <c r="Z41" s="724"/>
      <c r="AA41" s="726"/>
      <c r="AB41" s="724"/>
      <c r="AC41" s="537"/>
      <c r="AD41" s="537"/>
      <c r="AE41" s="537"/>
      <c r="AF41" s="537"/>
      <c r="AG41" s="537"/>
      <c r="AH41" s="537"/>
      <c r="AI41" s="537"/>
      <c r="AJ41" s="537"/>
      <c r="AK41" s="727"/>
      <c r="AL41" s="390">
        <f t="shared" ref="AL41:AL72" si="32">VLOOKUP(C41,$DM$9:$DP$98,$DP$6,FALSE)</f>
        <v>1</v>
      </c>
      <c r="AM41" s="729"/>
      <c r="AN41" s="730"/>
      <c r="AO41" s="731"/>
      <c r="AP41" s="732"/>
      <c r="AQ41" s="850"/>
      <c r="AR41" s="848"/>
      <c r="AS41" s="917"/>
      <c r="AT41" s="931"/>
      <c r="AU41" s="937"/>
      <c r="AV41" s="1015"/>
      <c r="AW41" s="1020"/>
      <c r="AX41" s="1020"/>
      <c r="AY41" s="1020"/>
      <c r="AZ41" s="898"/>
      <c r="BA41" s="1024"/>
      <c r="BE41" s="545">
        <v>35</v>
      </c>
      <c r="BF41" s="564" t="s">
        <v>263</v>
      </c>
      <c r="BG41" s="276">
        <f t="shared" si="3"/>
        <v>5</v>
      </c>
      <c r="BH41" s="282">
        <f t="shared" si="4"/>
        <v>0</v>
      </c>
      <c r="BI41" s="565">
        <f t="shared" si="5"/>
        <v>0</v>
      </c>
      <c r="BJ41" s="566">
        <f t="shared" si="6"/>
        <v>0</v>
      </c>
      <c r="BQ41" s="298">
        <f t="shared" si="7"/>
        <v>5</v>
      </c>
      <c r="BR41" s="257">
        <f t="shared" si="8"/>
        <v>5</v>
      </c>
      <c r="BS41" s="257">
        <f t="shared" si="9"/>
        <v>5</v>
      </c>
      <c r="BT41" s="302">
        <f t="shared" si="10"/>
        <v>5</v>
      </c>
      <c r="BU41" s="303">
        <f t="shared" si="11"/>
        <v>1</v>
      </c>
      <c r="BV41" s="257">
        <f t="shared" si="12"/>
        <v>0</v>
      </c>
      <c r="BW41" s="456">
        <f t="shared" si="13"/>
        <v>1</v>
      </c>
      <c r="BX41" s="459">
        <f t="shared" si="14"/>
        <v>0</v>
      </c>
      <c r="BY41" s="311">
        <f t="shared" si="23"/>
        <v>5</v>
      </c>
      <c r="CC41" s="545"/>
      <c r="CD41" s="570">
        <f t="shared" si="15"/>
        <v>0</v>
      </c>
      <c r="CH41" s="545"/>
      <c r="CK41" s="545"/>
      <c r="CM41" s="571"/>
      <c r="CN41" s="545"/>
      <c r="CO41" s="545"/>
      <c r="CR41" s="571"/>
      <c r="CS41" s="545"/>
      <c r="CW41" s="545"/>
      <c r="CX41" s="572"/>
      <c r="CY41" s="545"/>
      <c r="CZ41" s="562">
        <f t="shared" si="24"/>
        <v>0</v>
      </c>
      <c r="DA41" s="545"/>
      <c r="DB41" s="571"/>
      <c r="DC41" s="545"/>
      <c r="DE41" s="545"/>
      <c r="DH41" s="562">
        <f t="shared" si="29"/>
        <v>0</v>
      </c>
      <c r="DM41" s="547" t="str">
        <f t="shared" si="0"/>
        <v>LE 4</v>
      </c>
      <c r="DN41" s="547">
        <f t="shared" si="25"/>
        <v>5</v>
      </c>
      <c r="DO41" s="547">
        <f>IF(SUM(BZ41:DL41)&gt;DN41,DN41,SUM(BZ41:DL41))</f>
        <v>0</v>
      </c>
      <c r="DP41" s="547">
        <f t="shared" si="27"/>
        <v>5</v>
      </c>
      <c r="DQ41" s="592" t="s">
        <v>493</v>
      </c>
      <c r="DR41" s="593"/>
      <c r="DS41" s="593"/>
      <c r="DT41" s="547">
        <f t="shared" si="28"/>
        <v>5</v>
      </c>
      <c r="EE41" s="564" t="str">
        <f t="shared" ref="EE41:EE72" si="33">BF41</f>
        <v>LE 4</v>
      </c>
      <c r="EG41" s="439">
        <f t="shared" si="17"/>
        <v>0</v>
      </c>
      <c r="EH41" s="440">
        <f t="shared" si="18"/>
        <v>0</v>
      </c>
      <c r="EI41" s="440">
        <f t="shared" si="19"/>
        <v>0</v>
      </c>
      <c r="EJ41" s="541">
        <f t="shared" si="20"/>
        <v>0</v>
      </c>
      <c r="EK41" s="541">
        <f t="shared" si="21"/>
        <v>0</v>
      </c>
      <c r="EL41" s="573">
        <f t="shared" ref="EL41:EL72" si="34">IF(DP41=0,0,HLOOKUP((IF($D$7=$EF$9,$P$8,IF($D$7=$EF$10,$Q$8,IF($D$7=$EF$11,$R$8,IF($D$7=$EF$12,$S$8,$T$8))))),$EG$8:$EK$104,BE40,FALSE))</f>
        <v>0</v>
      </c>
    </row>
    <row r="42" spans="1:142" ht="60" x14ac:dyDescent="0.25">
      <c r="A42" s="982">
        <v>11</v>
      </c>
      <c r="B42" s="983">
        <v>1</v>
      </c>
      <c r="C42" s="851" t="s">
        <v>111</v>
      </c>
      <c r="D42" s="1003" t="s">
        <v>110</v>
      </c>
      <c r="E42" s="726">
        <v>1</v>
      </c>
      <c r="F42" s="537">
        <v>1</v>
      </c>
      <c r="G42" s="537">
        <v>0</v>
      </c>
      <c r="H42" s="537">
        <v>0</v>
      </c>
      <c r="I42" s="725">
        <v>1</v>
      </c>
      <c r="J42" s="724">
        <v>1</v>
      </c>
      <c r="K42" s="537">
        <v>1</v>
      </c>
      <c r="L42" s="537">
        <v>1</v>
      </c>
      <c r="M42" s="727">
        <v>1</v>
      </c>
      <c r="N42" s="726"/>
      <c r="O42" s="727"/>
      <c r="P42" s="724">
        <v>0</v>
      </c>
      <c r="Q42" s="724">
        <v>0</v>
      </c>
      <c r="R42" s="724">
        <v>0</v>
      </c>
      <c r="S42" s="724">
        <v>0</v>
      </c>
      <c r="T42" s="724">
        <v>0</v>
      </c>
      <c r="U42" s="724">
        <f t="shared" si="31"/>
        <v>0</v>
      </c>
      <c r="V42" s="724"/>
      <c r="W42" s="724"/>
      <c r="X42" s="724"/>
      <c r="Y42" s="726"/>
      <c r="Z42" s="724"/>
      <c r="AA42" s="726"/>
      <c r="AB42" s="724"/>
      <c r="AC42" s="537"/>
      <c r="AD42" s="537"/>
      <c r="AE42" s="537"/>
      <c r="AF42" s="537"/>
      <c r="AG42" s="537"/>
      <c r="AH42" s="537"/>
      <c r="AI42" s="537"/>
      <c r="AJ42" s="537"/>
      <c r="AK42" s="727"/>
      <c r="AL42" s="390">
        <f t="shared" si="32"/>
        <v>1</v>
      </c>
      <c r="AM42" s="729"/>
      <c r="AN42" s="730"/>
      <c r="AO42" s="731"/>
      <c r="AP42" s="732"/>
      <c r="AQ42" s="850"/>
      <c r="AR42" s="848"/>
      <c r="AS42" s="733"/>
      <c r="AT42" s="852"/>
      <c r="AU42" s="858"/>
      <c r="AV42" s="1015"/>
      <c r="AW42" s="1020"/>
      <c r="AX42" s="1020"/>
      <c r="AY42" s="1020"/>
      <c r="AZ42" s="898"/>
      <c r="BA42" s="1024"/>
      <c r="BE42" s="545">
        <v>36</v>
      </c>
      <c r="BF42" s="564" t="s">
        <v>233</v>
      </c>
      <c r="BG42" s="276">
        <f t="shared" si="3"/>
        <v>2</v>
      </c>
      <c r="BH42" s="282">
        <f t="shared" si="4"/>
        <v>0</v>
      </c>
      <c r="BI42" s="565">
        <f t="shared" si="5"/>
        <v>0</v>
      </c>
      <c r="BJ42" s="566">
        <f t="shared" si="6"/>
        <v>0</v>
      </c>
      <c r="BK42" s="1236" t="s">
        <v>493</v>
      </c>
      <c r="BL42" s="1237"/>
      <c r="BM42" s="1237"/>
      <c r="BN42" s="1237"/>
      <c r="BQ42" s="567">
        <f t="shared" si="7"/>
        <v>2</v>
      </c>
      <c r="BR42" s="568">
        <f t="shared" si="8"/>
        <v>2</v>
      </c>
      <c r="BS42" s="568">
        <f t="shared" si="9"/>
        <v>2</v>
      </c>
      <c r="BT42" s="569">
        <f t="shared" si="10"/>
        <v>2</v>
      </c>
      <c r="BU42" s="303">
        <f t="shared" si="11"/>
        <v>1</v>
      </c>
      <c r="BV42" s="257">
        <f t="shared" si="12"/>
        <v>0</v>
      </c>
      <c r="BW42" s="456">
        <f t="shared" si="13"/>
        <v>1</v>
      </c>
      <c r="BX42" s="459">
        <f t="shared" si="14"/>
        <v>0</v>
      </c>
      <c r="BY42" s="311">
        <f t="shared" si="23"/>
        <v>2</v>
      </c>
      <c r="CC42" s="545"/>
      <c r="CD42" s="559">
        <f t="shared" si="15"/>
        <v>0</v>
      </c>
      <c r="CH42" s="545"/>
      <c r="CK42" s="545"/>
      <c r="CM42" s="571"/>
      <c r="CN42" s="545"/>
      <c r="CO42" s="545"/>
      <c r="CR42" s="571"/>
      <c r="CS42" s="545"/>
      <c r="CW42" s="545"/>
      <c r="CX42" s="572"/>
      <c r="CY42" s="545"/>
      <c r="CZ42" s="828">
        <f t="shared" si="24"/>
        <v>0</v>
      </c>
      <c r="DA42" s="545"/>
      <c r="DB42" s="571"/>
      <c r="DC42" s="545"/>
      <c r="DE42" s="545"/>
      <c r="DH42" s="562">
        <f t="shared" si="29"/>
        <v>0</v>
      </c>
      <c r="DM42" s="547" t="str">
        <f t="shared" si="0"/>
        <v>LE 6</v>
      </c>
      <c r="DN42" s="547">
        <f t="shared" si="25"/>
        <v>2</v>
      </c>
      <c r="DO42" s="547">
        <f t="shared" si="26"/>
        <v>0</v>
      </c>
      <c r="DP42" s="547">
        <f t="shared" si="27"/>
        <v>2</v>
      </c>
      <c r="DQ42" s="289" t="s">
        <v>664</v>
      </c>
      <c r="DR42" s="264" t="s">
        <v>665</v>
      </c>
      <c r="DS42" s="343" t="s">
        <v>710</v>
      </c>
      <c r="DT42" s="547">
        <f t="shared" si="28"/>
        <v>2</v>
      </c>
      <c r="EE42" s="564" t="str">
        <f t="shared" si="33"/>
        <v>LE 6</v>
      </c>
      <c r="EG42" s="439">
        <f t="shared" si="17"/>
        <v>0</v>
      </c>
      <c r="EH42" s="440">
        <f t="shared" si="18"/>
        <v>0</v>
      </c>
      <c r="EI42" s="440">
        <f t="shared" si="19"/>
        <v>0</v>
      </c>
      <c r="EJ42" s="541">
        <f t="shared" si="20"/>
        <v>0</v>
      </c>
      <c r="EK42" s="541">
        <f t="shared" si="21"/>
        <v>0</v>
      </c>
      <c r="EL42" s="573">
        <f t="shared" si="34"/>
        <v>0</v>
      </c>
    </row>
    <row r="43" spans="1:142" ht="15.75" thickBot="1" x14ac:dyDescent="0.3">
      <c r="A43" s="982">
        <v>11</v>
      </c>
      <c r="B43" s="983">
        <v>2</v>
      </c>
      <c r="C43" s="851" t="s">
        <v>265</v>
      </c>
      <c r="D43" s="1003" t="s">
        <v>264</v>
      </c>
      <c r="E43" s="726">
        <v>1</v>
      </c>
      <c r="F43" s="537">
        <v>1</v>
      </c>
      <c r="G43" s="537">
        <v>0</v>
      </c>
      <c r="H43" s="537">
        <v>0</v>
      </c>
      <c r="I43" s="725">
        <v>1</v>
      </c>
      <c r="J43" s="724">
        <v>1</v>
      </c>
      <c r="K43" s="537">
        <v>1</v>
      </c>
      <c r="L43" s="537">
        <v>1</v>
      </c>
      <c r="M43" s="727">
        <v>1</v>
      </c>
      <c r="N43" s="726"/>
      <c r="O43" s="727"/>
      <c r="P43" s="724">
        <v>0</v>
      </c>
      <c r="Q43" s="724">
        <v>0</v>
      </c>
      <c r="R43" s="724">
        <v>0</v>
      </c>
      <c r="S43" s="724">
        <v>0</v>
      </c>
      <c r="T43" s="724">
        <v>0</v>
      </c>
      <c r="U43" s="724">
        <f t="shared" si="31"/>
        <v>0</v>
      </c>
      <c r="V43" s="724"/>
      <c r="W43" s="724"/>
      <c r="X43" s="724"/>
      <c r="Y43" s="726"/>
      <c r="Z43" s="724"/>
      <c r="AA43" s="726"/>
      <c r="AB43" s="724"/>
      <c r="AC43" s="537"/>
      <c r="AD43" s="537"/>
      <c r="AE43" s="537"/>
      <c r="AF43" s="897" t="s">
        <v>444</v>
      </c>
      <c r="AG43" s="897"/>
      <c r="AH43" s="897"/>
      <c r="AI43" s="537"/>
      <c r="AJ43" s="537"/>
      <c r="AK43" s="727"/>
      <c r="AL43" s="390">
        <f t="shared" si="32"/>
        <v>1</v>
      </c>
      <c r="AM43" s="729"/>
      <c r="AN43" s="730"/>
      <c r="AO43" s="731"/>
      <c r="AP43" s="732"/>
      <c r="AQ43" s="850"/>
      <c r="AR43" s="848"/>
      <c r="AS43" s="733"/>
      <c r="AT43" s="852"/>
      <c r="AU43" s="858"/>
      <c r="AV43" s="1015"/>
      <c r="AW43" s="1020"/>
      <c r="AX43" s="1020"/>
      <c r="AY43" s="1020"/>
      <c r="AZ43" s="898"/>
      <c r="BA43" s="1024"/>
      <c r="BE43" s="545">
        <v>37</v>
      </c>
      <c r="BF43" s="582" t="s">
        <v>459</v>
      </c>
      <c r="BG43" s="280">
        <f t="shared" si="3"/>
        <v>0</v>
      </c>
      <c r="BH43" s="282">
        <f t="shared" si="4"/>
        <v>0</v>
      </c>
      <c r="BI43" s="565">
        <f t="shared" si="5"/>
        <v>0</v>
      </c>
      <c r="BJ43" s="566">
        <f t="shared" si="6"/>
        <v>0</v>
      </c>
      <c r="BK43" s="274">
        <f>SUM(BG38:BG43)</f>
        <v>10</v>
      </c>
      <c r="BL43" s="273">
        <f t="shared" ref="BL43:BN43" si="35">SUM(BH38:BH43)</f>
        <v>0</v>
      </c>
      <c r="BM43" s="273">
        <f t="shared" si="35"/>
        <v>0</v>
      </c>
      <c r="BN43" s="273">
        <f t="shared" si="35"/>
        <v>0</v>
      </c>
      <c r="BQ43" s="299">
        <f t="shared" si="7"/>
        <v>0</v>
      </c>
      <c r="BR43" s="300">
        <f t="shared" si="8"/>
        <v>0</v>
      </c>
      <c r="BS43" s="300">
        <f t="shared" si="9"/>
        <v>0</v>
      </c>
      <c r="BT43" s="301">
        <f t="shared" si="10"/>
        <v>1</v>
      </c>
      <c r="BU43" s="303">
        <f t="shared" si="11"/>
        <v>1</v>
      </c>
      <c r="BV43" s="257">
        <f t="shared" si="12"/>
        <v>0</v>
      </c>
      <c r="BW43" s="456">
        <f t="shared" si="13"/>
        <v>1</v>
      </c>
      <c r="BX43" s="459">
        <f t="shared" si="14"/>
        <v>0</v>
      </c>
      <c r="BY43" s="335">
        <f t="shared" si="23"/>
        <v>1</v>
      </c>
      <c r="BZ43" s="549"/>
      <c r="CA43" s="550"/>
      <c r="CB43" s="550"/>
      <c r="CC43" s="547"/>
      <c r="CD43" s="570">
        <f t="shared" si="15"/>
        <v>0</v>
      </c>
      <c r="CE43" s="550"/>
      <c r="CF43" s="550"/>
      <c r="CG43" s="550"/>
      <c r="CH43" s="547"/>
      <c r="CI43" s="550"/>
      <c r="CJ43" s="550"/>
      <c r="CK43" s="547"/>
      <c r="CL43" s="550"/>
      <c r="CM43" s="549"/>
      <c r="CN43" s="547"/>
      <c r="CO43" s="547"/>
      <c r="CP43" s="550"/>
      <c r="CQ43" s="550"/>
      <c r="CR43" s="549"/>
      <c r="CS43" s="547"/>
      <c r="CT43" s="550"/>
      <c r="CU43" s="550"/>
      <c r="CV43" s="550"/>
      <c r="CW43" s="547"/>
      <c r="CX43" s="551"/>
      <c r="CY43" s="547"/>
      <c r="CZ43" s="562">
        <f t="shared" si="24"/>
        <v>0</v>
      </c>
      <c r="DA43" s="547"/>
      <c r="DB43" s="574">
        <f>IF(OR(DB7=CZ2,DB7=CZ1),0,BY43)</f>
        <v>1</v>
      </c>
      <c r="DC43" s="545"/>
      <c r="DE43" s="545"/>
      <c r="DH43" s="562">
        <f t="shared" si="29"/>
        <v>0</v>
      </c>
      <c r="DM43" s="547" t="str">
        <f t="shared" si="0"/>
        <v>LE 7</v>
      </c>
      <c r="DN43" s="547">
        <f t="shared" si="25"/>
        <v>1</v>
      </c>
      <c r="DO43" s="547">
        <f t="shared" si="26"/>
        <v>1</v>
      </c>
      <c r="DP43" s="547">
        <f t="shared" si="27"/>
        <v>0</v>
      </c>
      <c r="DQ43" s="273">
        <f>SUM(DN38:DN43)</f>
        <v>11</v>
      </c>
      <c r="DR43" s="273">
        <f>SUM(DO38:DO43)</f>
        <v>1</v>
      </c>
      <c r="DS43" s="273">
        <f>SUM(DT38:DT43)</f>
        <v>10</v>
      </c>
      <c r="DT43" s="547">
        <f t="shared" si="28"/>
        <v>0</v>
      </c>
      <c r="EE43" s="582" t="str">
        <f t="shared" si="33"/>
        <v>LE 7</v>
      </c>
      <c r="EG43" s="439">
        <f t="shared" si="17"/>
        <v>0</v>
      </c>
      <c r="EH43" s="440">
        <f t="shared" si="18"/>
        <v>0</v>
      </c>
      <c r="EI43" s="440">
        <f t="shared" si="19"/>
        <v>0</v>
      </c>
      <c r="EJ43" s="541">
        <f t="shared" si="20"/>
        <v>0</v>
      </c>
      <c r="EK43" s="541">
        <f t="shared" si="21"/>
        <v>0</v>
      </c>
      <c r="EL43" s="573">
        <f t="shared" si="34"/>
        <v>0</v>
      </c>
    </row>
    <row r="44" spans="1:142" ht="45" x14ac:dyDescent="0.25">
      <c r="A44" s="982">
        <v>11</v>
      </c>
      <c r="B44" s="983">
        <v>3</v>
      </c>
      <c r="C44" s="851" t="s">
        <v>174</v>
      </c>
      <c r="D44" s="1003" t="s">
        <v>677</v>
      </c>
      <c r="E44" s="906">
        <v>1</v>
      </c>
      <c r="F44" s="897">
        <v>1</v>
      </c>
      <c r="G44" s="897">
        <v>0</v>
      </c>
      <c r="H44" s="897">
        <v>0</v>
      </c>
      <c r="I44" s="905">
        <v>1</v>
      </c>
      <c r="J44" s="904">
        <v>1</v>
      </c>
      <c r="K44" s="897">
        <v>1</v>
      </c>
      <c r="L44" s="897">
        <v>1</v>
      </c>
      <c r="M44" s="907">
        <v>1</v>
      </c>
      <c r="N44" s="906"/>
      <c r="O44" s="907"/>
      <c r="P44" s="904">
        <v>0</v>
      </c>
      <c r="Q44" s="904">
        <v>0</v>
      </c>
      <c r="R44" s="904">
        <v>0</v>
      </c>
      <c r="S44" s="904">
        <v>0</v>
      </c>
      <c r="T44" s="904">
        <v>0</v>
      </c>
      <c r="U44" s="904">
        <f t="shared" si="31"/>
        <v>0</v>
      </c>
      <c r="V44" s="904"/>
      <c r="W44" s="904"/>
      <c r="X44" s="904"/>
      <c r="Y44" s="906"/>
      <c r="Z44" s="904"/>
      <c r="AA44" s="906"/>
      <c r="AB44" s="904"/>
      <c r="AC44" s="897"/>
      <c r="AD44" s="897"/>
      <c r="AE44" s="897"/>
      <c r="AF44" s="897"/>
      <c r="AG44" s="897"/>
      <c r="AH44" s="897"/>
      <c r="AI44" s="897"/>
      <c r="AJ44" s="897"/>
      <c r="AK44" s="907"/>
      <c r="AL44" s="390">
        <f t="shared" si="32"/>
        <v>1</v>
      </c>
      <c r="AM44" s="913"/>
      <c r="AN44" s="914"/>
      <c r="AO44" s="915"/>
      <c r="AP44" s="916"/>
      <c r="AQ44" s="930"/>
      <c r="AR44" s="928"/>
      <c r="AS44" s="917"/>
      <c r="AT44" s="931"/>
      <c r="AU44" s="937"/>
      <c r="AV44" s="1015"/>
      <c r="AW44" s="1020"/>
      <c r="AX44" s="1020"/>
      <c r="AY44" s="1020"/>
      <c r="AZ44" s="898"/>
      <c r="BA44" s="1024"/>
      <c r="BE44" s="545">
        <v>38</v>
      </c>
      <c r="BF44" s="583" t="s">
        <v>255</v>
      </c>
      <c r="BG44" s="281">
        <f t="shared" si="3"/>
        <v>2</v>
      </c>
      <c r="BH44" s="282">
        <f t="shared" si="4"/>
        <v>0</v>
      </c>
      <c r="BI44" s="565">
        <f t="shared" si="5"/>
        <v>0</v>
      </c>
      <c r="BJ44" s="566">
        <f t="shared" si="6"/>
        <v>0</v>
      </c>
      <c r="BQ44" s="299">
        <f t="shared" si="7"/>
        <v>2</v>
      </c>
      <c r="BR44" s="300">
        <f t="shared" si="8"/>
        <v>2</v>
      </c>
      <c r="BS44" s="300">
        <f t="shared" si="9"/>
        <v>2</v>
      </c>
      <c r="BT44" s="301">
        <f t="shared" si="10"/>
        <v>2</v>
      </c>
      <c r="BU44" s="303">
        <f t="shared" si="11"/>
        <v>0</v>
      </c>
      <c r="BV44" s="257">
        <f t="shared" si="12"/>
        <v>1</v>
      </c>
      <c r="BW44" s="456">
        <f t="shared" si="13"/>
        <v>1</v>
      </c>
      <c r="BX44" s="459">
        <f t="shared" si="14"/>
        <v>0</v>
      </c>
      <c r="BY44" s="311">
        <f t="shared" si="23"/>
        <v>2</v>
      </c>
      <c r="CC44" s="545"/>
      <c r="CD44" s="577">
        <f t="shared" si="15"/>
        <v>0</v>
      </c>
      <c r="CH44" s="545"/>
      <c r="CK44" s="545"/>
      <c r="CM44" s="571"/>
      <c r="CN44" s="545"/>
      <c r="CO44" s="545"/>
      <c r="CR44" s="571"/>
      <c r="CS44" s="545"/>
      <c r="CW44" s="545"/>
      <c r="CX44" s="572"/>
      <c r="CY44" s="545"/>
      <c r="CZ44" s="594">
        <f t="shared" si="24"/>
        <v>0</v>
      </c>
      <c r="DA44" s="545"/>
      <c r="DC44" s="545"/>
      <c r="DE44" s="545"/>
      <c r="DH44" s="562">
        <f t="shared" si="29"/>
        <v>0</v>
      </c>
      <c r="DM44" s="547" t="str">
        <f t="shared" si="0"/>
        <v>Man 1</v>
      </c>
      <c r="DN44" s="547">
        <f t="shared" si="25"/>
        <v>2</v>
      </c>
      <c r="DO44" s="547">
        <f t="shared" si="26"/>
        <v>0</v>
      </c>
      <c r="DP44" s="547">
        <f t="shared" si="27"/>
        <v>2</v>
      </c>
      <c r="DT44" s="547">
        <f t="shared" si="28"/>
        <v>2</v>
      </c>
      <c r="EE44" s="583" t="str">
        <f t="shared" si="33"/>
        <v>Man 1</v>
      </c>
      <c r="EG44" s="439">
        <f t="shared" si="17"/>
        <v>1</v>
      </c>
      <c r="EH44" s="440">
        <f t="shared" si="18"/>
        <v>1</v>
      </c>
      <c r="EI44" s="440">
        <f t="shared" si="19"/>
        <v>1</v>
      </c>
      <c r="EJ44" s="541">
        <f t="shared" si="20"/>
        <v>1</v>
      </c>
      <c r="EK44" s="541">
        <f t="shared" si="21"/>
        <v>2</v>
      </c>
      <c r="EL44" s="573">
        <f t="shared" si="34"/>
        <v>2</v>
      </c>
    </row>
    <row r="45" spans="1:142" ht="45" x14ac:dyDescent="0.25">
      <c r="A45" s="982">
        <v>11</v>
      </c>
      <c r="B45" s="983">
        <v>4</v>
      </c>
      <c r="C45" s="851" t="s">
        <v>263</v>
      </c>
      <c r="D45" s="1003" t="s">
        <v>678</v>
      </c>
      <c r="E45" s="726">
        <v>1</v>
      </c>
      <c r="F45" s="537">
        <v>1</v>
      </c>
      <c r="G45" s="537">
        <v>0</v>
      </c>
      <c r="H45" s="537">
        <v>0</v>
      </c>
      <c r="I45" s="725">
        <v>1</v>
      </c>
      <c r="J45" s="724">
        <v>5</v>
      </c>
      <c r="K45" s="537">
        <v>5</v>
      </c>
      <c r="L45" s="537">
        <v>5</v>
      </c>
      <c r="M45" s="727">
        <v>5</v>
      </c>
      <c r="N45" s="726"/>
      <c r="O45" s="727"/>
      <c r="P45" s="724">
        <v>0</v>
      </c>
      <c r="Q45" s="724">
        <v>0</v>
      </c>
      <c r="R45" s="724">
        <v>0</v>
      </c>
      <c r="S45" s="724">
        <v>0</v>
      </c>
      <c r="T45" s="724">
        <v>0</v>
      </c>
      <c r="U45" s="724">
        <f t="shared" si="31"/>
        <v>0</v>
      </c>
      <c r="V45" s="724"/>
      <c r="W45" s="724"/>
      <c r="X45" s="724"/>
      <c r="Y45" s="726"/>
      <c r="Z45" s="724"/>
      <c r="AA45" s="726"/>
      <c r="AB45" s="724"/>
      <c r="AC45" s="537"/>
      <c r="AD45" s="537"/>
      <c r="AE45" s="537"/>
      <c r="AF45" s="537"/>
      <c r="AG45" s="537"/>
      <c r="AH45" s="537"/>
      <c r="AI45" s="537"/>
      <c r="AJ45" s="537"/>
      <c r="AK45" s="727"/>
      <c r="AL45" s="390">
        <f t="shared" si="32"/>
        <v>5</v>
      </c>
      <c r="AM45" s="729"/>
      <c r="AN45" s="730"/>
      <c r="AO45" s="731"/>
      <c r="AP45" s="732"/>
      <c r="AQ45" s="850"/>
      <c r="AR45" s="848"/>
      <c r="AS45" s="733"/>
      <c r="AT45" s="852"/>
      <c r="AU45" s="858"/>
      <c r="AV45" s="1015"/>
      <c r="AW45" s="1020"/>
      <c r="AX45" s="1020"/>
      <c r="AY45" s="1020"/>
      <c r="AZ45" s="898"/>
      <c r="BA45" s="1024"/>
      <c r="BE45" s="545">
        <v>39</v>
      </c>
      <c r="BF45" s="564" t="s">
        <v>469</v>
      </c>
      <c r="BG45" s="276">
        <f t="shared" si="3"/>
        <v>3</v>
      </c>
      <c r="BH45" s="282">
        <f t="shared" si="4"/>
        <v>0</v>
      </c>
      <c r="BI45" s="565">
        <f t="shared" si="5"/>
        <v>0</v>
      </c>
      <c r="BJ45" s="566">
        <f t="shared" si="6"/>
        <v>0</v>
      </c>
      <c r="BQ45" s="299">
        <f t="shared" si="7"/>
        <v>3</v>
      </c>
      <c r="BR45" s="300">
        <f t="shared" si="8"/>
        <v>3</v>
      </c>
      <c r="BS45" s="300">
        <f t="shared" si="9"/>
        <v>3</v>
      </c>
      <c r="BT45" s="301">
        <f t="shared" si="10"/>
        <v>3</v>
      </c>
      <c r="BU45" s="303">
        <f t="shared" si="11"/>
        <v>1</v>
      </c>
      <c r="BV45" s="257">
        <f t="shared" si="12"/>
        <v>1</v>
      </c>
      <c r="BW45" s="456">
        <f t="shared" si="13"/>
        <v>1</v>
      </c>
      <c r="BX45" s="459">
        <f t="shared" si="14"/>
        <v>0</v>
      </c>
      <c r="BY45" s="311">
        <f t="shared" si="23"/>
        <v>3</v>
      </c>
      <c r="CC45" s="545"/>
      <c r="CD45" s="570">
        <f t="shared" si="15"/>
        <v>0</v>
      </c>
      <c r="CH45" s="545"/>
      <c r="CK45" s="545"/>
      <c r="CM45" s="571"/>
      <c r="CN45" s="545"/>
      <c r="CO45" s="545"/>
      <c r="CR45" s="571"/>
      <c r="CS45" s="545"/>
      <c r="CW45" s="545"/>
      <c r="CX45" s="572"/>
      <c r="CY45" s="545"/>
      <c r="CZ45" s="562">
        <f t="shared" si="24"/>
        <v>0</v>
      </c>
      <c r="DA45" s="545"/>
      <c r="DC45" s="545"/>
      <c r="DE45" s="545"/>
      <c r="DH45" s="562">
        <f t="shared" si="29"/>
        <v>0</v>
      </c>
      <c r="DM45" s="547" t="str">
        <f t="shared" si="0"/>
        <v>Man 14</v>
      </c>
      <c r="DN45" s="547">
        <f t="shared" si="25"/>
        <v>3</v>
      </c>
      <c r="DO45" s="547">
        <f t="shared" si="26"/>
        <v>0</v>
      </c>
      <c r="DP45" s="547">
        <f t="shared" si="27"/>
        <v>3</v>
      </c>
      <c r="DT45" s="547">
        <f t="shared" si="28"/>
        <v>3</v>
      </c>
      <c r="EE45" s="564" t="str">
        <f t="shared" si="33"/>
        <v>Man 14</v>
      </c>
      <c r="EG45" s="439">
        <f t="shared" si="17"/>
        <v>0</v>
      </c>
      <c r="EH45" s="440">
        <f t="shared" si="18"/>
        <v>0</v>
      </c>
      <c r="EI45" s="440">
        <f t="shared" si="19"/>
        <v>0</v>
      </c>
      <c r="EJ45" s="541">
        <f t="shared" si="20"/>
        <v>0</v>
      </c>
      <c r="EK45" s="541">
        <f t="shared" si="21"/>
        <v>0</v>
      </c>
      <c r="EL45" s="573">
        <f t="shared" si="34"/>
        <v>0</v>
      </c>
    </row>
    <row r="46" spans="1:142" ht="30" x14ac:dyDescent="0.25">
      <c r="A46" s="982">
        <v>11</v>
      </c>
      <c r="B46" s="983">
        <v>6</v>
      </c>
      <c r="C46" s="851" t="s">
        <v>233</v>
      </c>
      <c r="D46" s="1003" t="s">
        <v>232</v>
      </c>
      <c r="E46" s="726">
        <v>1</v>
      </c>
      <c r="F46" s="537">
        <v>1</v>
      </c>
      <c r="G46" s="537">
        <v>0</v>
      </c>
      <c r="H46" s="537">
        <v>0</v>
      </c>
      <c r="I46" s="725">
        <v>1</v>
      </c>
      <c r="J46" s="724">
        <v>2</v>
      </c>
      <c r="K46" s="537">
        <v>2</v>
      </c>
      <c r="L46" s="537">
        <v>2</v>
      </c>
      <c r="M46" s="727">
        <v>2</v>
      </c>
      <c r="N46" s="726"/>
      <c r="O46" s="727"/>
      <c r="P46" s="724">
        <v>0</v>
      </c>
      <c r="Q46" s="724">
        <v>0</v>
      </c>
      <c r="R46" s="724">
        <v>0</v>
      </c>
      <c r="S46" s="724">
        <v>0</v>
      </c>
      <c r="T46" s="724">
        <v>0</v>
      </c>
      <c r="U46" s="724">
        <f t="shared" si="31"/>
        <v>0</v>
      </c>
      <c r="V46" s="724"/>
      <c r="W46" s="724"/>
      <c r="X46" s="724"/>
      <c r="Y46" s="726"/>
      <c r="Z46" s="724"/>
      <c r="AA46" s="726"/>
      <c r="AB46" s="724"/>
      <c r="AC46" s="537"/>
      <c r="AD46" s="537"/>
      <c r="AE46" s="537"/>
      <c r="AF46" s="537"/>
      <c r="AG46" s="537"/>
      <c r="AH46" s="537"/>
      <c r="AI46" s="537"/>
      <c r="AJ46" s="537"/>
      <c r="AK46" s="727"/>
      <c r="AL46" s="390">
        <f t="shared" si="32"/>
        <v>2</v>
      </c>
      <c r="AM46" s="729"/>
      <c r="AN46" s="730"/>
      <c r="AO46" s="731"/>
      <c r="AP46" s="732"/>
      <c r="AQ46" s="850"/>
      <c r="AR46" s="848"/>
      <c r="AS46" s="733"/>
      <c r="AT46" s="852"/>
      <c r="AU46" s="858"/>
      <c r="AV46" s="1015"/>
      <c r="AW46" s="1020"/>
      <c r="AX46" s="1020"/>
      <c r="AY46" s="1020"/>
      <c r="AZ46" s="898"/>
      <c r="BA46" s="1024"/>
      <c r="BE46" s="545">
        <v>40</v>
      </c>
      <c r="BF46" s="564" t="s">
        <v>252</v>
      </c>
      <c r="BG46" s="276">
        <f t="shared" si="3"/>
        <v>2</v>
      </c>
      <c r="BH46" s="282">
        <f t="shared" si="4"/>
        <v>0</v>
      </c>
      <c r="BI46" s="565">
        <f t="shared" si="5"/>
        <v>0</v>
      </c>
      <c r="BJ46" s="566">
        <f t="shared" si="6"/>
        <v>0</v>
      </c>
      <c r="BQ46" s="299">
        <f t="shared" si="7"/>
        <v>2</v>
      </c>
      <c r="BR46" s="300">
        <f t="shared" si="8"/>
        <v>2</v>
      </c>
      <c r="BS46" s="300">
        <f t="shared" si="9"/>
        <v>2</v>
      </c>
      <c r="BT46" s="301">
        <f t="shared" si="10"/>
        <v>2</v>
      </c>
      <c r="BU46" s="303">
        <f t="shared" si="11"/>
        <v>1</v>
      </c>
      <c r="BV46" s="257">
        <f t="shared" si="12"/>
        <v>0</v>
      </c>
      <c r="BW46" s="456">
        <f t="shared" si="13"/>
        <v>1</v>
      </c>
      <c r="BX46" s="459">
        <f t="shared" si="14"/>
        <v>0</v>
      </c>
      <c r="BY46" s="311">
        <f t="shared" si="23"/>
        <v>2</v>
      </c>
      <c r="CC46" s="545"/>
      <c r="CD46" s="570">
        <f t="shared" si="15"/>
        <v>0</v>
      </c>
      <c r="CH46" s="545"/>
      <c r="CK46" s="545"/>
      <c r="CM46" s="571"/>
      <c r="CN46" s="545"/>
      <c r="CO46" s="545"/>
      <c r="CR46" s="571"/>
      <c r="CS46" s="545"/>
      <c r="CW46" s="545"/>
      <c r="CX46" s="572"/>
      <c r="CY46" s="545"/>
      <c r="CZ46" s="562">
        <f t="shared" si="24"/>
        <v>0</v>
      </c>
      <c r="DA46" s="545"/>
      <c r="DC46" s="545"/>
      <c r="DE46" s="545"/>
      <c r="DH46" s="562">
        <f t="shared" si="29"/>
        <v>0</v>
      </c>
      <c r="DM46" s="547" t="str">
        <f t="shared" si="0"/>
        <v>Man 12</v>
      </c>
      <c r="DN46" s="547">
        <f t="shared" si="25"/>
        <v>2</v>
      </c>
      <c r="DO46" s="547">
        <f t="shared" si="26"/>
        <v>0</v>
      </c>
      <c r="DP46" s="547">
        <f t="shared" si="27"/>
        <v>2</v>
      </c>
      <c r="DT46" s="547">
        <f t="shared" si="28"/>
        <v>2</v>
      </c>
      <c r="EE46" s="564" t="str">
        <f t="shared" si="33"/>
        <v>Man 12</v>
      </c>
      <c r="EG46" s="439">
        <f t="shared" si="17"/>
        <v>0</v>
      </c>
      <c r="EH46" s="440">
        <f t="shared" si="18"/>
        <v>0</v>
      </c>
      <c r="EI46" s="440">
        <f t="shared" si="19"/>
        <v>0</v>
      </c>
      <c r="EJ46" s="541">
        <f t="shared" si="20"/>
        <v>0</v>
      </c>
      <c r="EK46" s="541">
        <f t="shared" si="21"/>
        <v>0</v>
      </c>
      <c r="EL46" s="573">
        <f t="shared" si="34"/>
        <v>0</v>
      </c>
    </row>
    <row r="47" spans="1:142" ht="30" x14ac:dyDescent="0.25">
      <c r="A47" s="982">
        <v>11</v>
      </c>
      <c r="B47" s="983">
        <v>7</v>
      </c>
      <c r="C47" s="851" t="s">
        <v>459</v>
      </c>
      <c r="D47" s="1003" t="s">
        <v>460</v>
      </c>
      <c r="E47" s="726">
        <v>1</v>
      </c>
      <c r="F47" s="537">
        <v>1</v>
      </c>
      <c r="G47" s="537">
        <v>0</v>
      </c>
      <c r="H47" s="537">
        <v>0</v>
      </c>
      <c r="I47" s="725">
        <v>1</v>
      </c>
      <c r="J47" s="724">
        <v>0</v>
      </c>
      <c r="K47" s="537">
        <v>0</v>
      </c>
      <c r="L47" s="537">
        <v>0</v>
      </c>
      <c r="M47" s="727">
        <v>1</v>
      </c>
      <c r="N47" s="726"/>
      <c r="O47" s="727"/>
      <c r="P47" s="724">
        <v>0</v>
      </c>
      <c r="Q47" s="724">
        <v>0</v>
      </c>
      <c r="R47" s="724">
        <v>0</v>
      </c>
      <c r="S47" s="724">
        <v>0</v>
      </c>
      <c r="T47" s="724">
        <v>0</v>
      </c>
      <c r="U47" s="724">
        <f t="shared" si="31"/>
        <v>0</v>
      </c>
      <c r="V47" s="724"/>
      <c r="W47" s="724"/>
      <c r="X47" s="724"/>
      <c r="Y47" s="726"/>
      <c r="Z47" s="724"/>
      <c r="AA47" s="726"/>
      <c r="AB47" s="724"/>
      <c r="AC47" s="537"/>
      <c r="AD47" s="537"/>
      <c r="AE47" s="537"/>
      <c r="AF47" s="537"/>
      <c r="AG47" s="537"/>
      <c r="AH47" s="537"/>
      <c r="AI47" s="537"/>
      <c r="AJ47" s="537"/>
      <c r="AK47" s="727"/>
      <c r="AL47" s="390">
        <f t="shared" si="32"/>
        <v>0</v>
      </c>
      <c r="AM47" s="729"/>
      <c r="AN47" s="730"/>
      <c r="AO47" s="731"/>
      <c r="AP47" s="732"/>
      <c r="AQ47" s="850"/>
      <c r="AR47" s="848"/>
      <c r="AS47" s="733"/>
      <c r="AT47" s="852"/>
      <c r="AU47" s="858"/>
      <c r="AV47" s="1015"/>
      <c r="AW47" s="1020"/>
      <c r="AX47" s="1020"/>
      <c r="AY47" s="1020"/>
      <c r="AZ47" s="898"/>
      <c r="BA47" s="1024"/>
      <c r="BE47" s="545">
        <v>41</v>
      </c>
      <c r="BF47" s="564" t="s">
        <v>422</v>
      </c>
      <c r="BG47" s="276">
        <f t="shared" si="3"/>
        <v>3</v>
      </c>
      <c r="BH47" s="282">
        <f t="shared" si="4"/>
        <v>0</v>
      </c>
      <c r="BI47" s="565">
        <f t="shared" si="5"/>
        <v>0</v>
      </c>
      <c r="BJ47" s="566">
        <f t="shared" si="6"/>
        <v>0</v>
      </c>
      <c r="BQ47" s="299">
        <f t="shared" si="7"/>
        <v>3</v>
      </c>
      <c r="BR47" s="300">
        <f t="shared" si="8"/>
        <v>3</v>
      </c>
      <c r="BS47" s="300">
        <f t="shared" si="9"/>
        <v>3</v>
      </c>
      <c r="BT47" s="301">
        <f t="shared" si="10"/>
        <v>3</v>
      </c>
      <c r="BU47" s="303">
        <f t="shared" si="11"/>
        <v>1</v>
      </c>
      <c r="BV47" s="257">
        <f t="shared" si="12"/>
        <v>0</v>
      </c>
      <c r="BW47" s="456">
        <f t="shared" si="13"/>
        <v>1</v>
      </c>
      <c r="BX47" s="459">
        <f t="shared" si="14"/>
        <v>0</v>
      </c>
      <c r="BY47" s="311">
        <f t="shared" si="23"/>
        <v>3</v>
      </c>
      <c r="CC47" s="545"/>
      <c r="CD47" s="570">
        <f t="shared" si="15"/>
        <v>0</v>
      </c>
      <c r="CH47" s="545"/>
      <c r="CK47" s="545"/>
      <c r="CM47" s="571"/>
      <c r="CN47" s="545"/>
      <c r="CO47" s="545"/>
      <c r="CR47" s="571"/>
      <c r="CS47" s="545"/>
      <c r="CW47" s="545"/>
      <c r="CX47" s="572"/>
      <c r="CY47" s="545"/>
      <c r="CZ47" s="562">
        <f t="shared" si="24"/>
        <v>0</v>
      </c>
      <c r="DA47" s="545"/>
      <c r="DC47" s="545"/>
      <c r="DE47" s="545"/>
      <c r="DH47" s="562">
        <f t="shared" si="29"/>
        <v>0</v>
      </c>
      <c r="DM47" s="547" t="str">
        <f t="shared" si="0"/>
        <v>Man 13</v>
      </c>
      <c r="DN47" s="547">
        <f t="shared" si="25"/>
        <v>3</v>
      </c>
      <c r="DO47" s="547">
        <f t="shared" si="26"/>
        <v>0</v>
      </c>
      <c r="DP47" s="547">
        <f t="shared" si="27"/>
        <v>3</v>
      </c>
      <c r="DT47" s="547">
        <f t="shared" si="28"/>
        <v>3</v>
      </c>
      <c r="EE47" s="564" t="str">
        <f t="shared" si="33"/>
        <v>Man 13</v>
      </c>
      <c r="EG47" s="439">
        <f t="shared" si="17"/>
        <v>0</v>
      </c>
      <c r="EH47" s="440">
        <f t="shared" si="18"/>
        <v>0</v>
      </c>
      <c r="EI47" s="440">
        <f t="shared" si="19"/>
        <v>0</v>
      </c>
      <c r="EJ47" s="541">
        <f t="shared" si="20"/>
        <v>0</v>
      </c>
      <c r="EK47" s="541">
        <f t="shared" si="21"/>
        <v>0</v>
      </c>
      <c r="EL47" s="573">
        <f t="shared" si="34"/>
        <v>0</v>
      </c>
    </row>
    <row r="48" spans="1:142" ht="15.75" thickBot="1" x14ac:dyDescent="0.3">
      <c r="A48" s="982">
        <v>4</v>
      </c>
      <c r="B48" s="983">
        <v>1</v>
      </c>
      <c r="C48" s="851" t="s">
        <v>255</v>
      </c>
      <c r="D48" s="1003" t="s">
        <v>567</v>
      </c>
      <c r="E48" s="906">
        <v>0</v>
      </c>
      <c r="F48" s="897">
        <v>1</v>
      </c>
      <c r="G48" s="897">
        <v>1</v>
      </c>
      <c r="H48" s="897">
        <v>1</v>
      </c>
      <c r="I48" s="905">
        <v>1</v>
      </c>
      <c r="J48" s="904">
        <v>2</v>
      </c>
      <c r="K48" s="897">
        <v>2</v>
      </c>
      <c r="L48" s="897">
        <v>2</v>
      </c>
      <c r="M48" s="907">
        <v>2</v>
      </c>
      <c r="N48" s="906"/>
      <c r="O48" s="907"/>
      <c r="P48" s="904">
        <v>1</v>
      </c>
      <c r="Q48" s="904">
        <v>1</v>
      </c>
      <c r="R48" s="904">
        <v>1</v>
      </c>
      <c r="S48" s="904">
        <v>1</v>
      </c>
      <c r="T48" s="904">
        <v>2</v>
      </c>
      <c r="U48" s="904">
        <f t="shared" si="31"/>
        <v>2</v>
      </c>
      <c r="V48" s="904"/>
      <c r="W48" s="904"/>
      <c r="X48" s="904"/>
      <c r="Y48" s="906"/>
      <c r="Z48" s="904"/>
      <c r="AA48" s="906"/>
      <c r="AB48" s="904"/>
      <c r="AC48" s="897"/>
      <c r="AD48" s="897"/>
      <c r="AE48" s="897"/>
      <c r="AF48" s="897"/>
      <c r="AG48" s="897"/>
      <c r="AH48" s="897"/>
      <c r="AI48" s="897"/>
      <c r="AJ48" s="897"/>
      <c r="AK48" s="907"/>
      <c r="AL48" s="390">
        <f t="shared" si="32"/>
        <v>2</v>
      </c>
      <c r="AM48" s="913"/>
      <c r="AN48" s="914"/>
      <c r="AO48" s="915"/>
      <c r="AP48" s="916"/>
      <c r="AQ48" s="930"/>
      <c r="AR48" s="928"/>
      <c r="AS48" s="917"/>
      <c r="AT48" s="931"/>
      <c r="AU48" s="937"/>
      <c r="AV48" s="1015"/>
      <c r="AW48" s="1020"/>
      <c r="AX48" s="1020"/>
      <c r="AY48" s="1020"/>
      <c r="AZ48" s="898"/>
      <c r="BA48" s="1024"/>
      <c r="BE48" s="545">
        <v>42</v>
      </c>
      <c r="BF48" s="564" t="s">
        <v>181</v>
      </c>
      <c r="BG48" s="276">
        <f t="shared" si="3"/>
        <v>2</v>
      </c>
      <c r="BH48" s="282">
        <f t="shared" si="4"/>
        <v>0</v>
      </c>
      <c r="BI48" s="565">
        <f t="shared" si="5"/>
        <v>0</v>
      </c>
      <c r="BJ48" s="566">
        <f t="shared" si="6"/>
        <v>0</v>
      </c>
      <c r="BQ48" s="298">
        <f t="shared" si="7"/>
        <v>2</v>
      </c>
      <c r="BR48" s="257">
        <f t="shared" si="8"/>
        <v>2</v>
      </c>
      <c r="BS48" s="257">
        <f t="shared" si="9"/>
        <v>2</v>
      </c>
      <c r="BT48" s="302">
        <f t="shared" si="10"/>
        <v>2</v>
      </c>
      <c r="BU48" s="303">
        <f t="shared" si="11"/>
        <v>1</v>
      </c>
      <c r="BV48" s="257">
        <f t="shared" si="12"/>
        <v>1</v>
      </c>
      <c r="BW48" s="456">
        <f t="shared" si="13"/>
        <v>1</v>
      </c>
      <c r="BX48" s="459">
        <f t="shared" si="14"/>
        <v>0</v>
      </c>
      <c r="BY48" s="311">
        <f t="shared" si="23"/>
        <v>2</v>
      </c>
      <c r="CC48" s="545"/>
      <c r="CD48" s="570">
        <f t="shared" si="15"/>
        <v>0</v>
      </c>
      <c r="CH48" s="545"/>
      <c r="CK48" s="545"/>
      <c r="CM48" s="571"/>
      <c r="CN48" s="545"/>
      <c r="CO48" s="545"/>
      <c r="CR48" s="571"/>
      <c r="CS48" s="545"/>
      <c r="CW48" s="545"/>
      <c r="CX48" s="572"/>
      <c r="CY48" s="545"/>
      <c r="CZ48" s="562">
        <f t="shared" si="24"/>
        <v>0</v>
      </c>
      <c r="DA48" s="545"/>
      <c r="DC48" s="545"/>
      <c r="DE48" s="545"/>
      <c r="DH48" s="562">
        <f t="shared" si="29"/>
        <v>0</v>
      </c>
      <c r="DM48" s="547" t="str">
        <f t="shared" si="0"/>
        <v>Man 2</v>
      </c>
      <c r="DN48" s="547">
        <f t="shared" si="25"/>
        <v>2</v>
      </c>
      <c r="DO48" s="547">
        <f t="shared" si="26"/>
        <v>0</v>
      </c>
      <c r="DP48" s="547">
        <f t="shared" si="27"/>
        <v>2</v>
      </c>
      <c r="DQ48" s="1236" t="s">
        <v>488</v>
      </c>
      <c r="DR48" s="1242"/>
      <c r="DS48" s="1242"/>
      <c r="DT48" s="547">
        <f t="shared" si="28"/>
        <v>2</v>
      </c>
      <c r="EE48" s="564" t="str">
        <f t="shared" si="33"/>
        <v>Man 2</v>
      </c>
      <c r="EG48" s="439">
        <f t="shared" si="17"/>
        <v>0</v>
      </c>
      <c r="EH48" s="440">
        <f t="shared" si="18"/>
        <v>0</v>
      </c>
      <c r="EI48" s="440">
        <f t="shared" si="19"/>
        <v>0</v>
      </c>
      <c r="EJ48" s="541">
        <f t="shared" si="20"/>
        <v>0</v>
      </c>
      <c r="EK48" s="541">
        <f t="shared" si="21"/>
        <v>0</v>
      </c>
      <c r="EL48" s="573">
        <f t="shared" si="34"/>
        <v>0</v>
      </c>
    </row>
    <row r="49" spans="1:142" ht="45" x14ac:dyDescent="0.25">
      <c r="A49" s="982">
        <v>4</v>
      </c>
      <c r="B49" s="983">
        <v>12</v>
      </c>
      <c r="C49" s="851" t="s">
        <v>252</v>
      </c>
      <c r="D49" s="1003" t="s">
        <v>420</v>
      </c>
      <c r="E49" s="726">
        <v>1</v>
      </c>
      <c r="F49" s="537">
        <v>1</v>
      </c>
      <c r="G49" s="537">
        <v>0</v>
      </c>
      <c r="H49" s="537">
        <v>0</v>
      </c>
      <c r="I49" s="725">
        <v>1</v>
      </c>
      <c r="J49" s="724">
        <v>2</v>
      </c>
      <c r="K49" s="537">
        <v>2</v>
      </c>
      <c r="L49" s="537">
        <v>2</v>
      </c>
      <c r="M49" s="727">
        <v>2</v>
      </c>
      <c r="N49" s="726"/>
      <c r="O49" s="727"/>
      <c r="P49" s="724">
        <v>0</v>
      </c>
      <c r="Q49" s="724">
        <v>0</v>
      </c>
      <c r="R49" s="724">
        <v>0</v>
      </c>
      <c r="S49" s="724">
        <v>0</v>
      </c>
      <c r="T49" s="724">
        <v>0</v>
      </c>
      <c r="U49" s="724">
        <f t="shared" si="31"/>
        <v>0</v>
      </c>
      <c r="V49" s="724"/>
      <c r="W49" s="724"/>
      <c r="X49" s="724"/>
      <c r="Y49" s="726"/>
      <c r="Z49" s="724"/>
      <c r="AA49" s="726"/>
      <c r="AB49" s="724"/>
      <c r="AC49" s="537"/>
      <c r="AD49" s="537"/>
      <c r="AE49" s="537"/>
      <c r="AF49" s="537"/>
      <c r="AG49" s="537"/>
      <c r="AH49" s="537"/>
      <c r="AI49" s="537"/>
      <c r="AJ49" s="537"/>
      <c r="AK49" s="727"/>
      <c r="AL49" s="390">
        <f t="shared" si="32"/>
        <v>2</v>
      </c>
      <c r="AM49" s="729"/>
      <c r="AN49" s="730"/>
      <c r="AO49" s="731"/>
      <c r="AP49" s="732"/>
      <c r="AQ49" s="850"/>
      <c r="AR49" s="848"/>
      <c r="AS49" s="917"/>
      <c r="AT49" s="931"/>
      <c r="AU49" s="937"/>
      <c r="AV49" s="1015"/>
      <c r="AW49" s="1020"/>
      <c r="AX49" s="1020"/>
      <c r="AY49" s="1020"/>
      <c r="AZ49" s="898"/>
      <c r="BA49" s="1024"/>
      <c r="BE49" s="545">
        <v>43</v>
      </c>
      <c r="BF49" s="564" t="s">
        <v>176</v>
      </c>
      <c r="BG49" s="276">
        <f t="shared" si="3"/>
        <v>4</v>
      </c>
      <c r="BH49" s="282">
        <f t="shared" si="4"/>
        <v>0</v>
      </c>
      <c r="BI49" s="565">
        <f t="shared" si="5"/>
        <v>0</v>
      </c>
      <c r="BJ49" s="566">
        <f t="shared" si="6"/>
        <v>0</v>
      </c>
      <c r="BK49" s="1236" t="s">
        <v>488</v>
      </c>
      <c r="BL49" s="1237"/>
      <c r="BM49" s="1237"/>
      <c r="BN49" s="1237"/>
      <c r="BQ49" s="298">
        <f t="shared" si="7"/>
        <v>4</v>
      </c>
      <c r="BR49" s="257">
        <f t="shared" si="8"/>
        <v>4</v>
      </c>
      <c r="BS49" s="257">
        <f t="shared" si="9"/>
        <v>4</v>
      </c>
      <c r="BT49" s="302">
        <f t="shared" si="10"/>
        <v>4</v>
      </c>
      <c r="BU49" s="303">
        <f t="shared" si="11"/>
        <v>1</v>
      </c>
      <c r="BV49" s="257">
        <f t="shared" si="12"/>
        <v>1</v>
      </c>
      <c r="BW49" s="456">
        <f t="shared" si="13"/>
        <v>1</v>
      </c>
      <c r="BX49" s="459">
        <f t="shared" si="14"/>
        <v>0</v>
      </c>
      <c r="BY49" s="335">
        <f t="shared" si="23"/>
        <v>4</v>
      </c>
      <c r="BZ49" s="549"/>
      <c r="CA49" s="550"/>
      <c r="CB49" s="550"/>
      <c r="CC49" s="562">
        <f>IF(CC7=CC6,1,0)</f>
        <v>0</v>
      </c>
      <c r="CD49" s="559">
        <f t="shared" si="15"/>
        <v>0</v>
      </c>
      <c r="CH49" s="545"/>
      <c r="CK49" s="545"/>
      <c r="CM49" s="571"/>
      <c r="CN49" s="545"/>
      <c r="CO49" s="545"/>
      <c r="CR49" s="571"/>
      <c r="CS49" s="545"/>
      <c r="CW49" s="545"/>
      <c r="CX49" s="572"/>
      <c r="CY49" s="545"/>
      <c r="CZ49" s="562">
        <f t="shared" si="24"/>
        <v>0</v>
      </c>
      <c r="DA49" s="545"/>
      <c r="DC49" s="545"/>
      <c r="DE49" s="545"/>
      <c r="DH49" s="562">
        <f t="shared" si="29"/>
        <v>0</v>
      </c>
      <c r="DM49" s="547" t="str">
        <f t="shared" si="0"/>
        <v>Man 3</v>
      </c>
      <c r="DN49" s="547">
        <f t="shared" si="25"/>
        <v>4</v>
      </c>
      <c r="DO49" s="547">
        <f t="shared" si="26"/>
        <v>0</v>
      </c>
      <c r="DP49" s="547">
        <f t="shared" si="27"/>
        <v>4</v>
      </c>
      <c r="DQ49" s="289" t="s">
        <v>664</v>
      </c>
      <c r="DR49" s="264" t="s">
        <v>665</v>
      </c>
      <c r="DS49" s="343" t="s">
        <v>666</v>
      </c>
      <c r="DT49" s="547">
        <f t="shared" si="28"/>
        <v>4</v>
      </c>
      <c r="EE49" s="564" t="str">
        <f t="shared" si="33"/>
        <v>Man 3</v>
      </c>
      <c r="EG49" s="439">
        <f t="shared" si="17"/>
        <v>0</v>
      </c>
      <c r="EH49" s="440">
        <f t="shared" si="18"/>
        <v>0</v>
      </c>
      <c r="EI49" s="440">
        <f t="shared" si="19"/>
        <v>0</v>
      </c>
      <c r="EJ49" s="541">
        <f t="shared" si="20"/>
        <v>1</v>
      </c>
      <c r="EK49" s="541">
        <f t="shared" si="21"/>
        <v>1</v>
      </c>
      <c r="EL49" s="573">
        <f t="shared" si="34"/>
        <v>1</v>
      </c>
    </row>
    <row r="50" spans="1:142" ht="30.75" thickBot="1" x14ac:dyDescent="0.3">
      <c r="A50" s="982">
        <v>4</v>
      </c>
      <c r="B50" s="983">
        <v>13</v>
      </c>
      <c r="C50" s="851" t="s">
        <v>422</v>
      </c>
      <c r="D50" s="1003" t="s">
        <v>421</v>
      </c>
      <c r="E50" s="726">
        <v>1</v>
      </c>
      <c r="F50" s="537">
        <v>1</v>
      </c>
      <c r="G50" s="537">
        <v>0</v>
      </c>
      <c r="H50" s="537">
        <v>0</v>
      </c>
      <c r="I50" s="725">
        <v>1</v>
      </c>
      <c r="J50" s="724">
        <v>3</v>
      </c>
      <c r="K50" s="537">
        <v>3</v>
      </c>
      <c r="L50" s="537">
        <v>3</v>
      </c>
      <c r="M50" s="727">
        <v>3</v>
      </c>
      <c r="N50" s="726"/>
      <c r="O50" s="727"/>
      <c r="P50" s="724">
        <v>0</v>
      </c>
      <c r="Q50" s="724">
        <v>0</v>
      </c>
      <c r="R50" s="724">
        <v>0</v>
      </c>
      <c r="S50" s="724">
        <v>0</v>
      </c>
      <c r="T50" s="724">
        <v>0</v>
      </c>
      <c r="U50" s="724">
        <f t="shared" si="31"/>
        <v>0</v>
      </c>
      <c r="V50" s="724"/>
      <c r="W50" s="724"/>
      <c r="X50" s="724"/>
      <c r="Y50" s="726"/>
      <c r="Z50" s="724"/>
      <c r="AA50" s="726"/>
      <c r="AB50" s="724"/>
      <c r="AC50" s="537"/>
      <c r="AD50" s="537"/>
      <c r="AE50" s="537"/>
      <c r="AF50" s="537"/>
      <c r="AG50" s="537"/>
      <c r="AH50" s="537"/>
      <c r="AI50" s="537"/>
      <c r="AJ50" s="537"/>
      <c r="AK50" s="727"/>
      <c r="AL50" s="390">
        <f t="shared" si="32"/>
        <v>3</v>
      </c>
      <c r="AM50" s="729"/>
      <c r="AN50" s="730"/>
      <c r="AO50" s="731"/>
      <c r="AP50" s="732"/>
      <c r="AQ50" s="850"/>
      <c r="AR50" s="848"/>
      <c r="AS50" s="733"/>
      <c r="AT50" s="852"/>
      <c r="AU50" s="858"/>
      <c r="AV50" s="1015"/>
      <c r="AW50" s="1020"/>
      <c r="AX50" s="1020"/>
      <c r="AY50" s="1020"/>
      <c r="AZ50" s="898"/>
      <c r="BA50" s="1024"/>
      <c r="BE50" s="545">
        <v>44</v>
      </c>
      <c r="BF50" s="582" t="s">
        <v>178</v>
      </c>
      <c r="BG50" s="280">
        <f t="shared" si="3"/>
        <v>2</v>
      </c>
      <c r="BH50" s="282">
        <f t="shared" si="4"/>
        <v>0</v>
      </c>
      <c r="BI50" s="565">
        <f t="shared" si="5"/>
        <v>0</v>
      </c>
      <c r="BJ50" s="566">
        <f t="shared" si="6"/>
        <v>0</v>
      </c>
      <c r="BK50" s="274">
        <f>SUM(BG44:BG50)</f>
        <v>18</v>
      </c>
      <c r="BL50" s="273">
        <f t="shared" ref="BL50:BN50" si="36">SUM(BH44:BH50)</f>
        <v>0</v>
      </c>
      <c r="BM50" s="273">
        <f t="shared" si="36"/>
        <v>0</v>
      </c>
      <c r="BN50" s="273">
        <f t="shared" si="36"/>
        <v>0</v>
      </c>
      <c r="BQ50" s="298">
        <f t="shared" si="7"/>
        <v>1</v>
      </c>
      <c r="BR50" s="257">
        <f t="shared" si="8"/>
        <v>1</v>
      </c>
      <c r="BS50" s="257">
        <f t="shared" si="9"/>
        <v>1</v>
      </c>
      <c r="BT50" s="302">
        <f t="shared" si="10"/>
        <v>2</v>
      </c>
      <c r="BU50" s="303">
        <f t="shared" si="11"/>
        <v>1</v>
      </c>
      <c r="BV50" s="257">
        <f t="shared" si="12"/>
        <v>1</v>
      </c>
      <c r="BW50" s="456">
        <f t="shared" si="13"/>
        <v>1</v>
      </c>
      <c r="BX50" s="459">
        <f t="shared" si="14"/>
        <v>0</v>
      </c>
      <c r="BY50" s="335">
        <f t="shared" si="23"/>
        <v>2</v>
      </c>
      <c r="BZ50" s="549"/>
      <c r="CA50" s="550"/>
      <c r="CB50" s="550"/>
      <c r="CC50" s="547"/>
      <c r="CD50" s="570">
        <f t="shared" si="15"/>
        <v>0</v>
      </c>
      <c r="CE50" s="550"/>
      <c r="CF50" s="550"/>
      <c r="CG50" s="550"/>
      <c r="CH50" s="547"/>
      <c r="CI50" s="550"/>
      <c r="CJ50" s="550"/>
      <c r="CK50" s="547"/>
      <c r="CL50" s="550"/>
      <c r="CM50" s="549"/>
      <c r="CN50" s="547"/>
      <c r="CO50" s="547"/>
      <c r="CP50" s="550"/>
      <c r="CQ50" s="550"/>
      <c r="CR50" s="549"/>
      <c r="CS50" s="547"/>
      <c r="CT50" s="550"/>
      <c r="CU50" s="550"/>
      <c r="CV50" s="550"/>
      <c r="CW50" s="547"/>
      <c r="CX50" s="551"/>
      <c r="CY50" s="547"/>
      <c r="CZ50" s="562">
        <f t="shared" si="24"/>
        <v>0</v>
      </c>
      <c r="DA50" s="562">
        <f>IF(AND(DA7=CZ4,DA6=DA4),0,1)</f>
        <v>0</v>
      </c>
      <c r="DC50" s="545"/>
      <c r="DE50" s="545"/>
      <c r="DH50" s="562">
        <f t="shared" si="29"/>
        <v>0</v>
      </c>
      <c r="DM50" s="547" t="str">
        <f t="shared" si="0"/>
        <v>Man 4</v>
      </c>
      <c r="DN50" s="547">
        <f t="shared" si="25"/>
        <v>2</v>
      </c>
      <c r="DO50" s="547">
        <f t="shared" si="26"/>
        <v>0</v>
      </c>
      <c r="DP50" s="547">
        <f t="shared" si="27"/>
        <v>2</v>
      </c>
      <c r="DQ50" s="273">
        <f>SUM(DN44:DN50)</f>
        <v>18</v>
      </c>
      <c r="DR50" s="273">
        <f>SUM(DO44:DO50)</f>
        <v>0</v>
      </c>
      <c r="DS50" s="273">
        <f>SUM(DT44:DT50)</f>
        <v>18</v>
      </c>
      <c r="DT50" s="547">
        <f t="shared" si="28"/>
        <v>2</v>
      </c>
      <c r="EE50" s="582" t="str">
        <f t="shared" si="33"/>
        <v>Man 4</v>
      </c>
      <c r="EG50" s="439">
        <f t="shared" si="17"/>
        <v>0</v>
      </c>
      <c r="EH50" s="440">
        <f t="shared" si="18"/>
        <v>1</v>
      </c>
      <c r="EI50" s="440">
        <f t="shared" si="19"/>
        <v>1</v>
      </c>
      <c r="EJ50" s="541">
        <f t="shared" si="20"/>
        <v>1</v>
      </c>
      <c r="EK50" s="541">
        <f t="shared" si="21"/>
        <v>1</v>
      </c>
      <c r="EL50" s="573">
        <f t="shared" si="34"/>
        <v>1</v>
      </c>
    </row>
    <row r="51" spans="1:142" ht="30" x14ac:dyDescent="0.25">
      <c r="A51" s="982">
        <v>4</v>
      </c>
      <c r="B51" s="983">
        <v>14</v>
      </c>
      <c r="C51" s="851" t="s">
        <v>469</v>
      </c>
      <c r="D51" s="1003" t="s">
        <v>683</v>
      </c>
      <c r="E51" s="906">
        <v>1</v>
      </c>
      <c r="F51" s="897">
        <v>1</v>
      </c>
      <c r="G51" s="897">
        <v>1</v>
      </c>
      <c r="H51" s="897">
        <v>0</v>
      </c>
      <c r="I51" s="905">
        <v>1</v>
      </c>
      <c r="J51" s="904">
        <v>3</v>
      </c>
      <c r="K51" s="897">
        <v>3</v>
      </c>
      <c r="L51" s="897">
        <v>3</v>
      </c>
      <c r="M51" s="907">
        <v>3</v>
      </c>
      <c r="N51" s="906"/>
      <c r="O51" s="907"/>
      <c r="P51" s="904">
        <v>0</v>
      </c>
      <c r="Q51" s="904">
        <v>0</v>
      </c>
      <c r="R51" s="904">
        <v>0</v>
      </c>
      <c r="S51" s="904">
        <v>0</v>
      </c>
      <c r="T51" s="904">
        <v>0</v>
      </c>
      <c r="U51" s="904">
        <f t="shared" si="31"/>
        <v>0</v>
      </c>
      <c r="V51" s="904"/>
      <c r="W51" s="904"/>
      <c r="X51" s="904"/>
      <c r="Y51" s="906"/>
      <c r="Z51" s="904"/>
      <c r="AA51" s="906"/>
      <c r="AB51" s="904"/>
      <c r="AC51" s="897"/>
      <c r="AD51" s="897"/>
      <c r="AE51" s="897"/>
      <c r="AF51" s="897"/>
      <c r="AG51" s="897"/>
      <c r="AH51" s="897"/>
      <c r="AI51" s="897"/>
      <c r="AJ51" s="897"/>
      <c r="AK51" s="907"/>
      <c r="AL51" s="390">
        <f t="shared" si="32"/>
        <v>3</v>
      </c>
      <c r="AM51" s="913"/>
      <c r="AN51" s="914"/>
      <c r="AO51" s="915"/>
      <c r="AP51" s="916"/>
      <c r="AQ51" s="930"/>
      <c r="AR51" s="928"/>
      <c r="AS51" s="917"/>
      <c r="AT51" s="931"/>
      <c r="AU51" s="937"/>
      <c r="AV51" s="1015"/>
      <c r="AW51" s="1020"/>
      <c r="AX51" s="1020"/>
      <c r="AY51" s="1020"/>
      <c r="AZ51" s="898"/>
      <c r="BA51" s="1024"/>
      <c r="BE51" s="545">
        <v>45</v>
      </c>
      <c r="BF51" s="583" t="s">
        <v>198</v>
      </c>
      <c r="BG51" s="281">
        <f t="shared" si="3"/>
        <v>7</v>
      </c>
      <c r="BH51" s="282">
        <f t="shared" si="4"/>
        <v>0</v>
      </c>
      <c r="BI51" s="565">
        <f t="shared" si="5"/>
        <v>0</v>
      </c>
      <c r="BJ51" s="566">
        <f t="shared" si="6"/>
        <v>0</v>
      </c>
      <c r="BK51" s="541">
        <f>VLOOKUP($BF51,$C$9:$AT$86,AM$1,FALSE)</f>
        <v>0</v>
      </c>
      <c r="BQ51" s="298">
        <f t="shared" si="7"/>
        <v>7</v>
      </c>
      <c r="BR51" s="257">
        <f t="shared" si="8"/>
        <v>7</v>
      </c>
      <c r="BS51" s="257">
        <f t="shared" si="9"/>
        <v>7</v>
      </c>
      <c r="BT51" s="302">
        <f t="shared" si="10"/>
        <v>7</v>
      </c>
      <c r="BU51" s="303">
        <f t="shared" si="11"/>
        <v>1</v>
      </c>
      <c r="BV51" s="257">
        <f t="shared" si="12"/>
        <v>1</v>
      </c>
      <c r="BW51" s="456">
        <f t="shared" si="13"/>
        <v>1</v>
      </c>
      <c r="BX51" s="459">
        <f t="shared" si="14"/>
        <v>0</v>
      </c>
      <c r="BY51" s="311">
        <f t="shared" si="23"/>
        <v>7</v>
      </c>
      <c r="CC51" s="545"/>
      <c r="CD51" s="577">
        <f t="shared" si="15"/>
        <v>0</v>
      </c>
      <c r="CH51" s="545"/>
      <c r="CK51" s="545"/>
      <c r="CM51" s="571"/>
      <c r="CN51" s="545"/>
      <c r="CO51" s="545"/>
      <c r="CR51" s="571"/>
      <c r="CS51" s="545"/>
      <c r="CW51" s="545"/>
      <c r="CX51" s="572"/>
      <c r="CY51" s="545"/>
      <c r="CZ51" s="562">
        <f t="shared" si="24"/>
        <v>0</v>
      </c>
      <c r="DC51" s="545"/>
      <c r="DE51" s="545"/>
      <c r="DH51" s="562">
        <f t="shared" si="29"/>
        <v>0</v>
      </c>
      <c r="DM51" s="547" t="str">
        <f t="shared" si="0"/>
        <v>Mat 1</v>
      </c>
      <c r="DN51" s="547">
        <f t="shared" si="25"/>
        <v>7</v>
      </c>
      <c r="DO51" s="547">
        <f t="shared" si="26"/>
        <v>0</v>
      </c>
      <c r="DP51" s="547">
        <f t="shared" si="27"/>
        <v>7</v>
      </c>
      <c r="DT51" s="547">
        <f t="shared" si="28"/>
        <v>7</v>
      </c>
      <c r="EE51" s="583" t="str">
        <f t="shared" si="33"/>
        <v>Mat 1</v>
      </c>
      <c r="EG51" s="445">
        <v>1</v>
      </c>
      <c r="EH51" s="446">
        <v>1</v>
      </c>
      <c r="EI51" s="446">
        <v>1</v>
      </c>
      <c r="EJ51" s="595">
        <v>1</v>
      </c>
      <c r="EK51" s="595">
        <v>1</v>
      </c>
      <c r="EL51" s="573">
        <f t="shared" si="34"/>
        <v>1</v>
      </c>
    </row>
    <row r="52" spans="1:142" ht="60" x14ac:dyDescent="0.25">
      <c r="A52" s="982">
        <v>4</v>
      </c>
      <c r="B52" s="983">
        <v>2</v>
      </c>
      <c r="C52" s="851" t="s">
        <v>181</v>
      </c>
      <c r="D52" s="1003" t="s">
        <v>680</v>
      </c>
      <c r="E52" s="726">
        <v>1</v>
      </c>
      <c r="F52" s="537">
        <v>1</v>
      </c>
      <c r="G52" s="537">
        <v>1</v>
      </c>
      <c r="H52" s="537">
        <v>0</v>
      </c>
      <c r="I52" s="725">
        <v>1</v>
      </c>
      <c r="J52" s="724">
        <v>2</v>
      </c>
      <c r="K52" s="537">
        <v>2</v>
      </c>
      <c r="L52" s="537">
        <v>2</v>
      </c>
      <c r="M52" s="727">
        <v>2</v>
      </c>
      <c r="N52" s="726"/>
      <c r="O52" s="727"/>
      <c r="P52" s="724">
        <v>0</v>
      </c>
      <c r="Q52" s="724">
        <v>0</v>
      </c>
      <c r="R52" s="724">
        <v>0</v>
      </c>
      <c r="S52" s="724">
        <v>0</v>
      </c>
      <c r="T52" s="724">
        <v>0</v>
      </c>
      <c r="U52" s="724">
        <f t="shared" si="31"/>
        <v>0</v>
      </c>
      <c r="V52" s="724"/>
      <c r="W52" s="724"/>
      <c r="X52" s="724"/>
      <c r="Y52" s="726"/>
      <c r="Z52" s="724"/>
      <c r="AA52" s="726"/>
      <c r="AB52" s="724"/>
      <c r="AC52" s="537"/>
      <c r="AD52" s="537"/>
      <c r="AE52" s="537"/>
      <c r="AF52" s="537" t="s">
        <v>444</v>
      </c>
      <c r="AG52" s="537"/>
      <c r="AH52" s="537"/>
      <c r="AI52" s="537"/>
      <c r="AJ52" s="537"/>
      <c r="AK52" s="727"/>
      <c r="AL52" s="390">
        <f t="shared" si="32"/>
        <v>2</v>
      </c>
      <c r="AM52" s="729"/>
      <c r="AN52" s="730"/>
      <c r="AO52" s="731"/>
      <c r="AP52" s="732"/>
      <c r="AQ52" s="850"/>
      <c r="AR52" s="848"/>
      <c r="AS52" s="733"/>
      <c r="AT52" s="852"/>
      <c r="AU52" s="858"/>
      <c r="AV52" s="1015"/>
      <c r="AW52" s="1020"/>
      <c r="AX52" s="1020"/>
      <c r="AY52" s="1020"/>
      <c r="AZ52" s="898"/>
      <c r="BA52" s="1024"/>
      <c r="BE52" s="545">
        <v>46</v>
      </c>
      <c r="BF52" s="564" t="s">
        <v>117</v>
      </c>
      <c r="BG52" s="276">
        <f t="shared" si="3"/>
        <v>1</v>
      </c>
      <c r="BH52" s="282">
        <f t="shared" si="4"/>
        <v>0</v>
      </c>
      <c r="BI52" s="565">
        <f t="shared" si="5"/>
        <v>0</v>
      </c>
      <c r="BJ52" s="566">
        <f t="shared" si="6"/>
        <v>0</v>
      </c>
      <c r="BQ52" s="298">
        <f t="shared" si="7"/>
        <v>1</v>
      </c>
      <c r="BR52" s="257">
        <f t="shared" si="8"/>
        <v>1</v>
      </c>
      <c r="BS52" s="257">
        <f t="shared" si="9"/>
        <v>1</v>
      </c>
      <c r="BT52" s="302">
        <f t="shared" si="10"/>
        <v>1</v>
      </c>
      <c r="BU52" s="303">
        <f t="shared" si="11"/>
        <v>1</v>
      </c>
      <c r="BV52" s="257">
        <f t="shared" si="12"/>
        <v>0</v>
      </c>
      <c r="BW52" s="456">
        <f t="shared" si="13"/>
        <v>1</v>
      </c>
      <c r="BX52" s="459">
        <f t="shared" si="14"/>
        <v>0</v>
      </c>
      <c r="BY52" s="311">
        <f t="shared" si="23"/>
        <v>1</v>
      </c>
      <c r="CC52" s="545"/>
      <c r="CD52" s="570">
        <f t="shared" si="15"/>
        <v>0</v>
      </c>
      <c r="CH52" s="545"/>
      <c r="CK52" s="545"/>
      <c r="CM52" s="571"/>
      <c r="CN52" s="545"/>
      <c r="CO52" s="545"/>
      <c r="CR52" s="571"/>
      <c r="CS52" s="545"/>
      <c r="CW52" s="545"/>
      <c r="CX52" s="572"/>
      <c r="CY52" s="545"/>
      <c r="CZ52" s="562">
        <f t="shared" si="24"/>
        <v>0</v>
      </c>
      <c r="DC52" s="545"/>
      <c r="DE52" s="545"/>
      <c r="DH52" s="562">
        <f t="shared" si="29"/>
        <v>0</v>
      </c>
      <c r="DM52" s="547" t="str">
        <f t="shared" si="0"/>
        <v>Mat 3</v>
      </c>
      <c r="DN52" s="547">
        <f t="shared" si="25"/>
        <v>1</v>
      </c>
      <c r="DO52" s="547">
        <f>IF(SUM(BZ52:DL52)&gt;DN52,DN52,SUM(BZ52:DL52))</f>
        <v>0</v>
      </c>
      <c r="DP52" s="547">
        <f t="shared" si="27"/>
        <v>1</v>
      </c>
      <c r="DT52" s="547">
        <f t="shared" si="28"/>
        <v>1</v>
      </c>
      <c r="EE52" s="564" t="str">
        <f t="shared" si="33"/>
        <v>Mat 3</v>
      </c>
      <c r="EG52" s="439">
        <f>VLOOKUP(BF52,$C$9:$T$95,14,FALSE)</f>
        <v>0</v>
      </c>
      <c r="EH52" s="440">
        <f>VLOOKUP(BF52,$C$9:$T$95,15,FALSE)</f>
        <v>0</v>
      </c>
      <c r="EI52" s="440">
        <f>VLOOKUP(BF52,$C$9:$T$95,16,FALSE)</f>
        <v>0</v>
      </c>
      <c r="EJ52" s="541">
        <f>VLOOKUP(BF52,$C$9:$T$95,17,FALSE)</f>
        <v>0</v>
      </c>
      <c r="EK52" s="541">
        <f>VLOOKUP(BF52,$C$9:$T$95,18,FALSE)</f>
        <v>0</v>
      </c>
      <c r="EL52" s="573">
        <f t="shared" si="34"/>
        <v>0</v>
      </c>
    </row>
    <row r="53" spans="1:142" ht="30" x14ac:dyDescent="0.25">
      <c r="A53" s="982">
        <v>4</v>
      </c>
      <c r="B53" s="983">
        <v>3</v>
      </c>
      <c r="C53" s="851" t="s">
        <v>176</v>
      </c>
      <c r="D53" s="1003" t="s">
        <v>681</v>
      </c>
      <c r="E53" s="726">
        <v>1</v>
      </c>
      <c r="F53" s="537">
        <v>1</v>
      </c>
      <c r="G53" s="537">
        <v>1</v>
      </c>
      <c r="H53" s="537">
        <v>0</v>
      </c>
      <c r="I53" s="725">
        <v>1</v>
      </c>
      <c r="J53" s="724">
        <v>4</v>
      </c>
      <c r="K53" s="537">
        <v>4</v>
      </c>
      <c r="L53" s="537">
        <v>4</v>
      </c>
      <c r="M53" s="727">
        <v>4</v>
      </c>
      <c r="N53" s="726"/>
      <c r="O53" s="727"/>
      <c r="P53" s="724">
        <v>0</v>
      </c>
      <c r="Q53" s="724">
        <v>0</v>
      </c>
      <c r="R53" s="724">
        <v>0</v>
      </c>
      <c r="S53" s="724">
        <v>1</v>
      </c>
      <c r="T53" s="724">
        <v>1</v>
      </c>
      <c r="U53" s="724">
        <f t="shared" si="31"/>
        <v>1</v>
      </c>
      <c r="V53" s="724"/>
      <c r="W53" s="724"/>
      <c r="X53" s="724"/>
      <c r="Y53" s="726"/>
      <c r="Z53" s="724"/>
      <c r="AA53" s="726"/>
      <c r="AB53" s="724"/>
      <c r="AC53" s="537"/>
      <c r="AD53" s="537"/>
      <c r="AE53" s="537"/>
      <c r="AF53" s="537"/>
      <c r="AG53" s="537"/>
      <c r="AH53" s="537"/>
      <c r="AI53" s="537"/>
      <c r="AJ53" s="537"/>
      <c r="AK53" s="727"/>
      <c r="AL53" s="390">
        <f t="shared" si="32"/>
        <v>4</v>
      </c>
      <c r="AM53" s="729"/>
      <c r="AN53" s="730"/>
      <c r="AO53" s="731"/>
      <c r="AP53" s="732"/>
      <c r="AQ53" s="850"/>
      <c r="AR53" s="848"/>
      <c r="AS53" s="733"/>
      <c r="AT53" s="852"/>
      <c r="AU53" s="858"/>
      <c r="AV53" s="1015"/>
      <c r="AW53" s="1020"/>
      <c r="AX53" s="1020"/>
      <c r="AY53" s="1020"/>
      <c r="AZ53" s="898"/>
      <c r="BA53" s="1024"/>
      <c r="BE53" s="545">
        <v>47</v>
      </c>
      <c r="BF53" s="564" t="s">
        <v>114</v>
      </c>
      <c r="BG53" s="276">
        <f t="shared" si="3"/>
        <v>1</v>
      </c>
      <c r="BH53" s="282">
        <f t="shared" si="4"/>
        <v>0</v>
      </c>
      <c r="BI53" s="565">
        <f t="shared" si="5"/>
        <v>0</v>
      </c>
      <c r="BJ53" s="566">
        <f t="shared" si="6"/>
        <v>0</v>
      </c>
      <c r="BQ53" s="299">
        <f t="shared" si="7"/>
        <v>1</v>
      </c>
      <c r="BR53" s="300">
        <f t="shared" si="8"/>
        <v>1</v>
      </c>
      <c r="BS53" s="300">
        <f t="shared" si="9"/>
        <v>1</v>
      </c>
      <c r="BT53" s="301">
        <f t="shared" si="10"/>
        <v>1</v>
      </c>
      <c r="BU53" s="303">
        <f t="shared" si="11"/>
        <v>1</v>
      </c>
      <c r="BV53" s="257">
        <f t="shared" si="12"/>
        <v>0</v>
      </c>
      <c r="BW53" s="456">
        <f t="shared" si="13"/>
        <v>1</v>
      </c>
      <c r="BX53" s="459">
        <f t="shared" si="14"/>
        <v>0</v>
      </c>
      <c r="BY53" s="311">
        <f t="shared" si="23"/>
        <v>1</v>
      </c>
      <c r="CC53" s="545"/>
      <c r="CD53" s="570">
        <f t="shared" si="15"/>
        <v>0</v>
      </c>
      <c r="CH53" s="545"/>
      <c r="CK53" s="545"/>
      <c r="CM53" s="571"/>
      <c r="CN53" s="545"/>
      <c r="CO53" s="545"/>
      <c r="CR53" s="571"/>
      <c r="CS53" s="545"/>
      <c r="CW53" s="545"/>
      <c r="CX53" s="572"/>
      <c r="CY53" s="545"/>
      <c r="CZ53" s="562">
        <f t="shared" si="24"/>
        <v>0</v>
      </c>
      <c r="DC53" s="545"/>
      <c r="DE53" s="545"/>
      <c r="DH53" s="562">
        <f t="shared" si="29"/>
        <v>0</v>
      </c>
      <c r="DM53" s="547" t="str">
        <f t="shared" si="0"/>
        <v>Mat 4</v>
      </c>
      <c r="DN53" s="547">
        <f t="shared" si="25"/>
        <v>1</v>
      </c>
      <c r="DO53" s="547">
        <f t="shared" si="26"/>
        <v>0</v>
      </c>
      <c r="DP53" s="547">
        <f t="shared" si="27"/>
        <v>1</v>
      </c>
      <c r="DT53" s="547">
        <f t="shared" si="28"/>
        <v>1</v>
      </c>
      <c r="EE53" s="564" t="str">
        <f t="shared" si="33"/>
        <v>Mat 4</v>
      </c>
      <c r="EG53" s="439">
        <f>VLOOKUP(BF53,$C$9:$T$95,14,FALSE)</f>
        <v>0</v>
      </c>
      <c r="EH53" s="440">
        <f>VLOOKUP(BF53,$C$9:$T$95,15,FALSE)</f>
        <v>0</v>
      </c>
      <c r="EI53" s="440">
        <f>VLOOKUP(BF53,$C$9:$T$95,16,FALSE)</f>
        <v>0</v>
      </c>
      <c r="EJ53" s="541">
        <f>VLOOKUP(BF53,$C$9:$T$95,17,FALSE)</f>
        <v>0</v>
      </c>
      <c r="EK53" s="541">
        <f>VLOOKUP(BF53,$C$9:$T$95,18,FALSE)</f>
        <v>0</v>
      </c>
      <c r="EL53" s="573">
        <f t="shared" si="34"/>
        <v>0</v>
      </c>
    </row>
    <row r="54" spans="1:142" ht="45.75" thickBot="1" x14ac:dyDescent="0.3">
      <c r="A54" s="982">
        <v>4</v>
      </c>
      <c r="B54" s="983">
        <v>3</v>
      </c>
      <c r="C54" s="851" t="s">
        <v>593</v>
      </c>
      <c r="D54" s="1003" t="s">
        <v>682</v>
      </c>
      <c r="E54" s="726">
        <v>1</v>
      </c>
      <c r="F54" s="537">
        <v>1</v>
      </c>
      <c r="G54" s="537">
        <v>0</v>
      </c>
      <c r="H54" s="537">
        <v>0</v>
      </c>
      <c r="I54" s="725">
        <v>1</v>
      </c>
      <c r="J54" s="724">
        <v>1</v>
      </c>
      <c r="K54" s="537">
        <v>1</v>
      </c>
      <c r="L54" s="537">
        <v>1</v>
      </c>
      <c r="M54" s="727">
        <v>1</v>
      </c>
      <c r="N54" s="726"/>
      <c r="O54" s="727"/>
      <c r="P54" s="724">
        <v>0</v>
      </c>
      <c r="Q54" s="724">
        <v>0</v>
      </c>
      <c r="R54" s="724">
        <v>0</v>
      </c>
      <c r="S54" s="724">
        <v>0</v>
      </c>
      <c r="T54" s="724">
        <v>0</v>
      </c>
      <c r="U54" s="724">
        <f t="shared" si="31"/>
        <v>0</v>
      </c>
      <c r="V54" s="724"/>
      <c r="W54" s="724"/>
      <c r="X54" s="724"/>
      <c r="Y54" s="726"/>
      <c r="Z54" s="724"/>
      <c r="AA54" s="726"/>
      <c r="AB54" s="724"/>
      <c r="AC54" s="537"/>
      <c r="AD54" s="537"/>
      <c r="AE54" s="537"/>
      <c r="AF54" s="537"/>
      <c r="AG54" s="537"/>
      <c r="AH54" s="537"/>
      <c r="AI54" s="537"/>
      <c r="AJ54" s="537"/>
      <c r="AK54" s="727"/>
      <c r="AL54" s="390">
        <f t="shared" si="32"/>
        <v>1</v>
      </c>
      <c r="AM54" s="729"/>
      <c r="AN54" s="730"/>
      <c r="AO54" s="731"/>
      <c r="AP54" s="732"/>
      <c r="AQ54" s="850"/>
      <c r="AR54" s="848"/>
      <c r="AS54" s="733"/>
      <c r="AT54" s="852"/>
      <c r="AU54" s="858"/>
      <c r="AV54" s="1015"/>
      <c r="AW54" s="1020"/>
      <c r="AX54" s="1020"/>
      <c r="AY54" s="1020"/>
      <c r="AZ54" s="898"/>
      <c r="BA54" s="1024"/>
      <c r="BE54" s="545">
        <v>48</v>
      </c>
      <c r="BF54" s="564" t="s">
        <v>194</v>
      </c>
      <c r="BG54" s="276">
        <f t="shared" si="3"/>
        <v>2</v>
      </c>
      <c r="BH54" s="282">
        <f t="shared" si="4"/>
        <v>0</v>
      </c>
      <c r="BI54" s="565">
        <f t="shared" si="5"/>
        <v>0</v>
      </c>
      <c r="BJ54" s="566">
        <f t="shared" si="6"/>
        <v>0</v>
      </c>
      <c r="BQ54" s="299">
        <f t="shared" si="7"/>
        <v>2</v>
      </c>
      <c r="BR54" s="300">
        <f t="shared" si="8"/>
        <v>2</v>
      </c>
      <c r="BS54" s="300">
        <f t="shared" si="9"/>
        <v>2</v>
      </c>
      <c r="BT54" s="301">
        <f t="shared" si="10"/>
        <v>2</v>
      </c>
      <c r="BU54" s="303">
        <f t="shared" si="11"/>
        <v>1</v>
      </c>
      <c r="BV54" s="257">
        <f t="shared" si="12"/>
        <v>1</v>
      </c>
      <c r="BW54" s="456">
        <f t="shared" si="13"/>
        <v>1</v>
      </c>
      <c r="BX54" s="459">
        <f t="shared" si="14"/>
        <v>0</v>
      </c>
      <c r="BY54" s="335">
        <f t="shared" si="23"/>
        <v>2</v>
      </c>
      <c r="BZ54" s="549"/>
      <c r="CA54" s="550"/>
      <c r="CB54" s="550"/>
      <c r="CC54" s="562">
        <f>IF(CC7=CC6,1,0)</f>
        <v>0</v>
      </c>
      <c r="CD54" s="570">
        <f t="shared" si="15"/>
        <v>0</v>
      </c>
      <c r="CH54" s="545"/>
      <c r="CK54" s="545"/>
      <c r="CM54" s="571"/>
      <c r="CN54" s="545"/>
      <c r="CO54" s="545"/>
      <c r="CR54" s="571"/>
      <c r="CS54" s="545"/>
      <c r="CW54" s="545"/>
      <c r="CX54" s="572"/>
      <c r="CY54" s="545"/>
      <c r="CZ54" s="562">
        <f t="shared" si="24"/>
        <v>0</v>
      </c>
      <c r="DC54" s="545"/>
      <c r="DE54" s="545"/>
      <c r="DH54" s="562">
        <f t="shared" si="29"/>
        <v>0</v>
      </c>
      <c r="DM54" s="547" t="str">
        <f t="shared" si="0"/>
        <v>Mat 5</v>
      </c>
      <c r="DN54" s="547">
        <f t="shared" si="25"/>
        <v>2</v>
      </c>
      <c r="DO54" s="547">
        <f t="shared" si="26"/>
        <v>0</v>
      </c>
      <c r="DP54" s="547">
        <f t="shared" si="27"/>
        <v>2</v>
      </c>
      <c r="DQ54" s="1236" t="s">
        <v>491</v>
      </c>
      <c r="DR54" s="1242"/>
      <c r="DS54" s="1242"/>
      <c r="DT54" s="547">
        <f t="shared" si="28"/>
        <v>2</v>
      </c>
      <c r="EE54" s="564" t="str">
        <f t="shared" si="33"/>
        <v>Mat 5</v>
      </c>
      <c r="EG54" s="439">
        <f>VLOOKUP(BF54,$C$9:$T$95,14,FALSE)</f>
        <v>0</v>
      </c>
      <c r="EH54" s="440">
        <f>VLOOKUP(BF54,$C$9:$T$95,15,FALSE)</f>
        <v>0</v>
      </c>
      <c r="EI54" s="440">
        <f>VLOOKUP(BF54,$C$9:$T$95,16,FALSE)</f>
        <v>0</v>
      </c>
      <c r="EJ54" s="541">
        <f>VLOOKUP(BF54,$C$9:$T$95,17,FALSE)</f>
        <v>0</v>
      </c>
      <c r="EK54" s="541">
        <f>VLOOKUP(BF54,$C$9:$T$95,18,FALSE)</f>
        <v>0</v>
      </c>
      <c r="EL54" s="573">
        <f t="shared" si="34"/>
        <v>0</v>
      </c>
    </row>
    <row r="55" spans="1:142" ht="99" customHeight="1" x14ac:dyDescent="0.25">
      <c r="A55" s="982">
        <v>4</v>
      </c>
      <c r="B55" s="983">
        <v>4</v>
      </c>
      <c r="C55" s="851" t="s">
        <v>178</v>
      </c>
      <c r="D55" s="1003" t="s">
        <v>570</v>
      </c>
      <c r="E55" s="726">
        <v>1</v>
      </c>
      <c r="F55" s="537">
        <v>0</v>
      </c>
      <c r="G55" s="537">
        <v>1</v>
      </c>
      <c r="H55" s="537">
        <v>1</v>
      </c>
      <c r="I55" s="725">
        <v>1</v>
      </c>
      <c r="J55" s="724">
        <v>1</v>
      </c>
      <c r="K55" s="537">
        <v>1</v>
      </c>
      <c r="L55" s="537">
        <v>1</v>
      </c>
      <c r="M55" s="727">
        <v>2</v>
      </c>
      <c r="N55" s="726"/>
      <c r="O55" s="727"/>
      <c r="P55" s="724">
        <v>0</v>
      </c>
      <c r="Q55" s="724">
        <v>1</v>
      </c>
      <c r="R55" s="724">
        <v>1</v>
      </c>
      <c r="S55" s="724">
        <v>1</v>
      </c>
      <c r="T55" s="724">
        <v>1</v>
      </c>
      <c r="U55" s="724">
        <f t="shared" si="31"/>
        <v>1</v>
      </c>
      <c r="V55" s="724"/>
      <c r="W55" s="724"/>
      <c r="X55" s="724"/>
      <c r="Y55" s="726"/>
      <c r="Z55" s="724"/>
      <c r="AA55" s="726"/>
      <c r="AB55" s="724"/>
      <c r="AC55" s="537"/>
      <c r="AD55" s="537"/>
      <c r="AE55" s="537"/>
      <c r="AF55" s="897"/>
      <c r="AG55" s="897"/>
      <c r="AH55" s="897"/>
      <c r="AI55" s="897"/>
      <c r="AJ55" s="537"/>
      <c r="AK55" s="727"/>
      <c r="AL55" s="390">
        <f t="shared" si="32"/>
        <v>2</v>
      </c>
      <c r="AM55" s="729"/>
      <c r="AN55" s="730"/>
      <c r="AO55" s="731"/>
      <c r="AP55" s="732"/>
      <c r="AQ55" s="850"/>
      <c r="AR55" s="848"/>
      <c r="AS55" s="733"/>
      <c r="AT55" s="852"/>
      <c r="AU55" s="858"/>
      <c r="AV55" s="1015"/>
      <c r="AW55" s="1020"/>
      <c r="AX55" s="1020"/>
      <c r="AY55" s="1020"/>
      <c r="AZ55" s="898"/>
      <c r="BA55" s="1024"/>
      <c r="BE55" s="545">
        <v>49</v>
      </c>
      <c r="BF55" s="564"/>
      <c r="BG55" s="276"/>
      <c r="BH55" s="282"/>
      <c r="BI55" s="565"/>
      <c r="BJ55" s="566"/>
      <c r="BK55" s="1236" t="s">
        <v>491</v>
      </c>
      <c r="BL55" s="1237"/>
      <c r="BM55" s="1237"/>
      <c r="BN55" s="1237"/>
      <c r="BQ55" s="567"/>
      <c r="BR55" s="568"/>
      <c r="BS55" s="568"/>
      <c r="BT55" s="569"/>
      <c r="BU55" s="303"/>
      <c r="BV55" s="257"/>
      <c r="BW55" s="456"/>
      <c r="BX55" s="459"/>
      <c r="BY55" s="311"/>
      <c r="CD55" s="570"/>
      <c r="CH55" s="545"/>
      <c r="CK55" s="545"/>
      <c r="CM55" s="571"/>
      <c r="CN55" s="545"/>
      <c r="CO55" s="545"/>
      <c r="CR55" s="571"/>
      <c r="CS55" s="545"/>
      <c r="CW55" s="545"/>
      <c r="CX55" s="572"/>
      <c r="CY55" s="545"/>
      <c r="CZ55" s="562">
        <f t="shared" si="24"/>
        <v>0</v>
      </c>
      <c r="DC55" s="545"/>
      <c r="DE55" s="545"/>
      <c r="DH55" s="562">
        <f t="shared" si="29"/>
        <v>0</v>
      </c>
      <c r="DM55" s="547"/>
      <c r="DN55" s="547"/>
      <c r="DO55" s="547">
        <f t="shared" si="26"/>
        <v>0</v>
      </c>
      <c r="DP55" s="547"/>
      <c r="DQ55" s="289" t="s">
        <v>664</v>
      </c>
      <c r="DR55" s="264" t="s">
        <v>665</v>
      </c>
      <c r="DS55" s="343" t="s">
        <v>710</v>
      </c>
      <c r="DT55" s="547">
        <f t="shared" si="28"/>
        <v>0</v>
      </c>
      <c r="EE55" s="564">
        <f t="shared" si="33"/>
        <v>0</v>
      </c>
      <c r="EG55" s="439"/>
      <c r="EH55" s="440"/>
      <c r="EI55" s="440"/>
      <c r="EL55" s="573">
        <f t="shared" si="34"/>
        <v>0</v>
      </c>
    </row>
    <row r="56" spans="1:142" x14ac:dyDescent="0.25">
      <c r="A56" s="982">
        <v>9</v>
      </c>
      <c r="B56" s="983">
        <v>1</v>
      </c>
      <c r="C56" s="851" t="s">
        <v>198</v>
      </c>
      <c r="D56" s="1003" t="s">
        <v>676</v>
      </c>
      <c r="E56" s="726">
        <v>1</v>
      </c>
      <c r="F56" s="537">
        <v>1</v>
      </c>
      <c r="G56" s="537">
        <v>1</v>
      </c>
      <c r="H56" s="537">
        <v>0</v>
      </c>
      <c r="I56" s="725">
        <v>1</v>
      </c>
      <c r="J56" s="724">
        <v>7</v>
      </c>
      <c r="K56" s="537">
        <v>7</v>
      </c>
      <c r="L56" s="537">
        <v>7</v>
      </c>
      <c r="M56" s="727">
        <v>7</v>
      </c>
      <c r="N56" s="726"/>
      <c r="O56" s="727"/>
      <c r="P56" s="724">
        <v>0</v>
      </c>
      <c r="Q56" s="724">
        <v>0</v>
      </c>
      <c r="R56" s="724">
        <v>0</v>
      </c>
      <c r="S56" s="724">
        <v>0</v>
      </c>
      <c r="T56" s="724">
        <v>0</v>
      </c>
      <c r="U56" s="724">
        <f t="shared" si="31"/>
        <v>1</v>
      </c>
      <c r="V56" s="724"/>
      <c r="W56" s="724"/>
      <c r="X56" s="724"/>
      <c r="Y56" s="726"/>
      <c r="Z56" s="724"/>
      <c r="AA56" s="726"/>
      <c r="AB56" s="724"/>
      <c r="AC56" s="537"/>
      <c r="AD56" s="537"/>
      <c r="AE56" s="537"/>
      <c r="AF56" s="537"/>
      <c r="AG56" s="537"/>
      <c r="AH56" s="537"/>
      <c r="AI56" s="537"/>
      <c r="AJ56" s="537"/>
      <c r="AK56" s="727"/>
      <c r="AL56" s="390">
        <f t="shared" si="32"/>
        <v>7</v>
      </c>
      <c r="AM56" s="918"/>
      <c r="AN56" s="730"/>
      <c r="AO56" s="731"/>
      <c r="AP56" s="732"/>
      <c r="AQ56" s="850"/>
      <c r="AR56" s="848"/>
      <c r="AS56" s="733"/>
      <c r="AT56" s="852"/>
      <c r="AU56" s="858"/>
      <c r="AV56" s="1015"/>
      <c r="AW56" s="1020"/>
      <c r="AX56" s="1020"/>
      <c r="AY56" s="1020"/>
      <c r="AZ56" s="898"/>
      <c r="BA56" s="1024"/>
      <c r="BE56" s="545">
        <v>50</v>
      </c>
      <c r="BF56" s="564" t="s">
        <v>190</v>
      </c>
      <c r="BG56" s="276">
        <f t="shared" ref="BG56:BG76" si="37">VLOOKUP($BF56,$C$9:$AT$98,AL$1,FALSE)</f>
        <v>1</v>
      </c>
      <c r="BH56" s="282">
        <f t="shared" ref="BH56:BH76" si="38">IF(VLOOKUP($BF56,$C$9:$AT$98,AN$1,FALSE)&gt;BG56,BG56,(VLOOKUP($BF56,$C$9:$AT$98,AN$1,FALSE)))</f>
        <v>0</v>
      </c>
      <c r="BI56" s="565">
        <f t="shared" ref="BI56:BI76" si="39">IF(VLOOKUP($BF56,$C$9:$AT$98,AP$1,FALSE)&gt;BG56,BG56,VLOOKUP($BF56,$C$9:$AT$98,AP$1,FALSE))</f>
        <v>0</v>
      </c>
      <c r="BJ56" s="566">
        <f t="shared" ref="BJ56:BJ76" si="40">IF(VLOOKUP($BF56,$C$9:$AT$98,AS$1,FALSE)&gt;BG56,BG56,VLOOKUP($BF56,$C$9:$AT$98,AS$1,FALSE))</f>
        <v>0</v>
      </c>
      <c r="BK56" s="274">
        <f>SUM(BG51:BG56)</f>
        <v>12</v>
      </c>
      <c r="BL56" s="273">
        <f t="shared" ref="BL56:BN56" si="41">SUM(BH51:BH56)</f>
        <v>0</v>
      </c>
      <c r="BM56" s="273">
        <f t="shared" si="41"/>
        <v>0</v>
      </c>
      <c r="BN56" s="273">
        <f t="shared" si="41"/>
        <v>0</v>
      </c>
      <c r="BQ56" s="298">
        <f t="shared" ref="BQ56:BQ76" si="42">VLOOKUP($BF56,$C$9:$AT$98,J$1,FALSE)</f>
        <v>1</v>
      </c>
      <c r="BR56" s="257">
        <f t="shared" ref="BR56:BR76" si="43">VLOOKUP($BF56,$C$9:$AT$98,K$1,FALSE)</f>
        <v>1</v>
      </c>
      <c r="BS56" s="257">
        <f t="shared" ref="BS56:BS76" si="44">VLOOKUP($BF56,$C$9:$AT$98,L$1,FALSE)</f>
        <v>1</v>
      </c>
      <c r="BT56" s="302">
        <f t="shared" ref="BT56:BT76" si="45">VLOOKUP($BF56,$C$9:$AT$98,M$1,FALSE)</f>
        <v>1</v>
      </c>
      <c r="BU56" s="303">
        <f t="shared" ref="BU56:BU76" si="46">VLOOKUP($BF56,$C$9:$AT$98,E$1,FALSE)</f>
        <v>1</v>
      </c>
      <c r="BV56" s="257">
        <f t="shared" ref="BV56:BV76" si="47">VLOOKUP($BF56,$C$9:$AT$98,G$1,FALSE)</f>
        <v>1</v>
      </c>
      <c r="BW56" s="456">
        <f t="shared" ref="BW56:BW76" si="48">VLOOKUP($BF56,$C$9:$AT$98,I$1,FALSE)</f>
        <v>1</v>
      </c>
      <c r="BX56" s="459">
        <f t="shared" ref="BX56:BX76" si="49">VLOOKUP($BF56,$C$9:$AT$98,O$1,FALSE)</f>
        <v>0</v>
      </c>
      <c r="BY56" s="311">
        <f t="shared" si="23"/>
        <v>1</v>
      </c>
      <c r="CD56" s="570">
        <f t="shared" ref="CD56:CD76" si="50">IF(BU56=0,IF($CD$7=$CD$3,0,IF($CD$7=$CD$4,BY56/2,IF($CD$7=$CD$5,0,IF($CD$7=$CD$6,BY56,0)))),0)</f>
        <v>0</v>
      </c>
      <c r="CH56" s="545"/>
      <c r="CK56" s="545"/>
      <c r="CM56" s="571"/>
      <c r="CN56" s="545"/>
      <c r="CO56" s="545"/>
      <c r="CR56" s="571"/>
      <c r="CS56" s="545"/>
      <c r="CW56" s="545"/>
      <c r="CX56" s="572"/>
      <c r="CY56" s="545"/>
      <c r="CZ56" s="562">
        <f t="shared" si="24"/>
        <v>0</v>
      </c>
      <c r="DC56" s="545"/>
      <c r="DE56" s="545"/>
      <c r="DH56" s="562">
        <f t="shared" si="29"/>
        <v>0</v>
      </c>
      <c r="DM56" s="547" t="str">
        <f t="shared" ref="DM56:DM76" si="51">BF56</f>
        <v>Mat 7</v>
      </c>
      <c r="DN56" s="547">
        <f t="shared" si="25"/>
        <v>1</v>
      </c>
      <c r="DO56" s="547">
        <f t="shared" si="26"/>
        <v>0</v>
      </c>
      <c r="DP56" s="547">
        <f t="shared" si="27"/>
        <v>1</v>
      </c>
      <c r="DQ56" s="273">
        <f>SUM(DN51:DN56)</f>
        <v>12</v>
      </c>
      <c r="DR56" s="273">
        <f>SUM(DO51:DO56)</f>
        <v>0</v>
      </c>
      <c r="DS56" s="273">
        <f>SUM(DT51:DT56)</f>
        <v>12</v>
      </c>
      <c r="DT56" s="547">
        <f t="shared" si="28"/>
        <v>1</v>
      </c>
      <c r="EE56" s="564" t="str">
        <f t="shared" si="33"/>
        <v>Mat 7</v>
      </c>
      <c r="EG56" s="439">
        <f t="shared" ref="EG56:EG76" si="52">VLOOKUP(BF56,$C$9:$T$95,14,FALSE)</f>
        <v>0</v>
      </c>
      <c r="EH56" s="440">
        <f t="shared" ref="EH56:EH76" si="53">VLOOKUP(BF56,$C$9:$T$95,15,FALSE)</f>
        <v>0</v>
      </c>
      <c r="EI56" s="440">
        <f t="shared" ref="EI56:EI76" si="54">VLOOKUP(BF56,$C$9:$T$95,16,FALSE)</f>
        <v>0</v>
      </c>
      <c r="EJ56" s="541">
        <f t="shared" ref="EJ56:EJ76" si="55">VLOOKUP(BF56,$C$9:$T$95,17,FALSE)</f>
        <v>0</v>
      </c>
      <c r="EK56" s="541">
        <f t="shared" ref="EK56:EK76" si="56">VLOOKUP(BF56,$C$9:$T$95,18,FALSE)</f>
        <v>0</v>
      </c>
      <c r="EL56" s="573">
        <f t="shared" si="34"/>
        <v>0</v>
      </c>
    </row>
    <row r="57" spans="1:142" x14ac:dyDescent="0.25">
      <c r="A57" s="982">
        <v>9</v>
      </c>
      <c r="B57" s="983">
        <v>3</v>
      </c>
      <c r="C57" s="851" t="s">
        <v>117</v>
      </c>
      <c r="D57" s="1003" t="s">
        <v>116</v>
      </c>
      <c r="E57" s="726">
        <v>1</v>
      </c>
      <c r="F57" s="537">
        <v>1</v>
      </c>
      <c r="G57" s="537">
        <v>0</v>
      </c>
      <c r="H57" s="537">
        <v>0</v>
      </c>
      <c r="I57" s="725">
        <v>1</v>
      </c>
      <c r="J57" s="724">
        <v>1</v>
      </c>
      <c r="K57" s="537">
        <v>1</v>
      </c>
      <c r="L57" s="537">
        <v>1</v>
      </c>
      <c r="M57" s="727">
        <v>1</v>
      </c>
      <c r="N57" s="726"/>
      <c r="O57" s="727"/>
      <c r="P57" s="724">
        <v>0</v>
      </c>
      <c r="Q57" s="724">
        <v>0</v>
      </c>
      <c r="R57" s="724">
        <v>0</v>
      </c>
      <c r="S57" s="724">
        <v>0</v>
      </c>
      <c r="T57" s="724">
        <v>0</v>
      </c>
      <c r="U57" s="724">
        <f t="shared" si="31"/>
        <v>0</v>
      </c>
      <c r="V57" s="724"/>
      <c r="W57" s="724"/>
      <c r="X57" s="724"/>
      <c r="Y57" s="726"/>
      <c r="Z57" s="724"/>
      <c r="AA57" s="726"/>
      <c r="AB57" s="724"/>
      <c r="AC57" s="537"/>
      <c r="AD57" s="537"/>
      <c r="AE57" s="537"/>
      <c r="AF57" s="537"/>
      <c r="AG57" s="537"/>
      <c r="AH57" s="537"/>
      <c r="AI57" s="537"/>
      <c r="AJ57" s="537"/>
      <c r="AK57" s="727"/>
      <c r="AL57" s="390">
        <f t="shared" si="32"/>
        <v>1</v>
      </c>
      <c r="AM57" s="729"/>
      <c r="AN57" s="730"/>
      <c r="AO57" s="731"/>
      <c r="AP57" s="732"/>
      <c r="AQ57" s="850"/>
      <c r="AR57" s="848"/>
      <c r="AS57" s="733"/>
      <c r="AT57" s="852"/>
      <c r="AU57" s="858"/>
      <c r="AV57" s="1015"/>
      <c r="AW57" s="1020"/>
      <c r="AX57" s="1020"/>
      <c r="AY57" s="1020"/>
      <c r="AZ57" s="898"/>
      <c r="BA57" s="1024"/>
      <c r="BE57" s="545">
        <v>51</v>
      </c>
      <c r="BF57" s="564" t="s">
        <v>87</v>
      </c>
      <c r="BG57" s="276">
        <f t="shared" si="37"/>
        <v>1</v>
      </c>
      <c r="BH57" s="282">
        <f t="shared" si="38"/>
        <v>0</v>
      </c>
      <c r="BI57" s="565">
        <f t="shared" si="39"/>
        <v>0</v>
      </c>
      <c r="BJ57" s="566">
        <f t="shared" si="40"/>
        <v>0</v>
      </c>
      <c r="BQ57" s="298">
        <f t="shared" si="42"/>
        <v>1</v>
      </c>
      <c r="BR57" s="257">
        <f t="shared" si="43"/>
        <v>1</v>
      </c>
      <c r="BS57" s="257">
        <f t="shared" si="44"/>
        <v>1</v>
      </c>
      <c r="BT57" s="302">
        <f t="shared" si="45"/>
        <v>1</v>
      </c>
      <c r="BU57" s="303">
        <f t="shared" si="46"/>
        <v>0</v>
      </c>
      <c r="BV57" s="257">
        <f t="shared" si="47"/>
        <v>1</v>
      </c>
      <c r="BW57" s="456">
        <f t="shared" si="48"/>
        <v>1</v>
      </c>
      <c r="BX57" s="459">
        <f t="shared" si="49"/>
        <v>0</v>
      </c>
      <c r="BY57" s="311">
        <f t="shared" si="23"/>
        <v>1</v>
      </c>
      <c r="CD57" s="559">
        <f t="shared" si="50"/>
        <v>0</v>
      </c>
      <c r="CH57" s="545"/>
      <c r="CK57" s="545"/>
      <c r="CM57" s="571"/>
      <c r="CN57" s="545"/>
      <c r="CO57" s="545"/>
      <c r="CR57" s="571"/>
      <c r="CS57" s="545"/>
      <c r="CW57" s="545"/>
      <c r="CX57" s="572"/>
      <c r="CY57" s="545"/>
      <c r="CZ57" s="562">
        <f t="shared" si="24"/>
        <v>0</v>
      </c>
      <c r="DC57" s="545"/>
      <c r="DE57" s="545"/>
      <c r="DH57" s="562">
        <f t="shared" si="29"/>
        <v>0</v>
      </c>
      <c r="DM57" s="547" t="str">
        <f t="shared" si="51"/>
        <v>Pol 1</v>
      </c>
      <c r="DN57" s="547">
        <f t="shared" si="25"/>
        <v>1</v>
      </c>
      <c r="DO57" s="547">
        <f t="shared" si="26"/>
        <v>0</v>
      </c>
      <c r="DP57" s="547">
        <f t="shared" si="27"/>
        <v>1</v>
      </c>
      <c r="DT57" s="547">
        <f t="shared" si="28"/>
        <v>1</v>
      </c>
      <c r="EE57" s="564" t="str">
        <f t="shared" si="33"/>
        <v>Pol 1</v>
      </c>
      <c r="EG57" s="439">
        <f t="shared" si="52"/>
        <v>0</v>
      </c>
      <c r="EH57" s="440">
        <f t="shared" si="53"/>
        <v>0</v>
      </c>
      <c r="EI57" s="440">
        <f t="shared" si="54"/>
        <v>0</v>
      </c>
      <c r="EJ57" s="541">
        <f t="shared" si="55"/>
        <v>0</v>
      </c>
      <c r="EK57" s="541">
        <f t="shared" si="56"/>
        <v>0</v>
      </c>
      <c r="EL57" s="573">
        <f t="shared" si="34"/>
        <v>0</v>
      </c>
    </row>
    <row r="58" spans="1:142" ht="45" x14ac:dyDescent="0.25">
      <c r="A58" s="982">
        <v>9</v>
      </c>
      <c r="B58" s="983">
        <v>4</v>
      </c>
      <c r="C58" s="851" t="s">
        <v>114</v>
      </c>
      <c r="D58" s="1003" t="s">
        <v>439</v>
      </c>
      <c r="E58" s="726">
        <v>1</v>
      </c>
      <c r="F58" s="537">
        <v>1</v>
      </c>
      <c r="G58" s="537">
        <v>0</v>
      </c>
      <c r="H58" s="537">
        <v>0</v>
      </c>
      <c r="I58" s="725">
        <v>1</v>
      </c>
      <c r="J58" s="724">
        <v>1</v>
      </c>
      <c r="K58" s="537">
        <v>1</v>
      </c>
      <c r="L58" s="537">
        <v>1</v>
      </c>
      <c r="M58" s="727">
        <v>1</v>
      </c>
      <c r="N58" s="726"/>
      <c r="O58" s="727"/>
      <c r="P58" s="724">
        <v>0</v>
      </c>
      <c r="Q58" s="724">
        <v>0</v>
      </c>
      <c r="R58" s="724">
        <v>0</v>
      </c>
      <c r="S58" s="724">
        <v>0</v>
      </c>
      <c r="T58" s="724">
        <v>0</v>
      </c>
      <c r="U58" s="724">
        <f t="shared" si="31"/>
        <v>0</v>
      </c>
      <c r="V58" s="724"/>
      <c r="W58" s="724"/>
      <c r="X58" s="724"/>
      <c r="Y58" s="726"/>
      <c r="Z58" s="724"/>
      <c r="AA58" s="726"/>
      <c r="AB58" s="724"/>
      <c r="AC58" s="537"/>
      <c r="AD58" s="537"/>
      <c r="AE58" s="537"/>
      <c r="AF58" s="537"/>
      <c r="AG58" s="537"/>
      <c r="AH58" s="537"/>
      <c r="AI58" s="537"/>
      <c r="AJ58" s="537"/>
      <c r="AK58" s="727"/>
      <c r="AL58" s="390">
        <f t="shared" si="32"/>
        <v>1</v>
      </c>
      <c r="AM58" s="729"/>
      <c r="AN58" s="730"/>
      <c r="AO58" s="731"/>
      <c r="AP58" s="732"/>
      <c r="AQ58" s="850"/>
      <c r="AR58" s="848"/>
      <c r="AS58" s="733"/>
      <c r="AT58" s="852"/>
      <c r="AU58" s="858"/>
      <c r="AV58" s="1015"/>
      <c r="AW58" s="1020"/>
      <c r="AX58" s="1020"/>
      <c r="AY58" s="1020"/>
      <c r="AZ58" s="898"/>
      <c r="BA58" s="1024"/>
      <c r="BE58" s="545">
        <v>52</v>
      </c>
      <c r="BF58" s="564" t="s">
        <v>85</v>
      </c>
      <c r="BG58" s="276">
        <f t="shared" si="37"/>
        <v>1</v>
      </c>
      <c r="BH58" s="282">
        <f t="shared" si="38"/>
        <v>0</v>
      </c>
      <c r="BI58" s="565">
        <f t="shared" si="39"/>
        <v>0</v>
      </c>
      <c r="BJ58" s="566">
        <f t="shared" si="40"/>
        <v>0</v>
      </c>
      <c r="BQ58" s="567">
        <f t="shared" si="42"/>
        <v>2</v>
      </c>
      <c r="BR58" s="568">
        <f t="shared" si="43"/>
        <v>2</v>
      </c>
      <c r="BS58" s="568">
        <f t="shared" si="44"/>
        <v>1</v>
      </c>
      <c r="BT58" s="569">
        <f t="shared" si="45"/>
        <v>1</v>
      </c>
      <c r="BU58" s="303">
        <f t="shared" si="46"/>
        <v>0</v>
      </c>
      <c r="BV58" s="257">
        <f t="shared" si="47"/>
        <v>1</v>
      </c>
      <c r="BW58" s="456">
        <f t="shared" si="48"/>
        <v>1</v>
      </c>
      <c r="BX58" s="459">
        <f t="shared" si="49"/>
        <v>0</v>
      </c>
      <c r="BY58" s="335">
        <f t="shared" si="23"/>
        <v>1</v>
      </c>
      <c r="BZ58" s="549"/>
      <c r="CA58" s="550"/>
      <c r="CB58" s="550"/>
      <c r="CC58" s="550"/>
      <c r="CD58" s="570">
        <f t="shared" si="50"/>
        <v>0</v>
      </c>
      <c r="CE58" s="550"/>
      <c r="CF58" s="550"/>
      <c r="CG58" s="550"/>
      <c r="CH58" s="547"/>
      <c r="CI58" s="550"/>
      <c r="CJ58" s="550"/>
      <c r="CK58" s="547"/>
      <c r="CL58" s="550"/>
      <c r="CM58" s="549"/>
      <c r="CN58" s="547"/>
      <c r="CO58" s="547"/>
      <c r="CP58" s="550"/>
      <c r="CQ58" s="550"/>
      <c r="CR58" s="549"/>
      <c r="CS58" s="547"/>
      <c r="CT58" s="550"/>
      <c r="CU58" s="550"/>
      <c r="CV58" s="550"/>
      <c r="CW58" s="547"/>
      <c r="CX58" s="551"/>
      <c r="CY58" s="562">
        <f>IF(CY5='Prosjektdetaljer '!AB9,IF(AND(CY6='Prosjektdetaljer '!Q33,(OR('Pre-analyse'!CY7='Prosjektdetaljer '!Q34,'Pre-analyse'!CY7=""))),'Pre-analyse'!BY58,0),0)</f>
        <v>0</v>
      </c>
      <c r="CZ58" s="562">
        <f t="shared" si="24"/>
        <v>0</v>
      </c>
      <c r="DC58" s="545"/>
      <c r="DE58" s="545"/>
      <c r="DH58" s="562">
        <f t="shared" si="29"/>
        <v>0</v>
      </c>
      <c r="DM58" s="547" t="str">
        <f t="shared" si="51"/>
        <v>Pol 2</v>
      </c>
      <c r="DN58" s="547">
        <f t="shared" si="25"/>
        <v>1</v>
      </c>
      <c r="DO58" s="547">
        <f t="shared" si="26"/>
        <v>0</v>
      </c>
      <c r="DP58" s="547">
        <f t="shared" si="27"/>
        <v>1</v>
      </c>
      <c r="DT58" s="547">
        <f t="shared" si="28"/>
        <v>1</v>
      </c>
      <c r="EE58" s="564" t="str">
        <f t="shared" si="33"/>
        <v>Pol 2</v>
      </c>
      <c r="EG58" s="439">
        <f t="shared" si="52"/>
        <v>0</v>
      </c>
      <c r="EH58" s="440">
        <f t="shared" si="53"/>
        <v>0</v>
      </c>
      <c r="EI58" s="440">
        <f t="shared" si="54"/>
        <v>0</v>
      </c>
      <c r="EJ58" s="541">
        <f t="shared" si="55"/>
        <v>0</v>
      </c>
      <c r="EK58" s="541">
        <f t="shared" si="56"/>
        <v>0</v>
      </c>
      <c r="EL58" s="573">
        <f t="shared" si="34"/>
        <v>0</v>
      </c>
    </row>
    <row r="59" spans="1:142" ht="30" x14ac:dyDescent="0.25">
      <c r="A59" s="982">
        <v>9</v>
      </c>
      <c r="B59" s="983">
        <v>5</v>
      </c>
      <c r="C59" s="851" t="s">
        <v>194</v>
      </c>
      <c r="D59" s="1003" t="s">
        <v>193</v>
      </c>
      <c r="E59" s="726">
        <v>1</v>
      </c>
      <c r="F59" s="537">
        <v>1</v>
      </c>
      <c r="G59" s="537">
        <v>1</v>
      </c>
      <c r="H59" s="537">
        <v>0</v>
      </c>
      <c r="I59" s="725">
        <v>1</v>
      </c>
      <c r="J59" s="724">
        <v>2</v>
      </c>
      <c r="K59" s="537">
        <v>2</v>
      </c>
      <c r="L59" s="537">
        <v>2</v>
      </c>
      <c r="M59" s="727">
        <v>2</v>
      </c>
      <c r="N59" s="726"/>
      <c r="O59" s="727"/>
      <c r="P59" s="724">
        <v>0</v>
      </c>
      <c r="Q59" s="724">
        <v>0</v>
      </c>
      <c r="R59" s="724">
        <v>0</v>
      </c>
      <c r="S59" s="724">
        <v>0</v>
      </c>
      <c r="T59" s="724">
        <v>0</v>
      </c>
      <c r="U59" s="724">
        <f t="shared" si="31"/>
        <v>0</v>
      </c>
      <c r="V59" s="724"/>
      <c r="W59" s="724"/>
      <c r="X59" s="724"/>
      <c r="Y59" s="726"/>
      <c r="Z59" s="724"/>
      <c r="AA59" s="726"/>
      <c r="AB59" s="724"/>
      <c r="AC59" s="537"/>
      <c r="AD59" s="537"/>
      <c r="AE59" s="537"/>
      <c r="AF59" s="537"/>
      <c r="AG59" s="537"/>
      <c r="AH59" s="537"/>
      <c r="AI59" s="537"/>
      <c r="AJ59" s="537"/>
      <c r="AK59" s="727"/>
      <c r="AL59" s="390">
        <f t="shared" si="32"/>
        <v>2</v>
      </c>
      <c r="AM59" s="729"/>
      <c r="AN59" s="730"/>
      <c r="AO59" s="731"/>
      <c r="AP59" s="732"/>
      <c r="AQ59" s="850"/>
      <c r="AR59" s="848"/>
      <c r="AS59" s="733"/>
      <c r="AT59" s="852"/>
      <c r="AU59" s="858"/>
      <c r="AV59" s="1015"/>
      <c r="AW59" s="1020"/>
      <c r="AX59" s="1020"/>
      <c r="AY59" s="1020"/>
      <c r="AZ59" s="898"/>
      <c r="BA59" s="1024"/>
      <c r="BE59" s="545">
        <v>53</v>
      </c>
      <c r="BF59" s="564" t="s">
        <v>361</v>
      </c>
      <c r="BG59" s="276">
        <f t="shared" si="37"/>
        <v>1</v>
      </c>
      <c r="BH59" s="282">
        <f t="shared" si="38"/>
        <v>0</v>
      </c>
      <c r="BI59" s="565">
        <f t="shared" si="39"/>
        <v>0</v>
      </c>
      <c r="BJ59" s="566">
        <f t="shared" si="40"/>
        <v>0</v>
      </c>
      <c r="BQ59" s="298">
        <f t="shared" si="42"/>
        <v>1</v>
      </c>
      <c r="BR59" s="257">
        <f t="shared" si="43"/>
        <v>0</v>
      </c>
      <c r="BS59" s="257">
        <f t="shared" si="44"/>
        <v>1</v>
      </c>
      <c r="BT59" s="302">
        <f t="shared" si="45"/>
        <v>1</v>
      </c>
      <c r="BU59" s="303">
        <f t="shared" si="46"/>
        <v>1</v>
      </c>
      <c r="BV59" s="257">
        <f t="shared" si="47"/>
        <v>1</v>
      </c>
      <c r="BW59" s="456">
        <f t="shared" si="48"/>
        <v>1</v>
      </c>
      <c r="BX59" s="459">
        <f t="shared" si="49"/>
        <v>0</v>
      </c>
      <c r="BY59" s="335">
        <f t="shared" si="23"/>
        <v>1</v>
      </c>
      <c r="BZ59" s="581"/>
      <c r="CA59" s="591"/>
      <c r="CB59" s="591"/>
      <c r="CC59" s="591"/>
      <c r="CD59" s="577">
        <f t="shared" si="50"/>
        <v>0</v>
      </c>
      <c r="CE59" s="591"/>
      <c r="CF59" s="591"/>
      <c r="CG59" s="591"/>
      <c r="CH59" s="546"/>
      <c r="CI59" s="591"/>
      <c r="CJ59" s="591"/>
      <c r="CK59" s="546"/>
      <c r="CL59" s="591"/>
      <c r="CM59" s="581"/>
      <c r="CN59" s="546"/>
      <c r="CO59" s="594">
        <f>IF(CO7="Ja",0,BY59)</f>
        <v>0</v>
      </c>
      <c r="CR59" s="571"/>
      <c r="CS59" s="545"/>
      <c r="CW59" s="545"/>
      <c r="CX59" s="572"/>
      <c r="CZ59" s="562">
        <f t="shared" si="24"/>
        <v>0</v>
      </c>
      <c r="DC59" s="545"/>
      <c r="DE59" s="545"/>
      <c r="DH59" s="562">
        <f t="shared" si="29"/>
        <v>0</v>
      </c>
      <c r="DM59" s="547" t="str">
        <f t="shared" si="51"/>
        <v>Pol 3</v>
      </c>
      <c r="DN59" s="547">
        <f t="shared" si="25"/>
        <v>1</v>
      </c>
      <c r="DO59" s="547">
        <f t="shared" si="26"/>
        <v>0</v>
      </c>
      <c r="DP59" s="547">
        <f t="shared" si="27"/>
        <v>1</v>
      </c>
      <c r="DT59" s="547">
        <f t="shared" si="28"/>
        <v>1</v>
      </c>
      <c r="EE59" s="564" t="str">
        <f t="shared" si="33"/>
        <v>Pol 3</v>
      </c>
      <c r="EG59" s="439">
        <f t="shared" si="52"/>
        <v>0</v>
      </c>
      <c r="EH59" s="440">
        <f t="shared" si="53"/>
        <v>0</v>
      </c>
      <c r="EI59" s="440">
        <f t="shared" si="54"/>
        <v>0</v>
      </c>
      <c r="EJ59" s="541">
        <f t="shared" si="55"/>
        <v>0</v>
      </c>
      <c r="EK59" s="541">
        <f t="shared" si="56"/>
        <v>0</v>
      </c>
      <c r="EL59" s="573">
        <f t="shared" si="34"/>
        <v>0</v>
      </c>
    </row>
    <row r="60" spans="1:142" ht="30.75" thickBot="1" x14ac:dyDescent="0.3">
      <c r="A60" s="982">
        <v>9</v>
      </c>
      <c r="B60" s="983">
        <v>5</v>
      </c>
      <c r="C60" s="851" t="s">
        <v>600</v>
      </c>
      <c r="D60" s="1003" t="s">
        <v>608</v>
      </c>
      <c r="E60" s="726">
        <v>1</v>
      </c>
      <c r="F60" s="537">
        <v>1</v>
      </c>
      <c r="G60" s="537">
        <v>1</v>
      </c>
      <c r="H60" s="537">
        <v>0</v>
      </c>
      <c r="I60" s="725">
        <v>1</v>
      </c>
      <c r="J60" s="724">
        <v>1</v>
      </c>
      <c r="K60" s="537">
        <v>1</v>
      </c>
      <c r="L60" s="537">
        <v>1</v>
      </c>
      <c r="M60" s="727">
        <v>1</v>
      </c>
      <c r="N60" s="726"/>
      <c r="O60" s="727"/>
      <c r="P60" s="724">
        <v>0</v>
      </c>
      <c r="Q60" s="724">
        <v>0</v>
      </c>
      <c r="R60" s="724">
        <v>0</v>
      </c>
      <c r="S60" s="724">
        <v>0</v>
      </c>
      <c r="T60" s="724">
        <v>0</v>
      </c>
      <c r="U60" s="724">
        <f t="shared" si="31"/>
        <v>0</v>
      </c>
      <c r="V60" s="724"/>
      <c r="W60" s="724"/>
      <c r="X60" s="724"/>
      <c r="Y60" s="726"/>
      <c r="Z60" s="724"/>
      <c r="AA60" s="726"/>
      <c r="AB60" s="724"/>
      <c r="AC60" s="537"/>
      <c r="AD60" s="537"/>
      <c r="AE60" s="537"/>
      <c r="AF60" s="537"/>
      <c r="AG60" s="537"/>
      <c r="AH60" s="537"/>
      <c r="AI60" s="537"/>
      <c r="AJ60" s="537"/>
      <c r="AK60" s="727"/>
      <c r="AL60" s="390">
        <f t="shared" si="32"/>
        <v>1</v>
      </c>
      <c r="AM60" s="729"/>
      <c r="AN60" s="730"/>
      <c r="AO60" s="731"/>
      <c r="AP60" s="732"/>
      <c r="AQ60" s="850"/>
      <c r="AR60" s="848"/>
      <c r="AS60" s="733"/>
      <c r="AT60" s="852"/>
      <c r="AU60" s="858"/>
      <c r="AV60" s="1015"/>
      <c r="AW60" s="1020"/>
      <c r="AX60" s="1020"/>
      <c r="AY60" s="1020"/>
      <c r="AZ60" s="898"/>
      <c r="BA60" s="1024"/>
      <c r="BE60" s="545">
        <v>54</v>
      </c>
      <c r="BF60" s="564" t="s">
        <v>83</v>
      </c>
      <c r="BG60" s="276">
        <f t="shared" si="37"/>
        <v>3</v>
      </c>
      <c r="BH60" s="282">
        <f t="shared" si="38"/>
        <v>0</v>
      </c>
      <c r="BI60" s="565">
        <f t="shared" si="39"/>
        <v>0</v>
      </c>
      <c r="BJ60" s="566">
        <f t="shared" si="40"/>
        <v>0</v>
      </c>
      <c r="BK60" s="549"/>
      <c r="BL60" s="550"/>
      <c r="BM60" s="550"/>
      <c r="BN60" s="550"/>
      <c r="BO60" s="550"/>
      <c r="BP60" s="551"/>
      <c r="BQ60" s="303">
        <f t="shared" si="42"/>
        <v>3</v>
      </c>
      <c r="BR60" s="257">
        <f t="shared" si="43"/>
        <v>3</v>
      </c>
      <c r="BS60" s="257">
        <f t="shared" si="44"/>
        <v>2</v>
      </c>
      <c r="BT60" s="302">
        <f t="shared" si="45"/>
        <v>3</v>
      </c>
      <c r="BU60" s="303">
        <f t="shared" si="46"/>
        <v>0</v>
      </c>
      <c r="BV60" s="257">
        <f t="shared" si="47"/>
        <v>1</v>
      </c>
      <c r="BW60" s="456">
        <f t="shared" si="48"/>
        <v>1</v>
      </c>
      <c r="BX60" s="459">
        <f t="shared" si="49"/>
        <v>0</v>
      </c>
      <c r="BY60" s="335">
        <f t="shared" si="23"/>
        <v>3</v>
      </c>
      <c r="BZ60" s="581"/>
      <c r="CA60" s="591"/>
      <c r="CB60" s="591"/>
      <c r="CC60" s="591"/>
      <c r="CD60" s="577">
        <f t="shared" si="50"/>
        <v>0</v>
      </c>
      <c r="CE60" s="591"/>
      <c r="CF60" s="591"/>
      <c r="CG60" s="596"/>
      <c r="CH60" s="597">
        <f>IF(CH7="Ja",0,BY60)</f>
        <v>0</v>
      </c>
      <c r="CI60" s="581"/>
      <c r="CJ60" s="596"/>
      <c r="CK60" s="594">
        <f>IF(CK6=CI4,(IF(CK5=0,1,IF(CK7="Nei",1,0))),0)</f>
        <v>0</v>
      </c>
      <c r="CL60" s="594">
        <f>IF(CL6=CI4,IF(CL7="Ja",0,1),0)</f>
        <v>0</v>
      </c>
      <c r="CM60" s="571"/>
      <c r="CN60" s="545"/>
      <c r="CR60" s="571"/>
      <c r="CS60" s="545"/>
      <c r="CW60" s="545"/>
      <c r="CX60" s="572"/>
      <c r="CZ60" s="562">
        <f t="shared" si="24"/>
        <v>0</v>
      </c>
      <c r="DC60" s="545"/>
      <c r="DE60" s="545"/>
      <c r="DH60" s="562">
        <f t="shared" si="29"/>
        <v>0</v>
      </c>
      <c r="DM60" s="547" t="str">
        <f t="shared" si="51"/>
        <v>Pol 4</v>
      </c>
      <c r="DN60" s="547">
        <f t="shared" si="25"/>
        <v>3</v>
      </c>
      <c r="DO60" s="547">
        <f t="shared" si="26"/>
        <v>0</v>
      </c>
      <c r="DP60" s="547">
        <f t="shared" si="27"/>
        <v>3</v>
      </c>
      <c r="DQ60" s="549"/>
      <c r="DR60" s="550"/>
      <c r="DS60" s="550"/>
      <c r="DT60" s="547">
        <f t="shared" si="28"/>
        <v>3</v>
      </c>
      <c r="EE60" s="564" t="str">
        <f t="shared" si="33"/>
        <v>Pol 4</v>
      </c>
      <c r="EG60" s="439">
        <f t="shared" si="52"/>
        <v>0</v>
      </c>
      <c r="EH60" s="440">
        <f t="shared" si="53"/>
        <v>0</v>
      </c>
      <c r="EI60" s="440">
        <f t="shared" si="54"/>
        <v>0</v>
      </c>
      <c r="EJ60" s="541">
        <f t="shared" si="55"/>
        <v>0</v>
      </c>
      <c r="EK60" s="541">
        <f t="shared" si="56"/>
        <v>0</v>
      </c>
      <c r="EL60" s="573">
        <f t="shared" si="34"/>
        <v>0</v>
      </c>
    </row>
    <row r="61" spans="1:142" x14ac:dyDescent="0.25">
      <c r="A61" s="982">
        <v>9</v>
      </c>
      <c r="B61" s="983">
        <v>7</v>
      </c>
      <c r="C61" s="851" t="s">
        <v>190</v>
      </c>
      <c r="D61" s="1003" t="s">
        <v>189</v>
      </c>
      <c r="E61" s="726">
        <v>1</v>
      </c>
      <c r="F61" s="537">
        <v>1</v>
      </c>
      <c r="G61" s="537">
        <v>1</v>
      </c>
      <c r="H61" s="537">
        <v>0</v>
      </c>
      <c r="I61" s="725">
        <v>1</v>
      </c>
      <c r="J61" s="724">
        <v>1</v>
      </c>
      <c r="K61" s="537">
        <v>1</v>
      </c>
      <c r="L61" s="537">
        <v>1</v>
      </c>
      <c r="M61" s="727">
        <v>1</v>
      </c>
      <c r="N61" s="726"/>
      <c r="O61" s="727"/>
      <c r="P61" s="724">
        <v>0</v>
      </c>
      <c r="Q61" s="724">
        <v>0</v>
      </c>
      <c r="R61" s="724">
        <v>0</v>
      </c>
      <c r="S61" s="724">
        <v>0</v>
      </c>
      <c r="T61" s="724">
        <v>0</v>
      </c>
      <c r="U61" s="724">
        <f t="shared" si="31"/>
        <v>0</v>
      </c>
      <c r="V61" s="724"/>
      <c r="W61" s="724"/>
      <c r="X61" s="724"/>
      <c r="Y61" s="726"/>
      <c r="Z61" s="724"/>
      <c r="AA61" s="726"/>
      <c r="AB61" s="724"/>
      <c r="AC61" s="537"/>
      <c r="AD61" s="537"/>
      <c r="AE61" s="537"/>
      <c r="AF61" s="897"/>
      <c r="AG61" s="897"/>
      <c r="AH61" s="897"/>
      <c r="AI61" s="537"/>
      <c r="AJ61" s="537"/>
      <c r="AK61" s="727"/>
      <c r="AL61" s="390">
        <f t="shared" si="32"/>
        <v>1</v>
      </c>
      <c r="AM61" s="729"/>
      <c r="AN61" s="730"/>
      <c r="AO61" s="731"/>
      <c r="AP61" s="732"/>
      <c r="AQ61" s="850"/>
      <c r="AR61" s="848"/>
      <c r="AS61" s="733"/>
      <c r="AT61" s="852"/>
      <c r="AU61" s="858"/>
      <c r="AV61" s="1015"/>
      <c r="AW61" s="1020"/>
      <c r="AX61" s="1020"/>
      <c r="AY61" s="1020"/>
      <c r="AZ61" s="898"/>
      <c r="BA61" s="1024"/>
      <c r="BE61" s="545">
        <v>55</v>
      </c>
      <c r="BF61" s="564" t="s">
        <v>79</v>
      </c>
      <c r="BG61" s="276">
        <f t="shared" si="37"/>
        <v>3</v>
      </c>
      <c r="BH61" s="282">
        <f t="shared" si="38"/>
        <v>0</v>
      </c>
      <c r="BI61" s="565">
        <f t="shared" si="39"/>
        <v>0</v>
      </c>
      <c r="BJ61" s="566">
        <f t="shared" si="40"/>
        <v>0</v>
      </c>
      <c r="BQ61" s="299">
        <f t="shared" si="42"/>
        <v>3</v>
      </c>
      <c r="BR61" s="300">
        <f t="shared" si="43"/>
        <v>3</v>
      </c>
      <c r="BS61" s="300">
        <f t="shared" si="44"/>
        <v>3</v>
      </c>
      <c r="BT61" s="301">
        <f t="shared" si="45"/>
        <v>3</v>
      </c>
      <c r="BU61" s="303">
        <f t="shared" si="46"/>
        <v>1</v>
      </c>
      <c r="BV61" s="257">
        <f t="shared" si="47"/>
        <v>0</v>
      </c>
      <c r="BW61" s="456">
        <f t="shared" si="48"/>
        <v>1</v>
      </c>
      <c r="BX61" s="459">
        <f t="shared" si="49"/>
        <v>0</v>
      </c>
      <c r="BY61" s="311">
        <f t="shared" si="23"/>
        <v>3</v>
      </c>
      <c r="CD61" s="577">
        <f t="shared" si="50"/>
        <v>0</v>
      </c>
      <c r="CM61" s="571"/>
      <c r="CN61" s="545"/>
      <c r="CR61" s="571"/>
      <c r="CS61" s="545"/>
      <c r="CW61" s="545"/>
      <c r="CX61" s="572"/>
      <c r="CZ61" s="562">
        <f t="shared" si="24"/>
        <v>0</v>
      </c>
      <c r="DC61" s="545"/>
      <c r="DE61" s="545"/>
      <c r="DH61" s="562">
        <f t="shared" si="29"/>
        <v>0</v>
      </c>
      <c r="DM61" s="547" t="str">
        <f t="shared" si="51"/>
        <v>Pol 5</v>
      </c>
      <c r="DN61" s="547">
        <f t="shared" si="25"/>
        <v>3</v>
      </c>
      <c r="DO61" s="547">
        <f t="shared" si="26"/>
        <v>0</v>
      </c>
      <c r="DP61" s="547">
        <f t="shared" si="27"/>
        <v>3</v>
      </c>
      <c r="DT61" s="547">
        <f t="shared" si="28"/>
        <v>3</v>
      </c>
      <c r="EE61" s="564" t="str">
        <f t="shared" si="33"/>
        <v>Pol 5</v>
      </c>
      <c r="EG61" s="439">
        <f t="shared" si="52"/>
        <v>0</v>
      </c>
      <c r="EH61" s="440">
        <f t="shared" si="53"/>
        <v>0</v>
      </c>
      <c r="EI61" s="440">
        <f t="shared" si="54"/>
        <v>0</v>
      </c>
      <c r="EJ61" s="541">
        <f t="shared" si="55"/>
        <v>0</v>
      </c>
      <c r="EK61" s="541">
        <f t="shared" si="56"/>
        <v>0</v>
      </c>
      <c r="EL61" s="573">
        <f t="shared" si="34"/>
        <v>0</v>
      </c>
    </row>
    <row r="62" spans="1:142" ht="30.75" thickBot="1" x14ac:dyDescent="0.3">
      <c r="A62" s="982">
        <v>12</v>
      </c>
      <c r="B62" s="983">
        <v>1</v>
      </c>
      <c r="C62" s="851" t="s">
        <v>87</v>
      </c>
      <c r="D62" s="1003" t="s">
        <v>86</v>
      </c>
      <c r="E62" s="726">
        <v>0</v>
      </c>
      <c r="F62" s="537">
        <v>1</v>
      </c>
      <c r="G62" s="537">
        <v>1</v>
      </c>
      <c r="H62" s="537">
        <v>1</v>
      </c>
      <c r="I62" s="725">
        <v>1</v>
      </c>
      <c r="J62" s="724">
        <v>1</v>
      </c>
      <c r="K62" s="537">
        <v>1</v>
      </c>
      <c r="L62" s="537">
        <v>1</v>
      </c>
      <c r="M62" s="727">
        <v>1</v>
      </c>
      <c r="N62" s="726"/>
      <c r="O62" s="727"/>
      <c r="P62" s="724">
        <v>0</v>
      </c>
      <c r="Q62" s="724">
        <v>0</v>
      </c>
      <c r="R62" s="724">
        <v>0</v>
      </c>
      <c r="S62" s="724">
        <v>0</v>
      </c>
      <c r="T62" s="724">
        <v>0</v>
      </c>
      <c r="U62" s="724">
        <f t="shared" si="31"/>
        <v>0</v>
      </c>
      <c r="V62" s="724"/>
      <c r="W62" s="724"/>
      <c r="X62" s="724"/>
      <c r="Y62" s="726"/>
      <c r="Z62" s="724"/>
      <c r="AA62" s="726"/>
      <c r="AB62" s="724"/>
      <c r="AC62" s="537"/>
      <c r="AD62" s="537"/>
      <c r="AE62" s="537"/>
      <c r="AF62" s="537"/>
      <c r="AG62" s="537"/>
      <c r="AH62" s="537"/>
      <c r="AI62" s="537"/>
      <c r="AJ62" s="537"/>
      <c r="AK62" s="727"/>
      <c r="AL62" s="390">
        <f t="shared" si="32"/>
        <v>1</v>
      </c>
      <c r="AM62" s="729"/>
      <c r="AN62" s="730"/>
      <c r="AO62" s="731"/>
      <c r="AP62" s="732"/>
      <c r="AQ62" s="850"/>
      <c r="AR62" s="848"/>
      <c r="AS62" s="917"/>
      <c r="AT62" s="931"/>
      <c r="AU62" s="937"/>
      <c r="AV62" s="1015"/>
      <c r="AW62" s="1020"/>
      <c r="AX62" s="1020"/>
      <c r="AY62" s="1020"/>
      <c r="AZ62" s="898"/>
      <c r="BA62" s="1024"/>
      <c r="BE62" s="545">
        <v>56</v>
      </c>
      <c r="BF62" s="564" t="s">
        <v>231</v>
      </c>
      <c r="BG62" s="276">
        <f t="shared" si="37"/>
        <v>1</v>
      </c>
      <c r="BH62" s="282">
        <f t="shared" si="38"/>
        <v>0</v>
      </c>
      <c r="BI62" s="565">
        <f t="shared" si="39"/>
        <v>0</v>
      </c>
      <c r="BJ62" s="566">
        <f t="shared" si="40"/>
        <v>0</v>
      </c>
      <c r="BQ62" s="567">
        <f t="shared" si="42"/>
        <v>1</v>
      </c>
      <c r="BR62" s="568">
        <f t="shared" si="43"/>
        <v>1</v>
      </c>
      <c r="BS62" s="568">
        <f t="shared" si="44"/>
        <v>1</v>
      </c>
      <c r="BT62" s="569">
        <f t="shared" si="45"/>
        <v>1</v>
      </c>
      <c r="BU62" s="303">
        <f t="shared" si="46"/>
        <v>1</v>
      </c>
      <c r="BV62" s="257">
        <f t="shared" si="47"/>
        <v>1</v>
      </c>
      <c r="BW62" s="456">
        <f t="shared" si="48"/>
        <v>1</v>
      </c>
      <c r="BX62" s="459">
        <f t="shared" si="49"/>
        <v>0</v>
      </c>
      <c r="BY62" s="311">
        <f t="shared" si="23"/>
        <v>1</v>
      </c>
      <c r="CD62" s="570">
        <f t="shared" si="50"/>
        <v>0</v>
      </c>
      <c r="CM62" s="571"/>
      <c r="CN62" s="545"/>
      <c r="CR62" s="571"/>
      <c r="CS62" s="545"/>
      <c r="CW62" s="545"/>
      <c r="CX62" s="572"/>
      <c r="CZ62" s="562">
        <f t="shared" si="24"/>
        <v>0</v>
      </c>
      <c r="DC62" s="545"/>
      <c r="DE62" s="545"/>
      <c r="DH62" s="562">
        <f t="shared" si="29"/>
        <v>0</v>
      </c>
      <c r="DM62" s="547" t="str">
        <f t="shared" si="51"/>
        <v>Pol 6</v>
      </c>
      <c r="DN62" s="547">
        <f t="shared" si="25"/>
        <v>1</v>
      </c>
      <c r="DO62" s="547">
        <f t="shared" si="26"/>
        <v>0</v>
      </c>
      <c r="DP62" s="547">
        <f t="shared" si="27"/>
        <v>1</v>
      </c>
      <c r="DQ62" s="1236" t="s">
        <v>611</v>
      </c>
      <c r="DR62" s="1242"/>
      <c r="DS62" s="1242"/>
      <c r="DT62" s="547">
        <f t="shared" si="28"/>
        <v>1</v>
      </c>
      <c r="EE62" s="564" t="str">
        <f t="shared" si="33"/>
        <v>Pol 6</v>
      </c>
      <c r="EG62" s="439">
        <f t="shared" si="52"/>
        <v>0</v>
      </c>
      <c r="EH62" s="440">
        <f t="shared" si="53"/>
        <v>0</v>
      </c>
      <c r="EI62" s="440">
        <f t="shared" si="54"/>
        <v>0</v>
      </c>
      <c r="EJ62" s="541">
        <f t="shared" si="55"/>
        <v>0</v>
      </c>
      <c r="EK62" s="541">
        <f t="shared" si="56"/>
        <v>0</v>
      </c>
      <c r="EL62" s="573">
        <f t="shared" si="34"/>
        <v>0</v>
      </c>
    </row>
    <row r="63" spans="1:142" ht="60" x14ac:dyDescent="0.25">
      <c r="A63" s="982">
        <v>12</v>
      </c>
      <c r="B63" s="983">
        <v>2</v>
      </c>
      <c r="C63" s="851" t="s">
        <v>85</v>
      </c>
      <c r="D63" s="1003" t="s">
        <v>84</v>
      </c>
      <c r="E63" s="726">
        <v>0</v>
      </c>
      <c r="F63" s="537">
        <v>1</v>
      </c>
      <c r="G63" s="537">
        <v>1</v>
      </c>
      <c r="H63" s="537">
        <v>1</v>
      </c>
      <c r="I63" s="725">
        <v>1</v>
      </c>
      <c r="J63" s="724">
        <v>2</v>
      </c>
      <c r="K63" s="537">
        <v>2</v>
      </c>
      <c r="L63" s="537">
        <v>1</v>
      </c>
      <c r="M63" s="727">
        <v>1</v>
      </c>
      <c r="N63" s="726"/>
      <c r="O63" s="727"/>
      <c r="P63" s="724">
        <v>0</v>
      </c>
      <c r="Q63" s="724">
        <v>0</v>
      </c>
      <c r="R63" s="724">
        <v>0</v>
      </c>
      <c r="S63" s="724">
        <v>0</v>
      </c>
      <c r="T63" s="724">
        <v>0</v>
      </c>
      <c r="U63" s="724">
        <f t="shared" si="31"/>
        <v>0</v>
      </c>
      <c r="V63" s="724"/>
      <c r="W63" s="724"/>
      <c r="X63" s="724"/>
      <c r="Y63" s="726"/>
      <c r="Z63" s="724"/>
      <c r="AA63" s="726"/>
      <c r="AB63" s="724"/>
      <c r="AC63" s="537"/>
      <c r="AD63" s="537"/>
      <c r="AE63" s="537"/>
      <c r="AF63" s="537"/>
      <c r="AG63" s="537"/>
      <c r="AH63" s="537"/>
      <c r="AI63" s="537"/>
      <c r="AJ63" s="537"/>
      <c r="AK63" s="727"/>
      <c r="AL63" s="390">
        <f t="shared" si="32"/>
        <v>1</v>
      </c>
      <c r="AM63" s="729"/>
      <c r="AN63" s="730"/>
      <c r="AO63" s="731"/>
      <c r="AP63" s="732"/>
      <c r="AQ63" s="850"/>
      <c r="AR63" s="848"/>
      <c r="AS63" s="733"/>
      <c r="AT63" s="852"/>
      <c r="AU63" s="858"/>
      <c r="AV63" s="1015"/>
      <c r="AW63" s="1020"/>
      <c r="AX63" s="1020"/>
      <c r="AY63" s="1020"/>
      <c r="AZ63" s="898"/>
      <c r="BA63" s="1024"/>
      <c r="BE63" s="545">
        <v>57</v>
      </c>
      <c r="BF63" s="564" t="s">
        <v>94</v>
      </c>
      <c r="BG63" s="276">
        <f t="shared" si="37"/>
        <v>1</v>
      </c>
      <c r="BH63" s="282">
        <f t="shared" si="38"/>
        <v>0</v>
      </c>
      <c r="BI63" s="565">
        <f t="shared" si="39"/>
        <v>0</v>
      </c>
      <c r="BJ63" s="566">
        <f t="shared" si="40"/>
        <v>0</v>
      </c>
      <c r="BK63" s="1236" t="s">
        <v>611</v>
      </c>
      <c r="BL63" s="1237"/>
      <c r="BM63" s="1237"/>
      <c r="BN63" s="1237"/>
      <c r="BQ63" s="299">
        <f t="shared" si="42"/>
        <v>1</v>
      </c>
      <c r="BR63" s="300">
        <f t="shared" si="43"/>
        <v>1</v>
      </c>
      <c r="BS63" s="300">
        <f t="shared" si="44"/>
        <v>1</v>
      </c>
      <c r="BT63" s="301">
        <f t="shared" si="45"/>
        <v>1</v>
      </c>
      <c r="BU63" s="303">
        <f t="shared" si="46"/>
        <v>1</v>
      </c>
      <c r="BV63" s="257">
        <f t="shared" si="47"/>
        <v>1</v>
      </c>
      <c r="BW63" s="456">
        <f t="shared" si="48"/>
        <v>1</v>
      </c>
      <c r="BX63" s="459">
        <f t="shared" si="49"/>
        <v>0</v>
      </c>
      <c r="BY63" s="311">
        <f t="shared" si="23"/>
        <v>1</v>
      </c>
      <c r="CD63" s="570">
        <f t="shared" si="50"/>
        <v>0</v>
      </c>
      <c r="CM63" s="571"/>
      <c r="CN63" s="545"/>
      <c r="CR63" s="571"/>
      <c r="CS63" s="545"/>
      <c r="CW63" s="545"/>
      <c r="CX63" s="572"/>
      <c r="CZ63" s="562">
        <f t="shared" si="24"/>
        <v>0</v>
      </c>
      <c r="DC63" s="545"/>
      <c r="DE63" s="545"/>
      <c r="DH63" s="562">
        <f t="shared" si="29"/>
        <v>0</v>
      </c>
      <c r="DM63" s="547" t="str">
        <f t="shared" si="51"/>
        <v>Pol 7</v>
      </c>
      <c r="DN63" s="547">
        <f t="shared" si="25"/>
        <v>1</v>
      </c>
      <c r="DO63" s="547">
        <f>IF(SUM(BZ63:DL63)&gt;DN63,DN63,SUM(BZ63:DL63))</f>
        <v>0</v>
      </c>
      <c r="DP63" s="547">
        <f t="shared" si="27"/>
        <v>1</v>
      </c>
      <c r="DQ63" s="289" t="s">
        <v>664</v>
      </c>
      <c r="DR63" s="264" t="s">
        <v>665</v>
      </c>
      <c r="DS63" s="343" t="s">
        <v>710</v>
      </c>
      <c r="DT63" s="547">
        <f t="shared" si="28"/>
        <v>1</v>
      </c>
      <c r="EE63" s="564" t="str">
        <f t="shared" si="33"/>
        <v>Pol 7</v>
      </c>
      <c r="EG63" s="439">
        <f t="shared" si="52"/>
        <v>0</v>
      </c>
      <c r="EH63" s="440">
        <f t="shared" si="53"/>
        <v>0</v>
      </c>
      <c r="EI63" s="440">
        <f t="shared" si="54"/>
        <v>0</v>
      </c>
      <c r="EJ63" s="541">
        <f t="shared" si="55"/>
        <v>0</v>
      </c>
      <c r="EK63" s="541">
        <f t="shared" si="56"/>
        <v>0</v>
      </c>
      <c r="EL63" s="573">
        <f t="shared" si="34"/>
        <v>0</v>
      </c>
    </row>
    <row r="64" spans="1:142" ht="30.75" thickBot="1" x14ac:dyDescent="0.3">
      <c r="A64" s="982">
        <v>12</v>
      </c>
      <c r="B64" s="983">
        <v>3</v>
      </c>
      <c r="C64" s="851" t="s">
        <v>361</v>
      </c>
      <c r="D64" s="1003" t="s">
        <v>679</v>
      </c>
      <c r="E64" s="726">
        <v>1</v>
      </c>
      <c r="F64" s="537">
        <v>1</v>
      </c>
      <c r="G64" s="537">
        <v>1</v>
      </c>
      <c r="H64" s="537">
        <v>1</v>
      </c>
      <c r="I64" s="725">
        <v>1</v>
      </c>
      <c r="J64" s="724">
        <v>1</v>
      </c>
      <c r="K64" s="537">
        <v>0</v>
      </c>
      <c r="L64" s="537">
        <v>1</v>
      </c>
      <c r="M64" s="727">
        <v>1</v>
      </c>
      <c r="N64" s="726"/>
      <c r="O64" s="727"/>
      <c r="P64" s="724">
        <v>0</v>
      </c>
      <c r="Q64" s="724">
        <v>0</v>
      </c>
      <c r="R64" s="724">
        <v>0</v>
      </c>
      <c r="S64" s="724">
        <v>0</v>
      </c>
      <c r="T64" s="724">
        <v>0</v>
      </c>
      <c r="U64" s="724">
        <f t="shared" si="31"/>
        <v>0</v>
      </c>
      <c r="V64" s="724"/>
      <c r="W64" s="724"/>
      <c r="X64" s="724"/>
      <c r="Y64" s="726"/>
      <c r="Z64" s="724"/>
      <c r="AA64" s="726"/>
      <c r="AB64" s="724"/>
      <c r="AC64" s="537"/>
      <c r="AD64" s="537"/>
      <c r="AE64" s="537"/>
      <c r="AF64" s="537"/>
      <c r="AG64" s="537"/>
      <c r="AH64" s="537"/>
      <c r="AI64" s="537"/>
      <c r="AJ64" s="537"/>
      <c r="AK64" s="727"/>
      <c r="AL64" s="390">
        <f t="shared" si="32"/>
        <v>1</v>
      </c>
      <c r="AM64" s="729"/>
      <c r="AN64" s="730"/>
      <c r="AO64" s="731"/>
      <c r="AP64" s="732"/>
      <c r="AQ64" s="850"/>
      <c r="AR64" s="848"/>
      <c r="AS64" s="917"/>
      <c r="AT64" s="931"/>
      <c r="AU64" s="937"/>
      <c r="AV64" s="1015"/>
      <c r="AW64" s="1020"/>
      <c r="AX64" s="1020"/>
      <c r="AY64" s="1020"/>
      <c r="AZ64" s="898"/>
      <c r="BA64" s="1024"/>
      <c r="BE64" s="545">
        <v>58</v>
      </c>
      <c r="BF64" s="582" t="s">
        <v>92</v>
      </c>
      <c r="BG64" s="280">
        <f t="shared" si="37"/>
        <v>1</v>
      </c>
      <c r="BH64" s="282">
        <f t="shared" si="38"/>
        <v>0</v>
      </c>
      <c r="BI64" s="565">
        <f t="shared" si="39"/>
        <v>0</v>
      </c>
      <c r="BJ64" s="566">
        <f t="shared" si="40"/>
        <v>0</v>
      </c>
      <c r="BK64" s="274">
        <f>SUM(BG57:BG64)</f>
        <v>12</v>
      </c>
      <c r="BL64" s="273">
        <f t="shared" ref="BL64:BN64" si="57">SUM(BH57:BH64)</f>
        <v>0</v>
      </c>
      <c r="BM64" s="273">
        <f t="shared" si="57"/>
        <v>0</v>
      </c>
      <c r="BN64" s="273">
        <f t="shared" si="57"/>
        <v>0</v>
      </c>
      <c r="BQ64" s="299">
        <f t="shared" si="42"/>
        <v>1</v>
      </c>
      <c r="BR64" s="300">
        <f t="shared" si="43"/>
        <v>1</v>
      </c>
      <c r="BS64" s="300">
        <f t="shared" si="44"/>
        <v>1</v>
      </c>
      <c r="BT64" s="301">
        <f t="shared" si="45"/>
        <v>1</v>
      </c>
      <c r="BU64" s="303">
        <f t="shared" si="46"/>
        <v>0</v>
      </c>
      <c r="BV64" s="257">
        <f t="shared" si="47"/>
        <v>1</v>
      </c>
      <c r="BW64" s="456">
        <f t="shared" si="48"/>
        <v>1</v>
      </c>
      <c r="BX64" s="459">
        <f t="shared" si="49"/>
        <v>0</v>
      </c>
      <c r="BY64" s="311">
        <f t="shared" si="23"/>
        <v>1</v>
      </c>
      <c r="CD64" s="570">
        <f t="shared" si="50"/>
        <v>0</v>
      </c>
      <c r="CM64" s="571"/>
      <c r="CN64" s="545"/>
      <c r="CR64" s="571"/>
      <c r="CS64" s="545"/>
      <c r="CW64" s="545"/>
      <c r="CX64" s="572"/>
      <c r="CZ64" s="562">
        <f t="shared" si="24"/>
        <v>0</v>
      </c>
      <c r="DC64" s="545"/>
      <c r="DE64" s="545"/>
      <c r="DH64" s="562">
        <f t="shared" si="29"/>
        <v>0</v>
      </c>
      <c r="DM64" s="547" t="str">
        <f t="shared" si="51"/>
        <v>Pol 8</v>
      </c>
      <c r="DN64" s="547">
        <f t="shared" si="25"/>
        <v>1</v>
      </c>
      <c r="DO64" s="547">
        <f t="shared" si="26"/>
        <v>0</v>
      </c>
      <c r="DP64" s="547">
        <f t="shared" si="27"/>
        <v>1</v>
      </c>
      <c r="DQ64" s="273">
        <f>SUM(DN57:DN64)</f>
        <v>12</v>
      </c>
      <c r="DR64" s="273">
        <f>SUM(DO57:DO64)</f>
        <v>0</v>
      </c>
      <c r="DS64" s="273">
        <f>SUM(DT57:DT64)</f>
        <v>12</v>
      </c>
      <c r="DT64" s="547">
        <f t="shared" si="28"/>
        <v>1</v>
      </c>
      <c r="EE64" s="582" t="str">
        <f t="shared" si="33"/>
        <v>Pol 8</v>
      </c>
      <c r="EG64" s="439">
        <f t="shared" si="52"/>
        <v>0</v>
      </c>
      <c r="EH64" s="440">
        <f t="shared" si="53"/>
        <v>0</v>
      </c>
      <c r="EI64" s="440">
        <f t="shared" si="54"/>
        <v>0</v>
      </c>
      <c r="EJ64" s="541">
        <f t="shared" si="55"/>
        <v>0</v>
      </c>
      <c r="EK64" s="541">
        <f t="shared" si="56"/>
        <v>0</v>
      </c>
      <c r="EL64" s="573">
        <f t="shared" si="34"/>
        <v>0</v>
      </c>
    </row>
    <row r="65" spans="1:142" ht="30" x14ac:dyDescent="0.25">
      <c r="A65" s="982">
        <v>12</v>
      </c>
      <c r="B65" s="983">
        <v>4</v>
      </c>
      <c r="C65" s="851" t="s">
        <v>83</v>
      </c>
      <c r="D65" s="1003" t="s">
        <v>82</v>
      </c>
      <c r="E65" s="726">
        <v>0</v>
      </c>
      <c r="F65" s="537">
        <v>1</v>
      </c>
      <c r="G65" s="537">
        <v>1</v>
      </c>
      <c r="H65" s="537">
        <v>1</v>
      </c>
      <c r="I65" s="725">
        <v>1</v>
      </c>
      <c r="J65" s="724">
        <v>3</v>
      </c>
      <c r="K65" s="537">
        <v>3</v>
      </c>
      <c r="L65" s="537">
        <v>2</v>
      </c>
      <c r="M65" s="727">
        <v>3</v>
      </c>
      <c r="N65" s="726"/>
      <c r="O65" s="727"/>
      <c r="P65" s="724">
        <v>0</v>
      </c>
      <c r="Q65" s="724">
        <v>0</v>
      </c>
      <c r="R65" s="724">
        <v>0</v>
      </c>
      <c r="S65" s="724">
        <v>0</v>
      </c>
      <c r="T65" s="724">
        <v>0</v>
      </c>
      <c r="U65" s="724">
        <f t="shared" si="31"/>
        <v>0</v>
      </c>
      <c r="V65" s="724"/>
      <c r="W65" s="724"/>
      <c r="X65" s="724"/>
      <c r="Y65" s="726"/>
      <c r="Z65" s="724"/>
      <c r="AA65" s="726"/>
      <c r="AB65" s="724"/>
      <c r="AC65" s="537"/>
      <c r="AD65" s="537"/>
      <c r="AE65" s="537"/>
      <c r="AF65" s="537"/>
      <c r="AG65" s="537"/>
      <c r="AH65" s="537"/>
      <c r="AI65" s="537"/>
      <c r="AJ65" s="537"/>
      <c r="AK65" s="727"/>
      <c r="AL65" s="390">
        <f t="shared" si="32"/>
        <v>3</v>
      </c>
      <c r="AM65" s="729"/>
      <c r="AN65" s="730"/>
      <c r="AO65" s="731"/>
      <c r="AP65" s="732"/>
      <c r="AQ65" s="850"/>
      <c r="AR65" s="848"/>
      <c r="AS65" s="733"/>
      <c r="AT65" s="852"/>
      <c r="AU65" s="858"/>
      <c r="AV65" s="1015"/>
      <c r="AW65" s="1020"/>
      <c r="AX65" s="1020"/>
      <c r="AY65" s="1020"/>
      <c r="AZ65" s="898"/>
      <c r="BA65" s="1024"/>
      <c r="BE65" s="545">
        <v>59</v>
      </c>
      <c r="BF65" s="583" t="s">
        <v>262</v>
      </c>
      <c r="BG65" s="281">
        <f t="shared" si="37"/>
        <v>4</v>
      </c>
      <c r="BH65" s="282">
        <f t="shared" si="38"/>
        <v>0</v>
      </c>
      <c r="BI65" s="565">
        <f t="shared" si="39"/>
        <v>0</v>
      </c>
      <c r="BJ65" s="566">
        <f t="shared" si="40"/>
        <v>0</v>
      </c>
      <c r="BQ65" s="299">
        <f t="shared" si="42"/>
        <v>4</v>
      </c>
      <c r="BR65" s="300">
        <f t="shared" si="43"/>
        <v>2</v>
      </c>
      <c r="BS65" s="300">
        <f t="shared" si="44"/>
        <v>2</v>
      </c>
      <c r="BT65" s="301">
        <f t="shared" si="45"/>
        <v>4</v>
      </c>
      <c r="BU65" s="303">
        <f t="shared" si="46"/>
        <v>1</v>
      </c>
      <c r="BV65" s="257">
        <f t="shared" si="47"/>
        <v>1</v>
      </c>
      <c r="BW65" s="456">
        <f t="shared" si="48"/>
        <v>1</v>
      </c>
      <c r="BX65" s="459">
        <f t="shared" si="49"/>
        <v>0</v>
      </c>
      <c r="BY65" s="311">
        <f t="shared" si="23"/>
        <v>4</v>
      </c>
      <c r="CD65" s="570">
        <f t="shared" si="50"/>
        <v>0</v>
      </c>
      <c r="CM65" s="571"/>
      <c r="CN65" s="545"/>
      <c r="CR65" s="571"/>
      <c r="CS65" s="545"/>
      <c r="CW65" s="545"/>
      <c r="CX65" s="572"/>
      <c r="CZ65" s="562">
        <f t="shared" si="24"/>
        <v>0</v>
      </c>
      <c r="DC65" s="545"/>
      <c r="DE65" s="545"/>
      <c r="DH65" s="562">
        <f t="shared" si="29"/>
        <v>0</v>
      </c>
      <c r="DM65" s="547" t="str">
        <f t="shared" si="51"/>
        <v>Tra 1</v>
      </c>
      <c r="DN65" s="547">
        <f t="shared" si="25"/>
        <v>4</v>
      </c>
      <c r="DO65" s="547">
        <f t="shared" si="26"/>
        <v>0</v>
      </c>
      <c r="DP65" s="547">
        <f t="shared" si="27"/>
        <v>4</v>
      </c>
      <c r="DT65" s="547">
        <f t="shared" si="28"/>
        <v>4</v>
      </c>
      <c r="EE65" s="583" t="str">
        <f t="shared" si="33"/>
        <v>Tra 1</v>
      </c>
      <c r="EG65" s="439">
        <f t="shared" si="52"/>
        <v>0</v>
      </c>
      <c r="EH65" s="440">
        <f t="shared" si="53"/>
        <v>0</v>
      </c>
      <c r="EI65" s="440">
        <f t="shared" si="54"/>
        <v>0</v>
      </c>
      <c r="EJ65" s="541">
        <f t="shared" si="55"/>
        <v>0</v>
      </c>
      <c r="EK65" s="541">
        <f t="shared" si="56"/>
        <v>0</v>
      </c>
      <c r="EL65" s="573">
        <f t="shared" si="34"/>
        <v>0</v>
      </c>
    </row>
    <row r="66" spans="1:142" ht="30" x14ac:dyDescent="0.25">
      <c r="A66" s="982">
        <v>12</v>
      </c>
      <c r="B66" s="983">
        <v>4</v>
      </c>
      <c r="C66" s="851" t="s">
        <v>602</v>
      </c>
      <c r="D66" s="1003" t="s">
        <v>610</v>
      </c>
      <c r="E66" s="726">
        <v>1</v>
      </c>
      <c r="F66" s="537">
        <v>1</v>
      </c>
      <c r="G66" s="537">
        <v>1</v>
      </c>
      <c r="H66" s="537">
        <v>0</v>
      </c>
      <c r="I66" s="725">
        <v>1</v>
      </c>
      <c r="J66" s="724">
        <v>1</v>
      </c>
      <c r="K66" s="537">
        <v>1</v>
      </c>
      <c r="L66" s="537">
        <v>1</v>
      </c>
      <c r="M66" s="727">
        <v>1</v>
      </c>
      <c r="N66" s="726"/>
      <c r="O66" s="727"/>
      <c r="P66" s="724">
        <v>0</v>
      </c>
      <c r="Q66" s="724">
        <v>0</v>
      </c>
      <c r="R66" s="724">
        <v>0</v>
      </c>
      <c r="S66" s="724">
        <v>0</v>
      </c>
      <c r="T66" s="724">
        <v>0</v>
      </c>
      <c r="U66" s="724">
        <f t="shared" si="31"/>
        <v>0</v>
      </c>
      <c r="V66" s="724"/>
      <c r="W66" s="724"/>
      <c r="X66" s="724"/>
      <c r="Y66" s="726"/>
      <c r="Z66" s="724"/>
      <c r="AA66" s="726"/>
      <c r="AB66" s="724"/>
      <c r="AC66" s="537"/>
      <c r="AD66" s="537"/>
      <c r="AE66" s="537"/>
      <c r="AF66" s="537"/>
      <c r="AG66" s="537"/>
      <c r="AH66" s="537"/>
      <c r="AI66" s="537"/>
      <c r="AJ66" s="537"/>
      <c r="AK66" s="727"/>
      <c r="AL66" s="390">
        <f t="shared" si="32"/>
        <v>1</v>
      </c>
      <c r="AM66" s="729"/>
      <c r="AN66" s="730"/>
      <c r="AO66" s="731"/>
      <c r="AP66" s="732"/>
      <c r="AQ66" s="850"/>
      <c r="AR66" s="848"/>
      <c r="AS66" s="733"/>
      <c r="AT66" s="852"/>
      <c r="AU66" s="858"/>
      <c r="AV66" s="1015"/>
      <c r="AW66" s="1020"/>
      <c r="AX66" s="1020"/>
      <c r="AY66" s="1020"/>
      <c r="AZ66" s="898"/>
      <c r="BA66" s="1024"/>
      <c r="BE66" s="545">
        <v>60</v>
      </c>
      <c r="BF66" s="564" t="s">
        <v>260</v>
      </c>
      <c r="BG66" s="276">
        <f t="shared" si="37"/>
        <v>1</v>
      </c>
      <c r="BH66" s="282">
        <f t="shared" si="38"/>
        <v>0</v>
      </c>
      <c r="BI66" s="565">
        <f t="shared" si="39"/>
        <v>0</v>
      </c>
      <c r="BJ66" s="566">
        <f t="shared" si="40"/>
        <v>0</v>
      </c>
      <c r="BQ66" s="299">
        <f t="shared" si="42"/>
        <v>1</v>
      </c>
      <c r="BR66" s="300">
        <f t="shared" si="43"/>
        <v>1</v>
      </c>
      <c r="BS66" s="300">
        <f t="shared" si="44"/>
        <v>1</v>
      </c>
      <c r="BT66" s="301">
        <f t="shared" si="45"/>
        <v>1</v>
      </c>
      <c r="BU66" s="303">
        <f t="shared" si="46"/>
        <v>1</v>
      </c>
      <c r="BV66" s="257">
        <f t="shared" si="47"/>
        <v>1</v>
      </c>
      <c r="BW66" s="456">
        <f t="shared" si="48"/>
        <v>1</v>
      </c>
      <c r="BX66" s="459">
        <f t="shared" si="49"/>
        <v>0</v>
      </c>
      <c r="BY66" s="311">
        <f t="shared" si="23"/>
        <v>1</v>
      </c>
      <c r="CD66" s="570">
        <f t="shared" si="50"/>
        <v>0</v>
      </c>
      <c r="CM66" s="571"/>
      <c r="CN66" s="545"/>
      <c r="CR66" s="571"/>
      <c r="CS66" s="545"/>
      <c r="CW66" s="545"/>
      <c r="CX66" s="572"/>
      <c r="CZ66" s="562">
        <f t="shared" si="24"/>
        <v>0</v>
      </c>
      <c r="DC66" s="545"/>
      <c r="DE66" s="545"/>
      <c r="DH66" s="562">
        <f t="shared" si="29"/>
        <v>0</v>
      </c>
      <c r="DM66" s="547" t="str">
        <f t="shared" si="51"/>
        <v>Tra 2</v>
      </c>
      <c r="DN66" s="547">
        <f t="shared" si="25"/>
        <v>1</v>
      </c>
      <c r="DO66" s="547">
        <f t="shared" si="26"/>
        <v>0</v>
      </c>
      <c r="DP66" s="547">
        <f t="shared" si="27"/>
        <v>1</v>
      </c>
      <c r="DT66" s="547">
        <f t="shared" si="28"/>
        <v>1</v>
      </c>
      <c r="EE66" s="564" t="str">
        <f t="shared" si="33"/>
        <v>Tra 2</v>
      </c>
      <c r="EG66" s="439">
        <f t="shared" si="52"/>
        <v>0</v>
      </c>
      <c r="EH66" s="440">
        <f t="shared" si="53"/>
        <v>0</v>
      </c>
      <c r="EI66" s="440">
        <f t="shared" si="54"/>
        <v>0</v>
      </c>
      <c r="EJ66" s="541">
        <f t="shared" si="55"/>
        <v>0</v>
      </c>
      <c r="EK66" s="541">
        <f t="shared" si="56"/>
        <v>0</v>
      </c>
      <c r="EL66" s="573">
        <f t="shared" si="34"/>
        <v>0</v>
      </c>
    </row>
    <row r="67" spans="1:142" x14ac:dyDescent="0.25">
      <c r="A67" s="982">
        <v>12</v>
      </c>
      <c r="B67" s="983">
        <v>5</v>
      </c>
      <c r="C67" s="851" t="s">
        <v>79</v>
      </c>
      <c r="D67" s="1003" t="s">
        <v>78</v>
      </c>
      <c r="E67" s="726">
        <v>1</v>
      </c>
      <c r="F67" s="537">
        <v>1</v>
      </c>
      <c r="G67" s="537">
        <v>0</v>
      </c>
      <c r="H67" s="537">
        <v>0</v>
      </c>
      <c r="I67" s="725">
        <v>1</v>
      </c>
      <c r="J67" s="724">
        <v>3</v>
      </c>
      <c r="K67" s="537">
        <v>3</v>
      </c>
      <c r="L67" s="537">
        <v>3</v>
      </c>
      <c r="M67" s="727">
        <v>3</v>
      </c>
      <c r="N67" s="726"/>
      <c r="O67" s="727"/>
      <c r="P67" s="724">
        <v>0</v>
      </c>
      <c r="Q67" s="724">
        <v>0</v>
      </c>
      <c r="R67" s="724">
        <v>0</v>
      </c>
      <c r="S67" s="724">
        <v>0</v>
      </c>
      <c r="T67" s="724">
        <v>0</v>
      </c>
      <c r="U67" s="724">
        <f t="shared" si="31"/>
        <v>0</v>
      </c>
      <c r="V67" s="724"/>
      <c r="W67" s="724"/>
      <c r="X67" s="724"/>
      <c r="Y67" s="726"/>
      <c r="Z67" s="724"/>
      <c r="AA67" s="726"/>
      <c r="AB67" s="724"/>
      <c r="AC67" s="537"/>
      <c r="AD67" s="537"/>
      <c r="AE67" s="537"/>
      <c r="AF67" s="537"/>
      <c r="AG67" s="537"/>
      <c r="AH67" s="537"/>
      <c r="AI67" s="537"/>
      <c r="AJ67" s="537"/>
      <c r="AK67" s="727"/>
      <c r="AL67" s="390">
        <f t="shared" si="32"/>
        <v>3</v>
      </c>
      <c r="AM67" s="913"/>
      <c r="AN67" s="730"/>
      <c r="AO67" s="731"/>
      <c r="AP67" s="732"/>
      <c r="AQ67" s="850"/>
      <c r="AR67" s="848"/>
      <c r="AS67" s="733"/>
      <c r="AT67" s="852"/>
      <c r="AU67" s="858"/>
      <c r="AV67" s="1015"/>
      <c r="AW67" s="1020"/>
      <c r="AX67" s="1020"/>
      <c r="AY67" s="1020"/>
      <c r="AZ67" s="898"/>
      <c r="BA67" s="1024"/>
      <c r="BE67" s="545">
        <v>61</v>
      </c>
      <c r="BF67" s="564" t="s">
        <v>239</v>
      </c>
      <c r="BG67" s="276">
        <f t="shared" si="37"/>
        <v>2</v>
      </c>
      <c r="BH67" s="282">
        <f t="shared" si="38"/>
        <v>0</v>
      </c>
      <c r="BI67" s="565">
        <f t="shared" si="39"/>
        <v>0</v>
      </c>
      <c r="BJ67" s="566">
        <f t="shared" si="40"/>
        <v>0</v>
      </c>
      <c r="BQ67" s="298">
        <f t="shared" si="42"/>
        <v>2</v>
      </c>
      <c r="BR67" s="257">
        <f t="shared" si="43"/>
        <v>2</v>
      </c>
      <c r="BS67" s="257">
        <f t="shared" si="44"/>
        <v>2</v>
      </c>
      <c r="BT67" s="302">
        <f t="shared" si="45"/>
        <v>2</v>
      </c>
      <c r="BU67" s="303">
        <f t="shared" si="46"/>
        <v>1</v>
      </c>
      <c r="BV67" s="257">
        <f t="shared" si="47"/>
        <v>1</v>
      </c>
      <c r="BW67" s="456">
        <f t="shared" si="48"/>
        <v>1</v>
      </c>
      <c r="BX67" s="459">
        <f t="shared" si="49"/>
        <v>0</v>
      </c>
      <c r="BY67" s="311">
        <f t="shared" si="23"/>
        <v>2</v>
      </c>
      <c r="CD67" s="570">
        <f t="shared" si="50"/>
        <v>0</v>
      </c>
      <c r="CM67" s="571"/>
      <c r="CN67" s="545"/>
      <c r="CR67" s="571"/>
      <c r="CS67" s="545"/>
      <c r="CW67" s="545"/>
      <c r="CX67" s="572"/>
      <c r="CZ67" s="562">
        <f t="shared" si="24"/>
        <v>0</v>
      </c>
      <c r="DC67" s="545"/>
      <c r="DE67" s="545"/>
      <c r="DH67" s="562">
        <f t="shared" si="29"/>
        <v>0</v>
      </c>
      <c r="DM67" s="547" t="str">
        <f t="shared" si="51"/>
        <v>Tra 3</v>
      </c>
      <c r="DN67" s="547">
        <f t="shared" si="25"/>
        <v>2</v>
      </c>
      <c r="DO67" s="547">
        <f t="shared" si="26"/>
        <v>0</v>
      </c>
      <c r="DP67" s="547">
        <f t="shared" si="27"/>
        <v>2</v>
      </c>
      <c r="DT67" s="547">
        <f t="shared" si="28"/>
        <v>2</v>
      </c>
      <c r="EE67" s="564" t="str">
        <f t="shared" si="33"/>
        <v>Tra 3</v>
      </c>
      <c r="EG67" s="439">
        <f t="shared" si="52"/>
        <v>0</v>
      </c>
      <c r="EH67" s="440">
        <f t="shared" si="53"/>
        <v>0</v>
      </c>
      <c r="EI67" s="440">
        <f t="shared" si="54"/>
        <v>0</v>
      </c>
      <c r="EJ67" s="541">
        <f t="shared" si="55"/>
        <v>0</v>
      </c>
      <c r="EK67" s="541">
        <f t="shared" si="56"/>
        <v>0</v>
      </c>
      <c r="EL67" s="573">
        <f t="shared" si="34"/>
        <v>0</v>
      </c>
    </row>
    <row r="68" spans="1:142" ht="45" x14ac:dyDescent="0.25">
      <c r="A68" s="982">
        <v>12</v>
      </c>
      <c r="B68" s="983">
        <v>6</v>
      </c>
      <c r="C68" s="851" t="s">
        <v>231</v>
      </c>
      <c r="D68" s="1003" t="s">
        <v>474</v>
      </c>
      <c r="E68" s="726">
        <v>1</v>
      </c>
      <c r="F68" s="537">
        <v>1</v>
      </c>
      <c r="G68" s="537">
        <v>1</v>
      </c>
      <c r="H68" s="537">
        <v>0</v>
      </c>
      <c r="I68" s="725">
        <v>1</v>
      </c>
      <c r="J68" s="724">
        <v>1</v>
      </c>
      <c r="K68" s="537">
        <v>1</v>
      </c>
      <c r="L68" s="537">
        <v>1</v>
      </c>
      <c r="M68" s="727">
        <v>1</v>
      </c>
      <c r="N68" s="726"/>
      <c r="O68" s="727"/>
      <c r="P68" s="724">
        <v>0</v>
      </c>
      <c r="Q68" s="724">
        <v>0</v>
      </c>
      <c r="R68" s="724">
        <v>0</v>
      </c>
      <c r="S68" s="724">
        <v>0</v>
      </c>
      <c r="T68" s="724">
        <v>0</v>
      </c>
      <c r="U68" s="724">
        <f t="shared" si="31"/>
        <v>0</v>
      </c>
      <c r="V68" s="724"/>
      <c r="W68" s="724"/>
      <c r="X68" s="724"/>
      <c r="Y68" s="726"/>
      <c r="Z68" s="724"/>
      <c r="AA68" s="726"/>
      <c r="AB68" s="724"/>
      <c r="AC68" s="537"/>
      <c r="AD68" s="537"/>
      <c r="AE68" s="537"/>
      <c r="AF68" s="537"/>
      <c r="AG68" s="537"/>
      <c r="AH68" s="537"/>
      <c r="AI68" s="537"/>
      <c r="AJ68" s="537"/>
      <c r="AK68" s="727"/>
      <c r="AL68" s="390">
        <f t="shared" si="32"/>
        <v>1</v>
      </c>
      <c r="AM68" s="729"/>
      <c r="AN68" s="730"/>
      <c r="AO68" s="731"/>
      <c r="AP68" s="732"/>
      <c r="AQ68" s="850"/>
      <c r="AR68" s="848"/>
      <c r="AS68" s="733"/>
      <c r="AT68" s="852"/>
      <c r="AU68" s="858"/>
      <c r="AV68" s="1015"/>
      <c r="AW68" s="1020"/>
      <c r="AX68" s="1020"/>
      <c r="AY68" s="1020"/>
      <c r="AZ68" s="898"/>
      <c r="BA68" s="1024"/>
      <c r="BE68" s="545">
        <v>62</v>
      </c>
      <c r="BF68" s="564" t="s">
        <v>237</v>
      </c>
      <c r="BG68" s="276">
        <f t="shared" si="37"/>
        <v>2</v>
      </c>
      <c r="BH68" s="282">
        <f t="shared" si="38"/>
        <v>0</v>
      </c>
      <c r="BI68" s="565">
        <f t="shared" si="39"/>
        <v>0</v>
      </c>
      <c r="BJ68" s="566">
        <f t="shared" si="40"/>
        <v>0</v>
      </c>
      <c r="BQ68" s="299">
        <f t="shared" si="42"/>
        <v>2</v>
      </c>
      <c r="BR68" s="300">
        <f t="shared" si="43"/>
        <v>1</v>
      </c>
      <c r="BS68" s="300">
        <f t="shared" si="44"/>
        <v>1</v>
      </c>
      <c r="BT68" s="301">
        <f t="shared" si="45"/>
        <v>2</v>
      </c>
      <c r="BU68" s="303">
        <f t="shared" si="46"/>
        <v>1</v>
      </c>
      <c r="BV68" s="257">
        <f t="shared" si="47"/>
        <v>1</v>
      </c>
      <c r="BW68" s="456">
        <f t="shared" si="48"/>
        <v>1</v>
      </c>
      <c r="BX68" s="459">
        <f t="shared" si="49"/>
        <v>0</v>
      </c>
      <c r="BY68" s="311">
        <f t="shared" si="23"/>
        <v>2</v>
      </c>
      <c r="CD68" s="570">
        <f t="shared" si="50"/>
        <v>0</v>
      </c>
      <c r="CM68" s="571"/>
      <c r="CN68" s="545"/>
      <c r="CR68" s="571"/>
      <c r="CS68" s="545"/>
      <c r="CW68" s="545"/>
      <c r="CX68" s="572"/>
      <c r="CZ68" s="562">
        <f t="shared" si="24"/>
        <v>0</v>
      </c>
      <c r="DC68" s="545"/>
      <c r="DE68" s="545"/>
      <c r="DH68" s="562">
        <f t="shared" si="29"/>
        <v>0</v>
      </c>
      <c r="DM68" s="547" t="str">
        <f t="shared" si="51"/>
        <v>Tra 4</v>
      </c>
      <c r="DN68" s="547">
        <f t="shared" si="25"/>
        <v>2</v>
      </c>
      <c r="DO68" s="547">
        <f t="shared" si="26"/>
        <v>0</v>
      </c>
      <c r="DP68" s="547">
        <f t="shared" si="27"/>
        <v>2</v>
      </c>
      <c r="DT68" s="547">
        <f t="shared" si="28"/>
        <v>2</v>
      </c>
      <c r="EE68" s="564" t="str">
        <f t="shared" si="33"/>
        <v>Tra 4</v>
      </c>
      <c r="EG68" s="439">
        <f t="shared" si="52"/>
        <v>0</v>
      </c>
      <c r="EH68" s="440">
        <f t="shared" si="53"/>
        <v>0</v>
      </c>
      <c r="EI68" s="440">
        <f t="shared" si="54"/>
        <v>0</v>
      </c>
      <c r="EJ68" s="541">
        <f t="shared" si="55"/>
        <v>0</v>
      </c>
      <c r="EK68" s="541">
        <f t="shared" si="56"/>
        <v>0</v>
      </c>
      <c r="EL68" s="573">
        <f t="shared" si="34"/>
        <v>0</v>
      </c>
    </row>
    <row r="69" spans="1:142" ht="45" x14ac:dyDescent="0.25">
      <c r="A69" s="982">
        <v>12</v>
      </c>
      <c r="B69" s="983">
        <v>7</v>
      </c>
      <c r="C69" s="851" t="s">
        <v>94</v>
      </c>
      <c r="D69" s="1003" t="s">
        <v>475</v>
      </c>
      <c r="E69" s="726">
        <v>1</v>
      </c>
      <c r="F69" s="537">
        <v>1</v>
      </c>
      <c r="G69" s="537">
        <v>1</v>
      </c>
      <c r="H69" s="537">
        <v>1</v>
      </c>
      <c r="I69" s="725">
        <v>1</v>
      </c>
      <c r="J69" s="724">
        <v>1</v>
      </c>
      <c r="K69" s="537">
        <v>1</v>
      </c>
      <c r="L69" s="537">
        <v>1</v>
      </c>
      <c r="M69" s="727">
        <v>1</v>
      </c>
      <c r="N69" s="726"/>
      <c r="O69" s="727"/>
      <c r="P69" s="724">
        <v>0</v>
      </c>
      <c r="Q69" s="724">
        <v>0</v>
      </c>
      <c r="R69" s="724">
        <v>0</v>
      </c>
      <c r="S69" s="724">
        <v>0</v>
      </c>
      <c r="T69" s="724">
        <v>0</v>
      </c>
      <c r="U69" s="724">
        <f t="shared" si="31"/>
        <v>0</v>
      </c>
      <c r="V69" s="724"/>
      <c r="W69" s="724"/>
      <c r="X69" s="724"/>
      <c r="Y69" s="726"/>
      <c r="Z69" s="724"/>
      <c r="AA69" s="726"/>
      <c r="AB69" s="724"/>
      <c r="AC69" s="537"/>
      <c r="AD69" s="537"/>
      <c r="AE69" s="537"/>
      <c r="AF69" s="537"/>
      <c r="AG69" s="537"/>
      <c r="AH69" s="537"/>
      <c r="AI69" s="537"/>
      <c r="AJ69" s="537"/>
      <c r="AK69" s="727"/>
      <c r="AL69" s="390">
        <f t="shared" si="32"/>
        <v>1</v>
      </c>
      <c r="AM69" s="913"/>
      <c r="AN69" s="730"/>
      <c r="AO69" s="731"/>
      <c r="AP69" s="732"/>
      <c r="AQ69" s="850"/>
      <c r="AR69" s="848"/>
      <c r="AS69" s="733"/>
      <c r="AT69" s="852"/>
      <c r="AU69" s="858"/>
      <c r="AV69" s="1015"/>
      <c r="AW69" s="1020"/>
      <c r="AX69" s="1020"/>
      <c r="AY69" s="1020"/>
      <c r="AZ69" s="898"/>
      <c r="BA69" s="1024"/>
      <c r="BE69" s="545">
        <v>63</v>
      </c>
      <c r="BF69" s="564" t="s">
        <v>258</v>
      </c>
      <c r="BG69" s="276">
        <f t="shared" si="37"/>
        <v>1</v>
      </c>
      <c r="BH69" s="282">
        <f t="shared" si="38"/>
        <v>0</v>
      </c>
      <c r="BI69" s="565">
        <f t="shared" si="39"/>
        <v>0</v>
      </c>
      <c r="BJ69" s="566">
        <f t="shared" si="40"/>
        <v>0</v>
      </c>
      <c r="BQ69" s="567">
        <f t="shared" si="42"/>
        <v>1</v>
      </c>
      <c r="BR69" s="568">
        <f t="shared" si="43"/>
        <v>1</v>
      </c>
      <c r="BS69" s="568">
        <f t="shared" si="44"/>
        <v>1</v>
      </c>
      <c r="BT69" s="569">
        <f t="shared" si="45"/>
        <v>1</v>
      </c>
      <c r="BU69" s="303">
        <f t="shared" si="46"/>
        <v>1</v>
      </c>
      <c r="BV69" s="257">
        <f t="shared" si="47"/>
        <v>1</v>
      </c>
      <c r="BW69" s="456">
        <f t="shared" si="48"/>
        <v>1</v>
      </c>
      <c r="BX69" s="459">
        <f t="shared" si="49"/>
        <v>0</v>
      </c>
      <c r="BY69" s="311">
        <f t="shared" si="23"/>
        <v>1</v>
      </c>
      <c r="CD69" s="570">
        <f t="shared" si="50"/>
        <v>0</v>
      </c>
      <c r="CM69" s="571"/>
      <c r="CN69" s="545"/>
      <c r="CR69" s="571"/>
      <c r="CS69" s="545"/>
      <c r="CW69" s="545"/>
      <c r="CX69" s="572"/>
      <c r="CZ69" s="562">
        <f t="shared" si="24"/>
        <v>0</v>
      </c>
      <c r="DC69" s="545"/>
      <c r="DE69" s="545"/>
      <c r="DH69" s="562">
        <f t="shared" si="29"/>
        <v>0</v>
      </c>
      <c r="DM69" s="547" t="str">
        <f t="shared" si="51"/>
        <v>Tra 5</v>
      </c>
      <c r="DN69" s="547">
        <f t="shared" si="25"/>
        <v>1</v>
      </c>
      <c r="DO69" s="547">
        <f t="shared" si="26"/>
        <v>0</v>
      </c>
      <c r="DP69" s="547">
        <f t="shared" si="27"/>
        <v>1</v>
      </c>
      <c r="DT69" s="547">
        <f t="shared" si="28"/>
        <v>1</v>
      </c>
      <c r="EE69" s="564" t="str">
        <f t="shared" si="33"/>
        <v>Tra 5</v>
      </c>
      <c r="EG69" s="439">
        <f t="shared" si="52"/>
        <v>0</v>
      </c>
      <c r="EH69" s="440">
        <f t="shared" si="53"/>
        <v>0</v>
      </c>
      <c r="EI69" s="440">
        <f t="shared" si="54"/>
        <v>0</v>
      </c>
      <c r="EJ69" s="541">
        <f t="shared" si="55"/>
        <v>0</v>
      </c>
      <c r="EK69" s="541">
        <f t="shared" si="56"/>
        <v>0</v>
      </c>
      <c r="EL69" s="573">
        <f t="shared" si="34"/>
        <v>0</v>
      </c>
    </row>
    <row r="70" spans="1:142" ht="15.75" thickBot="1" x14ac:dyDescent="0.3">
      <c r="A70" s="982">
        <v>12</v>
      </c>
      <c r="B70" s="983">
        <v>8</v>
      </c>
      <c r="C70" s="851" t="s">
        <v>92</v>
      </c>
      <c r="D70" s="1003" t="s">
        <v>91</v>
      </c>
      <c r="E70" s="726">
        <v>0</v>
      </c>
      <c r="F70" s="537">
        <v>1</v>
      </c>
      <c r="G70" s="537">
        <v>1</v>
      </c>
      <c r="H70" s="537">
        <v>1</v>
      </c>
      <c r="I70" s="725">
        <v>1</v>
      </c>
      <c r="J70" s="724">
        <v>1</v>
      </c>
      <c r="K70" s="537">
        <v>1</v>
      </c>
      <c r="L70" s="537">
        <v>1</v>
      </c>
      <c r="M70" s="727">
        <v>1</v>
      </c>
      <c r="N70" s="726"/>
      <c r="O70" s="727"/>
      <c r="P70" s="724">
        <v>0</v>
      </c>
      <c r="Q70" s="724">
        <v>0</v>
      </c>
      <c r="R70" s="724">
        <v>0</v>
      </c>
      <c r="S70" s="724">
        <v>0</v>
      </c>
      <c r="T70" s="724">
        <v>0</v>
      </c>
      <c r="U70" s="724">
        <f t="shared" si="31"/>
        <v>0</v>
      </c>
      <c r="V70" s="724"/>
      <c r="W70" s="724"/>
      <c r="X70" s="724"/>
      <c r="Y70" s="726"/>
      <c r="Z70" s="724"/>
      <c r="AA70" s="726"/>
      <c r="AB70" s="724"/>
      <c r="AC70" s="537"/>
      <c r="AD70" s="537"/>
      <c r="AE70" s="537"/>
      <c r="AF70" s="537"/>
      <c r="AG70" s="537"/>
      <c r="AH70" s="537"/>
      <c r="AI70" s="537"/>
      <c r="AJ70" s="537"/>
      <c r="AK70" s="727"/>
      <c r="AL70" s="390">
        <f t="shared" si="32"/>
        <v>1</v>
      </c>
      <c r="AM70" s="729"/>
      <c r="AN70" s="730"/>
      <c r="AO70" s="731"/>
      <c r="AP70" s="732"/>
      <c r="AQ70" s="850"/>
      <c r="AR70" s="848"/>
      <c r="AS70" s="917"/>
      <c r="AT70" s="931"/>
      <c r="AU70" s="937"/>
      <c r="AV70" s="1015"/>
      <c r="AW70" s="1020"/>
      <c r="AX70" s="1020"/>
      <c r="AY70" s="1020"/>
      <c r="AZ70" s="898"/>
      <c r="BA70" s="1024"/>
      <c r="BE70" s="545">
        <v>64</v>
      </c>
      <c r="BF70" s="564" t="s">
        <v>403</v>
      </c>
      <c r="BG70" s="276">
        <f t="shared" si="37"/>
        <v>2</v>
      </c>
      <c r="BH70" s="282">
        <f t="shared" si="38"/>
        <v>0</v>
      </c>
      <c r="BI70" s="565">
        <f t="shared" si="39"/>
        <v>0</v>
      </c>
      <c r="BJ70" s="566">
        <f t="shared" si="40"/>
        <v>0</v>
      </c>
      <c r="BQ70" s="299">
        <f t="shared" si="42"/>
        <v>0</v>
      </c>
      <c r="BR70" s="300">
        <f t="shared" si="43"/>
        <v>2</v>
      </c>
      <c r="BS70" s="300">
        <f t="shared" si="44"/>
        <v>2</v>
      </c>
      <c r="BT70" s="301">
        <f t="shared" si="45"/>
        <v>2</v>
      </c>
      <c r="BU70" s="303">
        <f t="shared" si="46"/>
        <v>1</v>
      </c>
      <c r="BV70" s="257">
        <f t="shared" si="47"/>
        <v>1</v>
      </c>
      <c r="BW70" s="456">
        <f t="shared" si="48"/>
        <v>1</v>
      </c>
      <c r="BX70" s="459">
        <f t="shared" si="49"/>
        <v>2</v>
      </c>
      <c r="BY70" s="311">
        <f t="shared" si="23"/>
        <v>2</v>
      </c>
      <c r="CD70" s="559">
        <f t="shared" si="50"/>
        <v>0</v>
      </c>
      <c r="CM70" s="571"/>
      <c r="CN70" s="545"/>
      <c r="CR70" s="571"/>
      <c r="CS70" s="545"/>
      <c r="CW70" s="545"/>
      <c r="CX70" s="572"/>
      <c r="CZ70" s="562">
        <f t="shared" si="24"/>
        <v>0</v>
      </c>
      <c r="DC70" s="545"/>
      <c r="DE70" s="545"/>
      <c r="DH70" s="562">
        <f t="shared" si="29"/>
        <v>0</v>
      </c>
      <c r="DM70" s="547" t="str">
        <f t="shared" si="51"/>
        <v>Tra 6</v>
      </c>
      <c r="DN70" s="547">
        <f t="shared" si="25"/>
        <v>2</v>
      </c>
      <c r="DO70" s="547">
        <f t="shared" si="26"/>
        <v>0</v>
      </c>
      <c r="DP70" s="547">
        <f t="shared" si="27"/>
        <v>2</v>
      </c>
      <c r="DQ70" s="1236" t="s">
        <v>158</v>
      </c>
      <c r="DR70" s="1242"/>
      <c r="DS70" s="1242"/>
      <c r="DT70" s="547">
        <f t="shared" si="28"/>
        <v>2</v>
      </c>
      <c r="EE70" s="564" t="str">
        <f t="shared" si="33"/>
        <v>Tra 6</v>
      </c>
      <c r="EG70" s="439">
        <f t="shared" si="52"/>
        <v>0</v>
      </c>
      <c r="EH70" s="440">
        <f t="shared" si="53"/>
        <v>0</v>
      </c>
      <c r="EI70" s="440">
        <f t="shared" si="54"/>
        <v>0</v>
      </c>
      <c r="EJ70" s="541">
        <f t="shared" si="55"/>
        <v>0</v>
      </c>
      <c r="EK70" s="541">
        <f t="shared" si="56"/>
        <v>0</v>
      </c>
      <c r="EL70" s="573">
        <f t="shared" si="34"/>
        <v>0</v>
      </c>
    </row>
    <row r="71" spans="1:142" ht="60" x14ac:dyDescent="0.25">
      <c r="A71" s="982">
        <v>7</v>
      </c>
      <c r="B71" s="983">
        <v>1</v>
      </c>
      <c r="C71" s="851" t="s">
        <v>262</v>
      </c>
      <c r="D71" s="1003" t="s">
        <v>261</v>
      </c>
      <c r="E71" s="726">
        <v>1</v>
      </c>
      <c r="F71" s="537">
        <v>1</v>
      </c>
      <c r="G71" s="537">
        <v>1</v>
      </c>
      <c r="H71" s="537">
        <v>0</v>
      </c>
      <c r="I71" s="725">
        <v>1</v>
      </c>
      <c r="J71" s="724">
        <v>4</v>
      </c>
      <c r="K71" s="537">
        <v>2</v>
      </c>
      <c r="L71" s="537">
        <v>2</v>
      </c>
      <c r="M71" s="727">
        <v>4</v>
      </c>
      <c r="N71" s="726"/>
      <c r="O71" s="727"/>
      <c r="P71" s="724">
        <v>0</v>
      </c>
      <c r="Q71" s="724">
        <v>0</v>
      </c>
      <c r="R71" s="724">
        <v>0</v>
      </c>
      <c r="S71" s="724">
        <v>0</v>
      </c>
      <c r="T71" s="724">
        <v>0</v>
      </c>
      <c r="U71" s="724">
        <f t="shared" si="31"/>
        <v>0</v>
      </c>
      <c r="V71" s="724"/>
      <c r="W71" s="724"/>
      <c r="X71" s="724"/>
      <c r="Y71" s="726"/>
      <c r="Z71" s="724"/>
      <c r="AA71" s="726"/>
      <c r="AB71" s="724"/>
      <c r="AC71" s="537"/>
      <c r="AD71" s="537"/>
      <c r="AE71" s="537"/>
      <c r="AF71" s="537"/>
      <c r="AG71" s="537"/>
      <c r="AH71" s="537"/>
      <c r="AI71" s="537"/>
      <c r="AJ71" s="537"/>
      <c r="AK71" s="727"/>
      <c r="AL71" s="390">
        <f t="shared" si="32"/>
        <v>4</v>
      </c>
      <c r="AM71" s="729"/>
      <c r="AN71" s="730"/>
      <c r="AO71" s="731"/>
      <c r="AP71" s="732"/>
      <c r="AQ71" s="850"/>
      <c r="AR71" s="848"/>
      <c r="AS71" s="733"/>
      <c r="AT71" s="852"/>
      <c r="AU71" s="858"/>
      <c r="AV71" s="1015"/>
      <c r="AW71" s="1020"/>
      <c r="AX71" s="1020"/>
      <c r="AY71" s="1020"/>
      <c r="AZ71" s="898"/>
      <c r="BA71" s="1024"/>
      <c r="BE71" s="545">
        <v>65</v>
      </c>
      <c r="BF71" s="564" t="s">
        <v>359</v>
      </c>
      <c r="BG71" s="276">
        <f t="shared" si="37"/>
        <v>1</v>
      </c>
      <c r="BH71" s="282">
        <f t="shared" si="38"/>
        <v>0</v>
      </c>
      <c r="BI71" s="565">
        <f t="shared" si="39"/>
        <v>0</v>
      </c>
      <c r="BJ71" s="566">
        <f t="shared" si="40"/>
        <v>0</v>
      </c>
      <c r="BK71" s="1236" t="s">
        <v>158</v>
      </c>
      <c r="BL71" s="1237"/>
      <c r="BM71" s="1237"/>
      <c r="BN71" s="1237"/>
      <c r="BQ71" s="299">
        <f t="shared" si="42"/>
        <v>1</v>
      </c>
      <c r="BR71" s="300">
        <f t="shared" si="43"/>
        <v>0</v>
      </c>
      <c r="BS71" s="300">
        <f t="shared" si="44"/>
        <v>0</v>
      </c>
      <c r="BT71" s="301">
        <f t="shared" si="45"/>
        <v>1</v>
      </c>
      <c r="BU71" s="303">
        <f t="shared" si="46"/>
        <v>1</v>
      </c>
      <c r="BV71" s="257">
        <f t="shared" si="47"/>
        <v>1</v>
      </c>
      <c r="BW71" s="456">
        <f t="shared" si="48"/>
        <v>1</v>
      </c>
      <c r="BX71" s="459">
        <f t="shared" si="49"/>
        <v>2</v>
      </c>
      <c r="BY71" s="335">
        <f t="shared" si="23"/>
        <v>1</v>
      </c>
      <c r="BZ71" s="549"/>
      <c r="CA71" s="550"/>
      <c r="CB71" s="550"/>
      <c r="CC71" s="550"/>
      <c r="CD71" s="570">
        <f t="shared" si="50"/>
        <v>0</v>
      </c>
      <c r="CE71" s="550"/>
      <c r="CF71" s="550"/>
      <c r="CG71" s="550"/>
      <c r="CH71" s="550"/>
      <c r="CI71" s="550"/>
      <c r="CJ71" s="550"/>
      <c r="CK71" s="550"/>
      <c r="CL71" s="550"/>
      <c r="CM71" s="549"/>
      <c r="CN71" s="547"/>
      <c r="CO71" s="550"/>
      <c r="CP71" s="550"/>
      <c r="CQ71" s="550"/>
      <c r="CR71" s="549"/>
      <c r="CS71" s="547"/>
      <c r="CT71" s="550"/>
      <c r="CU71" s="550"/>
      <c r="CV71" s="550"/>
      <c r="CW71" s="547"/>
      <c r="CX71" s="580">
        <f>IF(CX6=CI5,0,IF(CX7&gt;500,0,BY71))</f>
        <v>0</v>
      </c>
      <c r="CZ71" s="562">
        <f t="shared" si="24"/>
        <v>0</v>
      </c>
      <c r="DC71" s="545"/>
      <c r="DE71" s="545"/>
      <c r="DH71" s="562">
        <f t="shared" si="29"/>
        <v>0</v>
      </c>
      <c r="DM71" s="547" t="str">
        <f t="shared" si="51"/>
        <v>Tra 7</v>
      </c>
      <c r="DN71" s="547">
        <f t="shared" si="25"/>
        <v>1</v>
      </c>
      <c r="DO71" s="547">
        <f t="shared" si="26"/>
        <v>0</v>
      </c>
      <c r="DP71" s="547">
        <f t="shared" si="27"/>
        <v>1</v>
      </c>
      <c r="DQ71" s="289" t="s">
        <v>664</v>
      </c>
      <c r="DR71" s="264" t="s">
        <v>665</v>
      </c>
      <c r="DS71" s="343" t="s">
        <v>710</v>
      </c>
      <c r="DT71" s="547">
        <f t="shared" si="28"/>
        <v>1</v>
      </c>
      <c r="EE71" s="564" t="str">
        <f t="shared" si="33"/>
        <v>Tra 7</v>
      </c>
      <c r="EG71" s="439">
        <f t="shared" si="52"/>
        <v>0</v>
      </c>
      <c r="EH71" s="440">
        <f t="shared" si="53"/>
        <v>0</v>
      </c>
      <c r="EI71" s="440">
        <f t="shared" si="54"/>
        <v>0</v>
      </c>
      <c r="EJ71" s="541">
        <f t="shared" si="55"/>
        <v>0</v>
      </c>
      <c r="EK71" s="541">
        <f t="shared" si="56"/>
        <v>0</v>
      </c>
      <c r="EL71" s="573">
        <f t="shared" si="34"/>
        <v>0</v>
      </c>
    </row>
    <row r="72" spans="1:142" ht="45.75" thickBot="1" x14ac:dyDescent="0.3">
      <c r="A72" s="982">
        <v>7</v>
      </c>
      <c r="B72" s="983">
        <v>2</v>
      </c>
      <c r="C72" s="851" t="s">
        <v>260</v>
      </c>
      <c r="D72" s="1003" t="s">
        <v>675</v>
      </c>
      <c r="E72" s="726">
        <v>1</v>
      </c>
      <c r="F72" s="537">
        <v>1</v>
      </c>
      <c r="G72" s="537">
        <v>1</v>
      </c>
      <c r="H72" s="537">
        <v>0</v>
      </c>
      <c r="I72" s="725">
        <v>1</v>
      </c>
      <c r="J72" s="724">
        <v>1</v>
      </c>
      <c r="K72" s="537">
        <v>1</v>
      </c>
      <c r="L72" s="537">
        <v>1</v>
      </c>
      <c r="M72" s="727">
        <v>1</v>
      </c>
      <c r="N72" s="726"/>
      <c r="O72" s="727"/>
      <c r="P72" s="724">
        <v>0</v>
      </c>
      <c r="Q72" s="724">
        <v>0</v>
      </c>
      <c r="R72" s="724">
        <v>0</v>
      </c>
      <c r="S72" s="724">
        <v>0</v>
      </c>
      <c r="T72" s="724">
        <v>0</v>
      </c>
      <c r="U72" s="724">
        <f t="shared" si="31"/>
        <v>0</v>
      </c>
      <c r="V72" s="724"/>
      <c r="W72" s="724"/>
      <c r="X72" s="724"/>
      <c r="Y72" s="726"/>
      <c r="Z72" s="724"/>
      <c r="AA72" s="726"/>
      <c r="AB72" s="724"/>
      <c r="AC72" s="537"/>
      <c r="AD72" s="537"/>
      <c r="AE72" s="537"/>
      <c r="AF72" s="897"/>
      <c r="AG72" s="897"/>
      <c r="AH72" s="897"/>
      <c r="AI72" s="537"/>
      <c r="AJ72" s="537"/>
      <c r="AK72" s="727"/>
      <c r="AL72" s="390">
        <f t="shared" si="32"/>
        <v>1</v>
      </c>
      <c r="AM72" s="729"/>
      <c r="AN72" s="730"/>
      <c r="AO72" s="731"/>
      <c r="AP72" s="732"/>
      <c r="AQ72" s="850"/>
      <c r="AR72" s="848"/>
      <c r="AS72" s="733"/>
      <c r="AT72" s="852"/>
      <c r="AU72" s="858"/>
      <c r="AV72" s="1015"/>
      <c r="AW72" s="1020"/>
      <c r="AX72" s="1020"/>
      <c r="AY72" s="1020"/>
      <c r="AZ72" s="898"/>
      <c r="BA72" s="1024"/>
      <c r="BE72" s="545">
        <v>66</v>
      </c>
      <c r="BF72" s="582" t="s">
        <v>286</v>
      </c>
      <c r="BG72" s="280">
        <f t="shared" si="37"/>
        <v>1</v>
      </c>
      <c r="BH72" s="282">
        <f t="shared" si="38"/>
        <v>0</v>
      </c>
      <c r="BI72" s="565">
        <f t="shared" si="39"/>
        <v>0</v>
      </c>
      <c r="BJ72" s="566">
        <f t="shared" si="40"/>
        <v>0</v>
      </c>
      <c r="BK72" s="274">
        <f>SUM(BG65:BG72)</f>
        <v>14</v>
      </c>
      <c r="BL72" s="273">
        <f t="shared" ref="BL72:BN72" si="58">SUM(BH65:BH72)</f>
        <v>0</v>
      </c>
      <c r="BM72" s="273">
        <f t="shared" si="58"/>
        <v>0</v>
      </c>
      <c r="BN72" s="273">
        <f t="shared" si="58"/>
        <v>0</v>
      </c>
      <c r="BQ72" s="299">
        <f t="shared" si="42"/>
        <v>1</v>
      </c>
      <c r="BR72" s="300">
        <f t="shared" si="43"/>
        <v>0</v>
      </c>
      <c r="BS72" s="300">
        <f t="shared" si="44"/>
        <v>1</v>
      </c>
      <c r="BT72" s="301">
        <f t="shared" si="45"/>
        <v>1</v>
      </c>
      <c r="BU72" s="303">
        <f t="shared" si="46"/>
        <v>1</v>
      </c>
      <c r="BV72" s="257">
        <f t="shared" si="47"/>
        <v>1</v>
      </c>
      <c r="BW72" s="456">
        <f t="shared" si="48"/>
        <v>1</v>
      </c>
      <c r="BX72" s="459">
        <f t="shared" si="49"/>
        <v>0</v>
      </c>
      <c r="BY72" s="335">
        <f t="shared" si="23"/>
        <v>1</v>
      </c>
      <c r="BZ72" s="581"/>
      <c r="CA72" s="591"/>
      <c r="CB72" s="591"/>
      <c r="CC72" s="591"/>
      <c r="CD72" s="577">
        <f t="shared" si="50"/>
        <v>0</v>
      </c>
      <c r="CE72" s="591"/>
      <c r="CF72" s="591"/>
      <c r="CG72" s="591"/>
      <c r="CH72" s="591"/>
      <c r="CI72" s="591"/>
      <c r="CJ72" s="591"/>
      <c r="CK72" s="591"/>
      <c r="CL72" s="596"/>
      <c r="CM72" s="598">
        <f>IF(CM7="Ja",0,BY72)</f>
        <v>0</v>
      </c>
      <c r="CN72" s="545"/>
      <c r="CR72" s="571"/>
      <c r="CS72" s="545"/>
      <c r="CW72" s="545"/>
      <c r="CZ72" s="562">
        <f t="shared" si="24"/>
        <v>0</v>
      </c>
      <c r="DC72" s="545"/>
      <c r="DE72" s="545"/>
      <c r="DH72" s="562">
        <f t="shared" si="29"/>
        <v>0</v>
      </c>
      <c r="DM72" s="547" t="str">
        <f t="shared" si="51"/>
        <v>Tra 8</v>
      </c>
      <c r="DN72" s="547">
        <f t="shared" si="25"/>
        <v>1</v>
      </c>
      <c r="DO72" s="547">
        <f t="shared" si="26"/>
        <v>0</v>
      </c>
      <c r="DP72" s="547">
        <f t="shared" si="27"/>
        <v>1</v>
      </c>
      <c r="DQ72" s="273">
        <f>SUM(DN65:DN72)</f>
        <v>14</v>
      </c>
      <c r="DR72" s="273">
        <f>SUM(DO65:DO72)</f>
        <v>0</v>
      </c>
      <c r="DS72" s="273">
        <f>SUM(DT65:DT72)</f>
        <v>14</v>
      </c>
      <c r="DT72" s="547">
        <f t="shared" si="28"/>
        <v>1</v>
      </c>
      <c r="EE72" s="582" t="str">
        <f t="shared" si="33"/>
        <v>Tra 8</v>
      </c>
      <c r="EG72" s="439">
        <f t="shared" si="52"/>
        <v>0</v>
      </c>
      <c r="EH72" s="440">
        <f t="shared" si="53"/>
        <v>0</v>
      </c>
      <c r="EI72" s="440">
        <f t="shared" si="54"/>
        <v>0</v>
      </c>
      <c r="EJ72" s="541">
        <f t="shared" si="55"/>
        <v>0</v>
      </c>
      <c r="EK72" s="541">
        <f t="shared" si="56"/>
        <v>0</v>
      </c>
      <c r="EL72" s="573">
        <f t="shared" si="34"/>
        <v>0</v>
      </c>
    </row>
    <row r="73" spans="1:142" ht="30" x14ac:dyDescent="0.25">
      <c r="A73" s="982">
        <v>7</v>
      </c>
      <c r="B73" s="983">
        <v>3</v>
      </c>
      <c r="C73" s="851" t="s">
        <v>239</v>
      </c>
      <c r="D73" s="1003" t="s">
        <v>432</v>
      </c>
      <c r="E73" s="906">
        <v>1</v>
      </c>
      <c r="F73" s="897">
        <v>1</v>
      </c>
      <c r="G73" s="897">
        <v>1</v>
      </c>
      <c r="H73" s="897">
        <v>0</v>
      </c>
      <c r="I73" s="905">
        <v>1</v>
      </c>
      <c r="J73" s="904">
        <v>2</v>
      </c>
      <c r="K73" s="897">
        <v>2</v>
      </c>
      <c r="L73" s="897">
        <v>2</v>
      </c>
      <c r="M73" s="907">
        <v>2</v>
      </c>
      <c r="N73" s="906"/>
      <c r="O73" s="907"/>
      <c r="P73" s="904">
        <v>0</v>
      </c>
      <c r="Q73" s="904">
        <v>0</v>
      </c>
      <c r="R73" s="904">
        <v>0</v>
      </c>
      <c r="S73" s="904">
        <v>0</v>
      </c>
      <c r="T73" s="904">
        <v>0</v>
      </c>
      <c r="U73" s="904">
        <f t="shared" ref="U73:U94" si="59">VLOOKUP(C73,$EE$9:$EL$99,$EL$107,FALSE)</f>
        <v>0</v>
      </c>
      <c r="V73" s="904"/>
      <c r="W73" s="904"/>
      <c r="X73" s="904"/>
      <c r="Y73" s="906"/>
      <c r="Z73" s="904"/>
      <c r="AA73" s="906"/>
      <c r="AB73" s="904"/>
      <c r="AC73" s="897"/>
      <c r="AD73" s="897"/>
      <c r="AE73" s="897"/>
      <c r="AF73" s="897"/>
      <c r="AG73" s="897"/>
      <c r="AH73" s="897"/>
      <c r="AI73" s="897"/>
      <c r="AJ73" s="897"/>
      <c r="AK73" s="907"/>
      <c r="AL73" s="390">
        <f t="shared" ref="AL73:AL94" si="60">VLOOKUP(C73,$DM$9:$DP$98,$DP$6,FALSE)</f>
        <v>2</v>
      </c>
      <c r="AM73" s="913"/>
      <c r="AN73" s="914"/>
      <c r="AO73" s="915"/>
      <c r="AP73" s="916"/>
      <c r="AQ73" s="930"/>
      <c r="AR73" s="928"/>
      <c r="AS73" s="917"/>
      <c r="AT73" s="931"/>
      <c r="AU73" s="937"/>
      <c r="AV73" s="1015"/>
      <c r="AW73" s="1020"/>
      <c r="AX73" s="1020"/>
      <c r="AY73" s="1020"/>
      <c r="AZ73" s="898"/>
      <c r="BA73" s="1024"/>
      <c r="BE73" s="545">
        <v>67</v>
      </c>
      <c r="BF73" s="583" t="s">
        <v>242</v>
      </c>
      <c r="BG73" s="281">
        <f t="shared" si="37"/>
        <v>3</v>
      </c>
      <c r="BH73" s="282">
        <f t="shared" si="38"/>
        <v>0</v>
      </c>
      <c r="BI73" s="565">
        <f t="shared" si="39"/>
        <v>0</v>
      </c>
      <c r="BJ73" s="566">
        <f t="shared" si="40"/>
        <v>0</v>
      </c>
      <c r="BQ73" s="299">
        <f t="shared" si="42"/>
        <v>3</v>
      </c>
      <c r="BR73" s="300">
        <f t="shared" si="43"/>
        <v>3</v>
      </c>
      <c r="BS73" s="300">
        <f t="shared" si="44"/>
        <v>3</v>
      </c>
      <c r="BT73" s="301">
        <f t="shared" si="45"/>
        <v>3</v>
      </c>
      <c r="BU73" s="303">
        <f t="shared" si="46"/>
        <v>0</v>
      </c>
      <c r="BV73" s="257">
        <f t="shared" si="47"/>
        <v>1</v>
      </c>
      <c r="BW73" s="456">
        <f t="shared" si="48"/>
        <v>1</v>
      </c>
      <c r="BX73" s="459">
        <f t="shared" si="49"/>
        <v>0</v>
      </c>
      <c r="BY73" s="311">
        <f t="shared" si="23"/>
        <v>3</v>
      </c>
      <c r="CD73" s="577">
        <f t="shared" si="50"/>
        <v>0</v>
      </c>
      <c r="CN73" s="545"/>
      <c r="CR73" s="571"/>
      <c r="CS73" s="545"/>
      <c r="CW73" s="545"/>
      <c r="CZ73" s="562">
        <f t="shared" si="24"/>
        <v>0</v>
      </c>
      <c r="DC73" s="545"/>
      <c r="DE73" s="545"/>
      <c r="DH73" s="562">
        <f t="shared" si="29"/>
        <v>0</v>
      </c>
      <c r="DM73" s="547" t="str">
        <f t="shared" si="51"/>
        <v>Wat 1</v>
      </c>
      <c r="DN73" s="547">
        <f t="shared" si="25"/>
        <v>3</v>
      </c>
      <c r="DO73" s="547">
        <f t="shared" si="26"/>
        <v>0</v>
      </c>
      <c r="DP73" s="547">
        <f t="shared" si="27"/>
        <v>3</v>
      </c>
      <c r="DT73" s="547">
        <f t="shared" si="28"/>
        <v>3</v>
      </c>
      <c r="EE73" s="583" t="str">
        <f t="shared" ref="EE73:EE98" si="61">BF73</f>
        <v>Wat 1</v>
      </c>
      <c r="EG73" s="439">
        <f t="shared" si="52"/>
        <v>0</v>
      </c>
      <c r="EH73" s="440">
        <f t="shared" si="53"/>
        <v>0</v>
      </c>
      <c r="EI73" s="440">
        <f t="shared" si="54"/>
        <v>0</v>
      </c>
      <c r="EJ73" s="541">
        <f t="shared" si="55"/>
        <v>0</v>
      </c>
      <c r="EK73" s="541">
        <f t="shared" si="56"/>
        <v>0</v>
      </c>
      <c r="EL73" s="573">
        <f t="shared" ref="EL73:EL99" si="62">IF(DP73=0,0,HLOOKUP((IF($D$7=$EF$9,$P$8,IF($D$7=$EF$10,$Q$8,IF($D$7=$EF$11,$R$8,IF($D$7=$EF$12,$S$8,$T$8))))),$EG$8:$EK$104,BE72,FALSE))</f>
        <v>0</v>
      </c>
    </row>
    <row r="74" spans="1:142" ht="45" x14ac:dyDescent="0.25">
      <c r="A74" s="982">
        <v>7</v>
      </c>
      <c r="B74" s="983">
        <v>3</v>
      </c>
      <c r="C74" s="851" t="s">
        <v>598</v>
      </c>
      <c r="D74" s="1003" t="s">
        <v>607</v>
      </c>
      <c r="E74" s="726">
        <v>1</v>
      </c>
      <c r="F74" s="537">
        <v>1</v>
      </c>
      <c r="G74" s="537">
        <v>1</v>
      </c>
      <c r="H74" s="537">
        <v>0</v>
      </c>
      <c r="I74" s="725">
        <v>1</v>
      </c>
      <c r="J74" s="724">
        <v>1</v>
      </c>
      <c r="K74" s="537">
        <v>1</v>
      </c>
      <c r="L74" s="537">
        <v>1</v>
      </c>
      <c r="M74" s="727">
        <v>1</v>
      </c>
      <c r="N74" s="726"/>
      <c r="O74" s="727"/>
      <c r="P74" s="724">
        <v>0</v>
      </c>
      <c r="Q74" s="724">
        <v>0</v>
      </c>
      <c r="R74" s="724">
        <v>0</v>
      </c>
      <c r="S74" s="724">
        <v>0</v>
      </c>
      <c r="T74" s="724">
        <v>0</v>
      </c>
      <c r="U74" s="724">
        <f t="shared" si="59"/>
        <v>0</v>
      </c>
      <c r="V74" s="724"/>
      <c r="W74" s="724"/>
      <c r="X74" s="724"/>
      <c r="Y74" s="726"/>
      <c r="Z74" s="724"/>
      <c r="AA74" s="726"/>
      <c r="AB74" s="724"/>
      <c r="AC74" s="537"/>
      <c r="AD74" s="537"/>
      <c r="AE74" s="537"/>
      <c r="AF74" s="537"/>
      <c r="AG74" s="537"/>
      <c r="AH74" s="537"/>
      <c r="AI74" s="537"/>
      <c r="AJ74" s="537"/>
      <c r="AK74" s="727"/>
      <c r="AL74" s="390">
        <f t="shared" si="60"/>
        <v>1</v>
      </c>
      <c r="AM74" s="729"/>
      <c r="AN74" s="730"/>
      <c r="AO74" s="731"/>
      <c r="AP74" s="732"/>
      <c r="AQ74" s="850"/>
      <c r="AR74" s="848"/>
      <c r="AS74" s="733"/>
      <c r="AT74" s="852"/>
      <c r="AU74" s="858"/>
      <c r="AV74" s="1015"/>
      <c r="AW74" s="1020"/>
      <c r="AX74" s="1020"/>
      <c r="AY74" s="1020"/>
      <c r="AZ74" s="898"/>
      <c r="BA74" s="1024"/>
      <c r="BE74" s="545">
        <v>68</v>
      </c>
      <c r="BF74" s="564" t="s">
        <v>222</v>
      </c>
      <c r="BG74" s="276">
        <f t="shared" si="37"/>
        <v>1</v>
      </c>
      <c r="BH74" s="282">
        <f t="shared" si="38"/>
        <v>0</v>
      </c>
      <c r="BI74" s="565">
        <f t="shared" si="39"/>
        <v>0</v>
      </c>
      <c r="BJ74" s="566">
        <f t="shared" si="40"/>
        <v>0</v>
      </c>
      <c r="BQ74" s="299">
        <f t="shared" si="42"/>
        <v>1</v>
      </c>
      <c r="BR74" s="300">
        <f t="shared" si="43"/>
        <v>1</v>
      </c>
      <c r="BS74" s="300">
        <f t="shared" si="44"/>
        <v>1</v>
      </c>
      <c r="BT74" s="301">
        <f t="shared" si="45"/>
        <v>1</v>
      </c>
      <c r="BU74" s="303">
        <f t="shared" si="46"/>
        <v>0</v>
      </c>
      <c r="BV74" s="257">
        <f t="shared" si="47"/>
        <v>1</v>
      </c>
      <c r="BW74" s="456">
        <f t="shared" si="48"/>
        <v>1</v>
      </c>
      <c r="BX74" s="459">
        <f t="shared" si="49"/>
        <v>0</v>
      </c>
      <c r="BY74" s="311">
        <f t="shared" ref="BY74:BY98" si="63">HLOOKUP(BY$8,$BQ$8:$BT$98,$BE73,FALSE)</f>
        <v>1</v>
      </c>
      <c r="CD74" s="570">
        <f t="shared" si="50"/>
        <v>0</v>
      </c>
      <c r="CN74" s="545"/>
      <c r="CR74" s="571"/>
      <c r="CS74" s="545"/>
      <c r="CW74" s="545"/>
      <c r="CZ74" s="562">
        <f t="shared" ref="CZ74:CZ98" si="64">IF($CZ$7=$CZ$4,0,IF(AND($CZ$7=$CZ$3,$BX74=2),$BY74,IF(AND((OR($CZ$7=$CZ$1,$CZ$7=$CZ$2)),(OR($BX74=2,$BX74=1))),$BY74,0)))</f>
        <v>0</v>
      </c>
      <c r="DC74" s="545"/>
      <c r="DE74" s="545"/>
      <c r="DH74" s="562">
        <f t="shared" si="29"/>
        <v>0</v>
      </c>
      <c r="DM74" s="547" t="str">
        <f t="shared" si="51"/>
        <v>Wat 2</v>
      </c>
      <c r="DN74" s="547">
        <f t="shared" ref="DN74:DN98" si="65">BY74</f>
        <v>1</v>
      </c>
      <c r="DO74" s="547">
        <f>IF(SUM(BZ74:DL74)&gt;DN74,DN74,SUM(BZ74:DL74))</f>
        <v>0</v>
      </c>
      <c r="DP74" s="547">
        <f t="shared" ref="DP74:DP98" si="66">DN74-DO74</f>
        <v>1</v>
      </c>
      <c r="DT74" s="547">
        <f t="shared" ref="DT74:DT98" si="67">DP74+CD74</f>
        <v>1</v>
      </c>
      <c r="EE74" s="564" t="str">
        <f t="shared" si="61"/>
        <v>Wat 2</v>
      </c>
      <c r="EG74" s="439">
        <f t="shared" si="52"/>
        <v>0</v>
      </c>
      <c r="EH74" s="440">
        <f t="shared" si="53"/>
        <v>0</v>
      </c>
      <c r="EI74" s="440">
        <f t="shared" si="54"/>
        <v>0</v>
      </c>
      <c r="EJ74" s="541">
        <f t="shared" si="55"/>
        <v>0</v>
      </c>
      <c r="EK74" s="541">
        <f t="shared" si="56"/>
        <v>0</v>
      </c>
      <c r="EL74" s="573">
        <f t="shared" si="62"/>
        <v>0</v>
      </c>
    </row>
    <row r="75" spans="1:142" ht="30" x14ac:dyDescent="0.25">
      <c r="A75" s="982">
        <v>7</v>
      </c>
      <c r="B75" s="983">
        <v>4</v>
      </c>
      <c r="C75" s="851" t="s">
        <v>237</v>
      </c>
      <c r="D75" s="1003" t="s">
        <v>236</v>
      </c>
      <c r="E75" s="726">
        <v>1</v>
      </c>
      <c r="F75" s="537">
        <v>1</v>
      </c>
      <c r="G75" s="537">
        <v>1</v>
      </c>
      <c r="H75" s="537">
        <v>0</v>
      </c>
      <c r="I75" s="725">
        <v>1</v>
      </c>
      <c r="J75" s="724">
        <v>2</v>
      </c>
      <c r="K75" s="537">
        <v>1</v>
      </c>
      <c r="L75" s="537">
        <v>1</v>
      </c>
      <c r="M75" s="727">
        <v>2</v>
      </c>
      <c r="N75" s="726"/>
      <c r="O75" s="727"/>
      <c r="P75" s="724">
        <v>0</v>
      </c>
      <c r="Q75" s="724">
        <v>0</v>
      </c>
      <c r="R75" s="724">
        <v>0</v>
      </c>
      <c r="S75" s="724">
        <v>0</v>
      </c>
      <c r="T75" s="724">
        <v>0</v>
      </c>
      <c r="U75" s="724">
        <f t="shared" si="59"/>
        <v>0</v>
      </c>
      <c r="V75" s="724"/>
      <c r="W75" s="724"/>
      <c r="X75" s="724"/>
      <c r="Y75" s="726"/>
      <c r="Z75" s="724"/>
      <c r="AA75" s="726"/>
      <c r="AB75" s="724"/>
      <c r="AC75" s="537"/>
      <c r="AD75" s="537"/>
      <c r="AE75" s="537"/>
      <c r="AF75" s="537"/>
      <c r="AG75" s="537"/>
      <c r="AH75" s="537"/>
      <c r="AI75" s="537"/>
      <c r="AJ75" s="537"/>
      <c r="AK75" s="727"/>
      <c r="AL75" s="390">
        <f t="shared" si="60"/>
        <v>2</v>
      </c>
      <c r="AM75" s="729"/>
      <c r="AN75" s="730"/>
      <c r="AO75" s="731"/>
      <c r="AP75" s="732"/>
      <c r="AQ75" s="850"/>
      <c r="AR75" s="848"/>
      <c r="AS75" s="733"/>
      <c r="AT75" s="852"/>
      <c r="AU75" s="858"/>
      <c r="AV75" s="1015"/>
      <c r="AW75" s="1020"/>
      <c r="AX75" s="1020"/>
      <c r="AY75" s="1020"/>
      <c r="AZ75" s="898"/>
      <c r="BA75" s="1024"/>
      <c r="BE75" s="545">
        <v>69</v>
      </c>
      <c r="BF75" s="564" t="s">
        <v>90</v>
      </c>
      <c r="BG75" s="276">
        <f t="shared" si="37"/>
        <v>1</v>
      </c>
      <c r="BH75" s="282">
        <f t="shared" si="38"/>
        <v>0</v>
      </c>
      <c r="BI75" s="565">
        <f t="shared" si="39"/>
        <v>0</v>
      </c>
      <c r="BJ75" s="566">
        <f t="shared" si="40"/>
        <v>0</v>
      </c>
      <c r="BQ75" s="299">
        <f t="shared" si="42"/>
        <v>1</v>
      </c>
      <c r="BR75" s="300">
        <f t="shared" si="43"/>
        <v>1</v>
      </c>
      <c r="BS75" s="300">
        <f t="shared" si="44"/>
        <v>1</v>
      </c>
      <c r="BT75" s="301">
        <f t="shared" si="45"/>
        <v>1</v>
      </c>
      <c r="BU75" s="303">
        <f t="shared" si="46"/>
        <v>1</v>
      </c>
      <c r="BV75" s="257">
        <f t="shared" si="47"/>
        <v>1</v>
      </c>
      <c r="BW75" s="456">
        <f t="shared" si="48"/>
        <v>1</v>
      </c>
      <c r="BX75" s="459">
        <f t="shared" si="49"/>
        <v>0</v>
      </c>
      <c r="BY75" s="311">
        <f t="shared" si="63"/>
        <v>1</v>
      </c>
      <c r="CD75" s="570">
        <f t="shared" si="50"/>
        <v>0</v>
      </c>
      <c r="CN75" s="545"/>
      <c r="CR75" s="571"/>
      <c r="CS75" s="545"/>
      <c r="CW75" s="545"/>
      <c r="CZ75" s="562">
        <f t="shared" si="64"/>
        <v>0</v>
      </c>
      <c r="DC75" s="545"/>
      <c r="DE75" s="545"/>
      <c r="DH75" s="562">
        <f t="shared" ref="DH75:DH98" si="68">IF($DH$7=$DH$6,IF(BV75=0,BY75,0),0)</f>
        <v>0</v>
      </c>
      <c r="DM75" s="547" t="str">
        <f t="shared" si="51"/>
        <v>Wat 3</v>
      </c>
      <c r="DN75" s="547">
        <f t="shared" si="65"/>
        <v>1</v>
      </c>
      <c r="DO75" s="547">
        <f t="shared" si="26"/>
        <v>0</v>
      </c>
      <c r="DP75" s="547">
        <f t="shared" si="66"/>
        <v>1</v>
      </c>
      <c r="DT75" s="547">
        <f t="shared" si="67"/>
        <v>1</v>
      </c>
      <c r="EE75" s="564" t="str">
        <f t="shared" si="61"/>
        <v>Wat 3</v>
      </c>
      <c r="EG75" s="439">
        <f t="shared" si="52"/>
        <v>0</v>
      </c>
      <c r="EH75" s="440">
        <f t="shared" si="53"/>
        <v>0</v>
      </c>
      <c r="EI75" s="440">
        <f t="shared" si="54"/>
        <v>0</v>
      </c>
      <c r="EJ75" s="541">
        <f t="shared" si="55"/>
        <v>0</v>
      </c>
      <c r="EK75" s="541">
        <f t="shared" si="56"/>
        <v>0</v>
      </c>
      <c r="EL75" s="573">
        <f t="shared" si="62"/>
        <v>0</v>
      </c>
    </row>
    <row r="76" spans="1:142" x14ac:dyDescent="0.25">
      <c r="A76" s="982">
        <v>7</v>
      </c>
      <c r="B76" s="983">
        <v>5</v>
      </c>
      <c r="C76" s="851" t="s">
        <v>258</v>
      </c>
      <c r="D76" s="1003" t="s">
        <v>433</v>
      </c>
      <c r="E76" s="726">
        <v>1</v>
      </c>
      <c r="F76" s="537">
        <v>1</v>
      </c>
      <c r="G76" s="537">
        <v>1</v>
      </c>
      <c r="H76" s="537">
        <v>0</v>
      </c>
      <c r="I76" s="725">
        <v>1</v>
      </c>
      <c r="J76" s="724">
        <v>1</v>
      </c>
      <c r="K76" s="537">
        <v>1</v>
      </c>
      <c r="L76" s="537">
        <v>1</v>
      </c>
      <c r="M76" s="727">
        <v>1</v>
      </c>
      <c r="N76" s="726"/>
      <c r="O76" s="727"/>
      <c r="P76" s="724">
        <v>0</v>
      </c>
      <c r="Q76" s="724">
        <v>0</v>
      </c>
      <c r="R76" s="724">
        <v>0</v>
      </c>
      <c r="S76" s="724">
        <v>0</v>
      </c>
      <c r="T76" s="724">
        <v>0</v>
      </c>
      <c r="U76" s="724">
        <f t="shared" si="59"/>
        <v>0</v>
      </c>
      <c r="V76" s="724"/>
      <c r="W76" s="724"/>
      <c r="X76" s="724"/>
      <c r="Y76" s="726"/>
      <c r="Z76" s="724"/>
      <c r="AA76" s="726"/>
      <c r="AB76" s="724"/>
      <c r="AC76" s="537"/>
      <c r="AD76" s="537"/>
      <c r="AE76" s="537"/>
      <c r="AF76" s="537"/>
      <c r="AG76" s="537"/>
      <c r="AH76" s="537"/>
      <c r="AI76" s="537"/>
      <c r="AJ76" s="537"/>
      <c r="AK76" s="727"/>
      <c r="AL76" s="390">
        <f t="shared" si="60"/>
        <v>1</v>
      </c>
      <c r="AM76" s="729"/>
      <c r="AN76" s="730"/>
      <c r="AO76" s="731"/>
      <c r="AP76" s="732"/>
      <c r="AQ76" s="850"/>
      <c r="AR76" s="848"/>
      <c r="AS76" s="917"/>
      <c r="AT76" s="931"/>
      <c r="AU76" s="937"/>
      <c r="AV76" s="1015"/>
      <c r="AW76" s="1020"/>
      <c r="AX76" s="1020"/>
      <c r="AY76" s="1020"/>
      <c r="AZ76" s="898"/>
      <c r="BA76" s="1024"/>
      <c r="BE76" s="545">
        <v>70</v>
      </c>
      <c r="BF76" s="564" t="s">
        <v>81</v>
      </c>
      <c r="BG76" s="276">
        <f t="shared" si="37"/>
        <v>1</v>
      </c>
      <c r="BH76" s="282">
        <f t="shared" si="38"/>
        <v>0</v>
      </c>
      <c r="BI76" s="565">
        <f t="shared" si="39"/>
        <v>0</v>
      </c>
      <c r="BJ76" s="566">
        <f t="shared" si="40"/>
        <v>0</v>
      </c>
      <c r="BQ76" s="299">
        <f t="shared" si="42"/>
        <v>1</v>
      </c>
      <c r="BR76" s="300">
        <f t="shared" si="43"/>
        <v>1</v>
      </c>
      <c r="BS76" s="300">
        <f t="shared" si="44"/>
        <v>1</v>
      </c>
      <c r="BT76" s="301">
        <f t="shared" si="45"/>
        <v>1</v>
      </c>
      <c r="BU76" s="303">
        <f t="shared" si="46"/>
        <v>0</v>
      </c>
      <c r="BV76" s="257">
        <f t="shared" si="47"/>
        <v>1</v>
      </c>
      <c r="BW76" s="456">
        <f t="shared" si="48"/>
        <v>1</v>
      </c>
      <c r="BX76" s="459">
        <f t="shared" si="49"/>
        <v>0</v>
      </c>
      <c r="BY76" s="311">
        <f t="shared" si="63"/>
        <v>1</v>
      </c>
      <c r="CD76" s="570">
        <f t="shared" si="50"/>
        <v>0</v>
      </c>
      <c r="CN76" s="545"/>
      <c r="CR76" s="571"/>
      <c r="CS76" s="545"/>
      <c r="CW76" s="545"/>
      <c r="CZ76" s="562">
        <f t="shared" si="64"/>
        <v>0</v>
      </c>
      <c r="DC76" s="545"/>
      <c r="DE76" s="545"/>
      <c r="DH76" s="562">
        <f t="shared" si="68"/>
        <v>0</v>
      </c>
      <c r="DM76" s="547" t="str">
        <f t="shared" si="51"/>
        <v>Wat 4</v>
      </c>
      <c r="DN76" s="547">
        <f t="shared" si="65"/>
        <v>1</v>
      </c>
      <c r="DO76" s="547">
        <f t="shared" ref="DO76:DO82" si="69">IF(SUM(BZ76:DL76)&gt;DN76,DN76,SUM(BZ76:DL76))</f>
        <v>0</v>
      </c>
      <c r="DP76" s="547">
        <f t="shared" si="66"/>
        <v>1</v>
      </c>
      <c r="DT76" s="547">
        <f t="shared" si="67"/>
        <v>1</v>
      </c>
      <c r="EE76" s="564" t="str">
        <f t="shared" si="61"/>
        <v>Wat 4</v>
      </c>
      <c r="EG76" s="439">
        <f t="shared" si="52"/>
        <v>0</v>
      </c>
      <c r="EH76" s="440">
        <f t="shared" si="53"/>
        <v>0</v>
      </c>
      <c r="EI76" s="440">
        <f t="shared" si="54"/>
        <v>0</v>
      </c>
      <c r="EJ76" s="541">
        <f t="shared" si="55"/>
        <v>0</v>
      </c>
      <c r="EK76" s="541">
        <f t="shared" si="56"/>
        <v>0</v>
      </c>
      <c r="EL76" s="573">
        <f t="shared" si="62"/>
        <v>0</v>
      </c>
    </row>
    <row r="77" spans="1:142" ht="30" x14ac:dyDescent="0.25">
      <c r="A77" s="982">
        <v>7</v>
      </c>
      <c r="B77" s="983">
        <v>6</v>
      </c>
      <c r="C77" s="851" t="s">
        <v>403</v>
      </c>
      <c r="D77" s="1003" t="s">
        <v>434</v>
      </c>
      <c r="E77" s="726">
        <v>1</v>
      </c>
      <c r="F77" s="537">
        <v>1</v>
      </c>
      <c r="G77" s="537">
        <v>1</v>
      </c>
      <c r="H77" s="537">
        <v>0</v>
      </c>
      <c r="I77" s="725">
        <v>1</v>
      </c>
      <c r="J77" s="724">
        <v>0</v>
      </c>
      <c r="K77" s="537">
        <v>2</v>
      </c>
      <c r="L77" s="537">
        <v>2</v>
      </c>
      <c r="M77" s="727">
        <v>2</v>
      </c>
      <c r="N77" s="726"/>
      <c r="O77" s="727">
        <v>2</v>
      </c>
      <c r="P77" s="724">
        <v>0</v>
      </c>
      <c r="Q77" s="724">
        <v>0</v>
      </c>
      <c r="R77" s="724">
        <v>0</v>
      </c>
      <c r="S77" s="724">
        <v>0</v>
      </c>
      <c r="T77" s="724">
        <v>0</v>
      </c>
      <c r="U77" s="724">
        <f t="shared" si="59"/>
        <v>0</v>
      </c>
      <c r="V77" s="724"/>
      <c r="W77" s="724"/>
      <c r="X77" s="724"/>
      <c r="Y77" s="726"/>
      <c r="Z77" s="724"/>
      <c r="AA77" s="726"/>
      <c r="AB77" s="724"/>
      <c r="AC77" s="537"/>
      <c r="AD77" s="537"/>
      <c r="AE77" s="537"/>
      <c r="AF77" s="537"/>
      <c r="AG77" s="537"/>
      <c r="AH77" s="537"/>
      <c r="AI77" s="537"/>
      <c r="AJ77" s="537"/>
      <c r="AK77" s="727"/>
      <c r="AL77" s="390">
        <f t="shared" si="60"/>
        <v>2</v>
      </c>
      <c r="AM77" s="729"/>
      <c r="AN77" s="730"/>
      <c r="AO77" s="731"/>
      <c r="AP77" s="732"/>
      <c r="AQ77" s="850"/>
      <c r="AR77" s="848"/>
      <c r="AS77" s="733"/>
      <c r="AT77" s="852"/>
      <c r="AU77" s="858"/>
      <c r="AV77" s="1015"/>
      <c r="AW77" s="1020"/>
      <c r="AX77" s="1020"/>
      <c r="AY77" s="1020"/>
      <c r="AZ77" s="898"/>
      <c r="BA77" s="1024"/>
      <c r="BE77" s="545">
        <v>71</v>
      </c>
      <c r="BF77" s="564"/>
      <c r="BG77" s="276"/>
      <c r="BH77" s="282"/>
      <c r="BI77" s="565"/>
      <c r="BJ77" s="566"/>
      <c r="BQ77" s="567"/>
      <c r="BR77" s="568"/>
      <c r="BS77" s="568"/>
      <c r="BT77" s="569"/>
      <c r="BU77" s="303"/>
      <c r="BV77" s="257"/>
      <c r="BW77" s="456"/>
      <c r="BX77" s="459"/>
      <c r="BY77" s="311"/>
      <c r="CD77" s="559"/>
      <c r="CN77" s="545"/>
      <c r="CR77" s="571"/>
      <c r="CS77" s="545"/>
      <c r="CW77" s="545"/>
      <c r="CZ77" s="562">
        <f t="shared" si="64"/>
        <v>0</v>
      </c>
      <c r="DC77" s="545"/>
      <c r="DE77" s="545"/>
      <c r="DH77" s="562">
        <f t="shared" si="68"/>
        <v>0</v>
      </c>
      <c r="DM77" s="547"/>
      <c r="DN77" s="547"/>
      <c r="DO77" s="547">
        <f t="shared" si="69"/>
        <v>0</v>
      </c>
      <c r="DP77" s="547"/>
      <c r="DT77" s="547">
        <f t="shared" si="67"/>
        <v>0</v>
      </c>
      <c r="EE77" s="564">
        <f t="shared" si="61"/>
        <v>0</v>
      </c>
      <c r="EG77" s="439"/>
      <c r="EH77" s="440"/>
      <c r="EI77" s="440"/>
      <c r="EL77" s="573">
        <f t="shared" si="62"/>
        <v>0</v>
      </c>
    </row>
    <row r="78" spans="1:142" ht="30.75" thickBot="1" x14ac:dyDescent="0.3">
      <c r="A78" s="982">
        <v>7</v>
      </c>
      <c r="B78" s="983">
        <v>7</v>
      </c>
      <c r="C78" s="851" t="s">
        <v>359</v>
      </c>
      <c r="D78" s="1003" t="s">
        <v>435</v>
      </c>
      <c r="E78" s="726">
        <v>1</v>
      </c>
      <c r="F78" s="537">
        <v>1</v>
      </c>
      <c r="G78" s="537">
        <v>1</v>
      </c>
      <c r="H78" s="537">
        <v>0</v>
      </c>
      <c r="I78" s="725">
        <v>1</v>
      </c>
      <c r="J78" s="724">
        <v>1</v>
      </c>
      <c r="K78" s="537">
        <v>0</v>
      </c>
      <c r="L78" s="537">
        <v>0</v>
      </c>
      <c r="M78" s="727">
        <v>1</v>
      </c>
      <c r="N78" s="726"/>
      <c r="O78" s="727">
        <v>2</v>
      </c>
      <c r="P78" s="724">
        <v>0</v>
      </c>
      <c r="Q78" s="724">
        <v>0</v>
      </c>
      <c r="R78" s="724">
        <v>0</v>
      </c>
      <c r="S78" s="724">
        <v>0</v>
      </c>
      <c r="T78" s="724">
        <v>0</v>
      </c>
      <c r="U78" s="724">
        <f t="shared" si="59"/>
        <v>0</v>
      </c>
      <c r="V78" s="724"/>
      <c r="W78" s="724"/>
      <c r="X78" s="724"/>
      <c r="Y78" s="726"/>
      <c r="Z78" s="724"/>
      <c r="AA78" s="726"/>
      <c r="AB78" s="724"/>
      <c r="AC78" s="537"/>
      <c r="AD78" s="537"/>
      <c r="AE78" s="537"/>
      <c r="AF78" s="537"/>
      <c r="AG78" s="537"/>
      <c r="AH78" s="537"/>
      <c r="AI78" s="537"/>
      <c r="AJ78" s="537"/>
      <c r="AK78" s="727"/>
      <c r="AL78" s="390">
        <f t="shared" si="60"/>
        <v>1</v>
      </c>
      <c r="AM78" s="729"/>
      <c r="AN78" s="730"/>
      <c r="AO78" s="731"/>
      <c r="AP78" s="732"/>
      <c r="AQ78" s="850"/>
      <c r="AR78" s="848"/>
      <c r="AS78" s="733"/>
      <c r="AT78" s="852"/>
      <c r="AU78" s="858"/>
      <c r="AV78" s="1015"/>
      <c r="AW78" s="1020"/>
      <c r="AX78" s="1020"/>
      <c r="AY78" s="1020"/>
      <c r="AZ78" s="898"/>
      <c r="BA78" s="1024"/>
      <c r="BE78" s="545">
        <v>72</v>
      </c>
      <c r="BF78" s="564" t="s">
        <v>244</v>
      </c>
      <c r="BG78" s="276">
        <f t="shared" ref="BG78:BG90" si="70">VLOOKUP($BF78,$C$9:$AT$98,AL$1,FALSE)</f>
        <v>1</v>
      </c>
      <c r="BH78" s="282">
        <f t="shared" ref="BH78:BH90" si="71">IF(VLOOKUP($BF78,$C$9:$AT$98,AN$1,FALSE)&gt;BG78,BG78,(VLOOKUP($BF78,$C$9:$AT$98,AN$1,FALSE)))</f>
        <v>0</v>
      </c>
      <c r="BI78" s="565">
        <f t="shared" ref="BI78:BI90" si="72">IF(VLOOKUP($BF78,$C$9:$AT$98,AP$1,FALSE)&gt;BG78,BG78,VLOOKUP($BF78,$C$9:$AT$98,AP$1,FALSE))</f>
        <v>0</v>
      </c>
      <c r="BJ78" s="566">
        <f t="shared" ref="BJ78:BJ90" si="73">IF(VLOOKUP($BF78,$C$9:$AT$98,AS$1,FALSE)&gt;BG78,BG78,VLOOKUP($BF78,$C$9:$AT$98,AS$1,FALSE))</f>
        <v>0</v>
      </c>
      <c r="BQ78" s="299">
        <f t="shared" ref="BQ78:BQ90" si="74">VLOOKUP($BF78,$C$9:$AT$98,J$1,FALSE)</f>
        <v>1</v>
      </c>
      <c r="BR78" s="300">
        <f t="shared" ref="BR78:BR90" si="75">VLOOKUP($BF78,$C$9:$AT$98,K$1,FALSE)</f>
        <v>1</v>
      </c>
      <c r="BS78" s="300">
        <f t="shared" ref="BS78:BS90" si="76">VLOOKUP($BF78,$C$9:$AT$98,L$1,FALSE)</f>
        <v>1</v>
      </c>
      <c r="BT78" s="301">
        <f t="shared" ref="BT78:BT90" si="77">VLOOKUP($BF78,$C$9:$AT$98,M$1,FALSE)</f>
        <v>1</v>
      </c>
      <c r="BU78" s="303">
        <f t="shared" ref="BU78:BU90" si="78">VLOOKUP($BF78,$C$9:$AT$98,E$1,FALSE)</f>
        <v>1</v>
      </c>
      <c r="BV78" s="257">
        <f t="shared" ref="BV78:BV90" si="79">VLOOKUP($BF78,$C$9:$AT$98,G$1,FALSE)</f>
        <v>1</v>
      </c>
      <c r="BW78" s="456">
        <f t="shared" ref="BW78:BW90" si="80">VLOOKUP($BF78,$C$9:$AT$98,I$1,FALSE)</f>
        <v>1</v>
      </c>
      <c r="BX78" s="459">
        <f t="shared" ref="BX78:BX90" si="81">VLOOKUP($BF78,$C$9:$AT$98,O$1,FALSE)</f>
        <v>0</v>
      </c>
      <c r="BY78" s="335">
        <f t="shared" si="63"/>
        <v>1</v>
      </c>
      <c r="BZ78" s="560"/>
      <c r="CA78" s="590"/>
      <c r="CB78" s="590"/>
      <c r="CC78" s="590"/>
      <c r="CD78" s="559">
        <f t="shared" ref="CD78:CD90" si="82">IF(BU78=0,IF($CD$7=$CD$3,0,IF($CD$7=$CD$4,BY78/2,IF($CD$7=$CD$5,0,IF($CD$7=$CD$6,BY78,0)))),0)</f>
        <v>0</v>
      </c>
      <c r="CE78" s="590"/>
      <c r="CF78" s="590"/>
      <c r="CG78" s="590"/>
      <c r="CH78" s="590"/>
      <c r="CI78" s="590"/>
      <c r="CJ78" s="590"/>
      <c r="CK78" s="590"/>
      <c r="CL78" s="590"/>
      <c r="CM78" s="590"/>
      <c r="CN78" s="544"/>
      <c r="CO78" s="590"/>
      <c r="CP78" s="590"/>
      <c r="CQ78" s="561"/>
      <c r="CR78" s="599">
        <f>IF(CR7="Ja",0,BY78)</f>
        <v>0</v>
      </c>
      <c r="CS78" s="545"/>
      <c r="CW78" s="546"/>
      <c r="CZ78" s="562">
        <f t="shared" si="64"/>
        <v>0</v>
      </c>
      <c r="DC78" s="545"/>
      <c r="DE78" s="545"/>
      <c r="DH78" s="562">
        <f t="shared" si="68"/>
        <v>0</v>
      </c>
      <c r="DM78" s="547" t="str">
        <f t="shared" ref="DM78:DM90" si="83">BF78</f>
        <v>Wat 6</v>
      </c>
      <c r="DN78" s="547">
        <f t="shared" si="65"/>
        <v>1</v>
      </c>
      <c r="DO78" s="547">
        <f t="shared" si="69"/>
        <v>0</v>
      </c>
      <c r="DP78" s="547">
        <f t="shared" si="66"/>
        <v>1</v>
      </c>
      <c r="DQ78" s="1236" t="s">
        <v>490</v>
      </c>
      <c r="DR78" s="1242"/>
      <c r="DS78" s="1242"/>
      <c r="DT78" s="547">
        <f t="shared" si="67"/>
        <v>1</v>
      </c>
      <c r="EE78" s="564" t="str">
        <f t="shared" si="61"/>
        <v>Wat 6</v>
      </c>
      <c r="EG78" s="439">
        <f t="shared" ref="EG78:EG90" si="84">VLOOKUP(BF78,$C$9:$T$95,14,FALSE)</f>
        <v>0</v>
      </c>
      <c r="EH78" s="440">
        <f t="shared" ref="EH78:EH90" si="85">VLOOKUP(BF78,$C$9:$T$95,15,FALSE)</f>
        <v>0</v>
      </c>
      <c r="EI78" s="440">
        <f t="shared" ref="EI78:EI90" si="86">VLOOKUP(BF78,$C$9:$T$95,16,FALSE)</f>
        <v>0</v>
      </c>
      <c r="EJ78" s="541">
        <f t="shared" ref="EJ78:EJ90" si="87">VLOOKUP(BF78,$C$9:$T$95,17,FALSE)</f>
        <v>0</v>
      </c>
      <c r="EK78" s="541">
        <f t="shared" ref="EK78:EK90" si="88">VLOOKUP(BF78,$C$9:$T$95,18,FALSE)</f>
        <v>0</v>
      </c>
      <c r="EL78" s="573">
        <f t="shared" si="62"/>
        <v>0</v>
      </c>
    </row>
    <row r="79" spans="1:142" ht="60" x14ac:dyDescent="0.25">
      <c r="A79" s="982">
        <v>7</v>
      </c>
      <c r="B79" s="983">
        <v>8</v>
      </c>
      <c r="C79" s="851" t="s">
        <v>286</v>
      </c>
      <c r="D79" s="1003" t="s">
        <v>436</v>
      </c>
      <c r="E79" s="726">
        <v>1</v>
      </c>
      <c r="F79" s="537">
        <v>0</v>
      </c>
      <c r="G79" s="537">
        <v>1</v>
      </c>
      <c r="H79" s="537">
        <v>1</v>
      </c>
      <c r="I79" s="725">
        <v>1</v>
      </c>
      <c r="J79" s="724">
        <v>1</v>
      </c>
      <c r="K79" s="537">
        <v>0</v>
      </c>
      <c r="L79" s="537">
        <v>1</v>
      </c>
      <c r="M79" s="727">
        <v>1</v>
      </c>
      <c r="N79" s="726"/>
      <c r="O79" s="727"/>
      <c r="P79" s="724">
        <v>0</v>
      </c>
      <c r="Q79" s="724">
        <v>0</v>
      </c>
      <c r="R79" s="724">
        <v>0</v>
      </c>
      <c r="S79" s="724">
        <v>0</v>
      </c>
      <c r="T79" s="724">
        <v>0</v>
      </c>
      <c r="U79" s="724">
        <f t="shared" si="59"/>
        <v>0</v>
      </c>
      <c r="V79" s="724"/>
      <c r="W79" s="724"/>
      <c r="X79" s="724"/>
      <c r="Y79" s="726"/>
      <c r="Z79" s="724"/>
      <c r="AA79" s="726"/>
      <c r="AB79" s="724"/>
      <c r="AC79" s="537"/>
      <c r="AD79" s="537"/>
      <c r="AE79" s="537"/>
      <c r="AF79" s="897"/>
      <c r="AG79" s="897"/>
      <c r="AH79" s="897"/>
      <c r="AI79" s="537"/>
      <c r="AJ79" s="537"/>
      <c r="AK79" s="727"/>
      <c r="AL79" s="390">
        <f t="shared" si="60"/>
        <v>1</v>
      </c>
      <c r="AM79" s="729"/>
      <c r="AN79" s="730"/>
      <c r="AO79" s="731"/>
      <c r="AP79" s="732"/>
      <c r="AQ79" s="850"/>
      <c r="AR79" s="848"/>
      <c r="AS79" s="917"/>
      <c r="AT79" s="931"/>
      <c r="AU79" s="937"/>
      <c r="AV79" s="1015"/>
      <c r="AW79" s="1020"/>
      <c r="AX79" s="1020"/>
      <c r="AY79" s="1020"/>
      <c r="AZ79" s="898"/>
      <c r="BA79" s="1024"/>
      <c r="BE79" s="545">
        <v>73</v>
      </c>
      <c r="BF79" s="564" t="s">
        <v>289</v>
      </c>
      <c r="BG79" s="276">
        <f t="shared" si="70"/>
        <v>0</v>
      </c>
      <c r="BH79" s="282">
        <f t="shared" si="71"/>
        <v>0</v>
      </c>
      <c r="BI79" s="565">
        <f t="shared" si="72"/>
        <v>0</v>
      </c>
      <c r="BJ79" s="566">
        <f t="shared" si="73"/>
        <v>0</v>
      </c>
      <c r="BK79" s="1236" t="s">
        <v>490</v>
      </c>
      <c r="BL79" s="1237"/>
      <c r="BM79" s="1237"/>
      <c r="BN79" s="1237"/>
      <c r="BQ79" s="299">
        <f t="shared" si="74"/>
        <v>1</v>
      </c>
      <c r="BR79" s="300">
        <f t="shared" si="75"/>
        <v>0</v>
      </c>
      <c r="BS79" s="300">
        <f t="shared" si="76"/>
        <v>0</v>
      </c>
      <c r="BT79" s="301">
        <f t="shared" si="77"/>
        <v>0</v>
      </c>
      <c r="BU79" s="303">
        <f t="shared" si="78"/>
        <v>0</v>
      </c>
      <c r="BV79" s="257">
        <f t="shared" si="79"/>
        <v>1</v>
      </c>
      <c r="BW79" s="456">
        <f t="shared" si="80"/>
        <v>1</v>
      </c>
      <c r="BX79" s="459">
        <f t="shared" si="81"/>
        <v>0</v>
      </c>
      <c r="BY79" s="335">
        <f t="shared" si="63"/>
        <v>0</v>
      </c>
      <c r="BZ79" s="549"/>
      <c r="CA79" s="550"/>
      <c r="CB79" s="550"/>
      <c r="CC79" s="550"/>
      <c r="CD79" s="570">
        <f t="shared" si="82"/>
        <v>0</v>
      </c>
      <c r="CE79" s="550"/>
      <c r="CF79" s="550"/>
      <c r="CG79" s="550"/>
      <c r="CH79" s="550"/>
      <c r="CI79" s="550"/>
      <c r="CJ79" s="550"/>
      <c r="CK79" s="550"/>
      <c r="CL79" s="550"/>
      <c r="CM79" s="550"/>
      <c r="CN79" s="547"/>
      <c r="CO79" s="550"/>
      <c r="CP79" s="550"/>
      <c r="CQ79" s="550"/>
      <c r="CR79" s="550"/>
      <c r="CS79" s="547"/>
      <c r="CT79" s="550"/>
      <c r="CU79" s="550"/>
      <c r="CV79" s="551"/>
      <c r="CW79" s="579">
        <f>IF(CW7="Ja",0,BY79)</f>
        <v>0</v>
      </c>
      <c r="CZ79" s="562">
        <f t="shared" si="64"/>
        <v>0</v>
      </c>
      <c r="DC79" s="545"/>
      <c r="DE79" s="545"/>
      <c r="DH79" s="562">
        <f t="shared" si="68"/>
        <v>0</v>
      </c>
      <c r="DM79" s="547" t="str">
        <f t="shared" si="83"/>
        <v>Wat 7</v>
      </c>
      <c r="DN79" s="547">
        <f t="shared" si="65"/>
        <v>0</v>
      </c>
      <c r="DO79" s="547">
        <f t="shared" si="69"/>
        <v>0</v>
      </c>
      <c r="DP79" s="547">
        <f t="shared" si="66"/>
        <v>0</v>
      </c>
      <c r="DQ79" s="289" t="s">
        <v>664</v>
      </c>
      <c r="DR79" s="264" t="s">
        <v>665</v>
      </c>
      <c r="DS79" s="343" t="s">
        <v>710</v>
      </c>
      <c r="DT79" s="547">
        <f t="shared" si="67"/>
        <v>0</v>
      </c>
      <c r="EE79" s="564" t="str">
        <f t="shared" si="61"/>
        <v>Wat 7</v>
      </c>
      <c r="EG79" s="439">
        <f t="shared" si="84"/>
        <v>0</v>
      </c>
      <c r="EH79" s="440">
        <f t="shared" si="85"/>
        <v>0</v>
      </c>
      <c r="EI79" s="440">
        <f t="shared" si="86"/>
        <v>0</v>
      </c>
      <c r="EJ79" s="541">
        <f t="shared" si="87"/>
        <v>0</v>
      </c>
      <c r="EK79" s="541">
        <f t="shared" si="88"/>
        <v>0</v>
      </c>
      <c r="EL79" s="573">
        <f t="shared" si="62"/>
        <v>0</v>
      </c>
    </row>
    <row r="80" spans="1:142" ht="15.75" thickBot="1" x14ac:dyDescent="0.3">
      <c r="A80" s="982">
        <v>8</v>
      </c>
      <c r="B80" s="983">
        <v>1</v>
      </c>
      <c r="C80" s="851" t="s">
        <v>242</v>
      </c>
      <c r="D80" s="1003" t="s">
        <v>241</v>
      </c>
      <c r="E80" s="726">
        <v>0</v>
      </c>
      <c r="F80" s="537">
        <v>1</v>
      </c>
      <c r="G80" s="537">
        <v>1</v>
      </c>
      <c r="H80" s="537">
        <v>1</v>
      </c>
      <c r="I80" s="725">
        <v>1</v>
      </c>
      <c r="J80" s="724">
        <v>3</v>
      </c>
      <c r="K80" s="537">
        <v>3</v>
      </c>
      <c r="L80" s="537">
        <v>3</v>
      </c>
      <c r="M80" s="727">
        <v>3</v>
      </c>
      <c r="N80" s="726"/>
      <c r="O80" s="727"/>
      <c r="P80" s="724">
        <v>0</v>
      </c>
      <c r="Q80" s="724">
        <v>0</v>
      </c>
      <c r="R80" s="724">
        <v>0</v>
      </c>
      <c r="S80" s="724">
        <v>0</v>
      </c>
      <c r="T80" s="724">
        <v>0</v>
      </c>
      <c r="U80" s="724">
        <f t="shared" si="59"/>
        <v>0</v>
      </c>
      <c r="V80" s="724"/>
      <c r="W80" s="724"/>
      <c r="X80" s="724"/>
      <c r="Y80" s="726"/>
      <c r="Z80" s="724"/>
      <c r="AA80" s="726"/>
      <c r="AB80" s="724"/>
      <c r="AC80" s="537"/>
      <c r="AD80" s="537"/>
      <c r="AE80" s="537"/>
      <c r="AF80" s="537" t="s">
        <v>444</v>
      </c>
      <c r="AG80" s="537"/>
      <c r="AH80" s="537"/>
      <c r="AI80" s="537"/>
      <c r="AJ80" s="537"/>
      <c r="AK80" s="727"/>
      <c r="AL80" s="390">
        <f t="shared" si="60"/>
        <v>3</v>
      </c>
      <c r="AM80" s="729"/>
      <c r="AN80" s="730"/>
      <c r="AO80" s="731"/>
      <c r="AP80" s="732"/>
      <c r="AQ80" s="850"/>
      <c r="AR80" s="848"/>
      <c r="AS80" s="733"/>
      <c r="AT80" s="852"/>
      <c r="AU80" s="858"/>
      <c r="AV80" s="1015"/>
      <c r="AW80" s="1020"/>
      <c r="AX80" s="1020"/>
      <c r="AY80" s="1020"/>
      <c r="AZ80" s="898"/>
      <c r="BA80" s="1024"/>
      <c r="BE80" s="545">
        <v>74</v>
      </c>
      <c r="BF80" s="582" t="s">
        <v>212</v>
      </c>
      <c r="BG80" s="280">
        <f t="shared" si="70"/>
        <v>2</v>
      </c>
      <c r="BH80" s="282">
        <f t="shared" si="71"/>
        <v>0</v>
      </c>
      <c r="BI80" s="565">
        <f t="shared" si="72"/>
        <v>0</v>
      </c>
      <c r="BJ80" s="566">
        <f t="shared" si="73"/>
        <v>0</v>
      </c>
      <c r="BK80" s="274">
        <f>SUM(BG73:BG80)</f>
        <v>9</v>
      </c>
      <c r="BL80" s="273">
        <f t="shared" ref="BL80:BN80" si="89">SUM(BH73:BH80)</f>
        <v>0</v>
      </c>
      <c r="BM80" s="273">
        <f t="shared" si="89"/>
        <v>0</v>
      </c>
      <c r="BN80" s="273">
        <f t="shared" si="89"/>
        <v>0</v>
      </c>
      <c r="BQ80" s="299">
        <f t="shared" si="74"/>
        <v>2</v>
      </c>
      <c r="BR80" s="300">
        <f t="shared" si="75"/>
        <v>2</v>
      </c>
      <c r="BS80" s="300">
        <f t="shared" si="76"/>
        <v>2</v>
      </c>
      <c r="BT80" s="301">
        <f t="shared" si="77"/>
        <v>2</v>
      </c>
      <c r="BU80" s="303">
        <f t="shared" si="78"/>
        <v>1</v>
      </c>
      <c r="BV80" s="257">
        <f t="shared" si="79"/>
        <v>1</v>
      </c>
      <c r="BW80" s="456">
        <f t="shared" si="80"/>
        <v>1</v>
      </c>
      <c r="BX80" s="459">
        <f t="shared" si="81"/>
        <v>0</v>
      </c>
      <c r="BY80" s="311">
        <f t="shared" si="63"/>
        <v>2</v>
      </c>
      <c r="CD80" s="577">
        <f t="shared" si="82"/>
        <v>0</v>
      </c>
      <c r="CN80" s="545"/>
      <c r="CS80" s="545"/>
      <c r="CZ80" s="562">
        <f t="shared" si="64"/>
        <v>0</v>
      </c>
      <c r="DC80" s="545"/>
      <c r="DE80" s="545"/>
      <c r="DH80" s="562">
        <f t="shared" si="68"/>
        <v>0</v>
      </c>
      <c r="DM80" s="547" t="str">
        <f t="shared" si="83"/>
        <v>Wat 8</v>
      </c>
      <c r="DN80" s="547">
        <f t="shared" si="65"/>
        <v>2</v>
      </c>
      <c r="DO80" s="547">
        <f t="shared" si="69"/>
        <v>0</v>
      </c>
      <c r="DP80" s="547">
        <f t="shared" si="66"/>
        <v>2</v>
      </c>
      <c r="DQ80" s="273">
        <f>SUM(DN73:DN80)</f>
        <v>9</v>
      </c>
      <c r="DR80" s="273">
        <f>SUM(DO73:DO80)</f>
        <v>0</v>
      </c>
      <c r="DS80" s="273">
        <f>SUM(DT73:DT80)</f>
        <v>9</v>
      </c>
      <c r="DT80" s="547">
        <f t="shared" si="67"/>
        <v>2</v>
      </c>
      <c r="EE80" s="582" t="str">
        <f t="shared" si="61"/>
        <v>Wat 8</v>
      </c>
      <c r="EG80" s="439">
        <f t="shared" si="84"/>
        <v>0</v>
      </c>
      <c r="EH80" s="440">
        <f t="shared" si="85"/>
        <v>0</v>
      </c>
      <c r="EI80" s="440">
        <f t="shared" si="86"/>
        <v>0</v>
      </c>
      <c r="EJ80" s="541">
        <f t="shared" si="87"/>
        <v>0</v>
      </c>
      <c r="EK80" s="541">
        <f t="shared" si="88"/>
        <v>0</v>
      </c>
      <c r="EL80" s="573">
        <f t="shared" si="62"/>
        <v>0</v>
      </c>
    </row>
    <row r="81" spans="1:142" x14ac:dyDescent="0.25">
      <c r="A81" s="982">
        <v>8</v>
      </c>
      <c r="B81" s="983">
        <v>2</v>
      </c>
      <c r="C81" s="851" t="s">
        <v>222</v>
      </c>
      <c r="D81" s="1003" t="s">
        <v>221</v>
      </c>
      <c r="E81" s="726">
        <v>0</v>
      </c>
      <c r="F81" s="537">
        <v>1</v>
      </c>
      <c r="G81" s="537">
        <v>1</v>
      </c>
      <c r="H81" s="537">
        <v>1</v>
      </c>
      <c r="I81" s="725">
        <v>1</v>
      </c>
      <c r="J81" s="724">
        <v>1</v>
      </c>
      <c r="K81" s="537">
        <v>1</v>
      </c>
      <c r="L81" s="537">
        <v>1</v>
      </c>
      <c r="M81" s="727">
        <v>1</v>
      </c>
      <c r="N81" s="726"/>
      <c r="O81" s="727"/>
      <c r="P81" s="724">
        <v>0</v>
      </c>
      <c r="Q81" s="724">
        <v>0</v>
      </c>
      <c r="R81" s="724">
        <v>0</v>
      </c>
      <c r="S81" s="724">
        <v>0</v>
      </c>
      <c r="T81" s="724">
        <v>0</v>
      </c>
      <c r="U81" s="724">
        <f t="shared" si="59"/>
        <v>0</v>
      </c>
      <c r="V81" s="724"/>
      <c r="W81" s="724"/>
      <c r="X81" s="724"/>
      <c r="Y81" s="726"/>
      <c r="Z81" s="724"/>
      <c r="AA81" s="726"/>
      <c r="AB81" s="724"/>
      <c r="AC81" s="537"/>
      <c r="AD81" s="537"/>
      <c r="AE81" s="537"/>
      <c r="AF81" s="537"/>
      <c r="AG81" s="537"/>
      <c r="AH81" s="537"/>
      <c r="AI81" s="537"/>
      <c r="AJ81" s="537"/>
      <c r="AK81" s="727"/>
      <c r="AL81" s="390">
        <f t="shared" si="60"/>
        <v>1</v>
      </c>
      <c r="AM81" s="729"/>
      <c r="AN81" s="730"/>
      <c r="AO81" s="731"/>
      <c r="AP81" s="732"/>
      <c r="AQ81" s="850"/>
      <c r="AR81" s="848"/>
      <c r="AS81" s="733"/>
      <c r="AT81" s="852"/>
      <c r="AU81" s="858"/>
      <c r="AV81" s="1015"/>
      <c r="AW81" s="1020"/>
      <c r="AX81" s="1020"/>
      <c r="AY81" s="1020"/>
      <c r="AZ81" s="898"/>
      <c r="BA81" s="1024"/>
      <c r="BE81" s="545">
        <v>75</v>
      </c>
      <c r="BF81" s="583" t="s">
        <v>219</v>
      </c>
      <c r="BG81" s="281">
        <f t="shared" si="70"/>
        <v>3</v>
      </c>
      <c r="BH81" s="282">
        <f t="shared" si="71"/>
        <v>0</v>
      </c>
      <c r="BI81" s="565">
        <f t="shared" si="72"/>
        <v>0</v>
      </c>
      <c r="BJ81" s="566">
        <f t="shared" si="73"/>
        <v>0</v>
      </c>
      <c r="BQ81" s="299">
        <f t="shared" si="74"/>
        <v>3</v>
      </c>
      <c r="BR81" s="300">
        <f t="shared" si="75"/>
        <v>3</v>
      </c>
      <c r="BS81" s="300">
        <f t="shared" si="76"/>
        <v>3</v>
      </c>
      <c r="BT81" s="301">
        <f t="shared" si="77"/>
        <v>3</v>
      </c>
      <c r="BU81" s="303">
        <f t="shared" si="78"/>
        <v>1</v>
      </c>
      <c r="BV81" s="257">
        <f t="shared" si="79"/>
        <v>1</v>
      </c>
      <c r="BW81" s="456">
        <f t="shared" si="80"/>
        <v>1</v>
      </c>
      <c r="BX81" s="459">
        <f t="shared" si="81"/>
        <v>0</v>
      </c>
      <c r="BY81" s="311">
        <f t="shared" si="63"/>
        <v>3</v>
      </c>
      <c r="CD81" s="570">
        <f t="shared" si="82"/>
        <v>0</v>
      </c>
      <c r="CN81" s="545"/>
      <c r="CS81" s="545"/>
      <c r="CZ81" s="562">
        <f t="shared" si="64"/>
        <v>0</v>
      </c>
      <c r="DC81" s="545"/>
      <c r="DE81" s="545"/>
      <c r="DH81" s="562">
        <f t="shared" si="68"/>
        <v>0</v>
      </c>
      <c r="DM81" s="547" t="str">
        <f t="shared" si="83"/>
        <v>Wst 1</v>
      </c>
      <c r="DN81" s="547">
        <f t="shared" si="65"/>
        <v>3</v>
      </c>
      <c r="DO81" s="547">
        <f t="shared" si="69"/>
        <v>0</v>
      </c>
      <c r="DP81" s="547">
        <f t="shared" si="66"/>
        <v>3</v>
      </c>
      <c r="DT81" s="547">
        <f t="shared" si="67"/>
        <v>3</v>
      </c>
      <c r="EE81" s="583" t="str">
        <f t="shared" si="61"/>
        <v>Wst 1</v>
      </c>
      <c r="EG81" s="439">
        <f t="shared" si="84"/>
        <v>0</v>
      </c>
      <c r="EH81" s="440">
        <f t="shared" si="85"/>
        <v>0</v>
      </c>
      <c r="EI81" s="440">
        <f t="shared" si="86"/>
        <v>0</v>
      </c>
      <c r="EJ81" s="541">
        <f t="shared" si="87"/>
        <v>0</v>
      </c>
      <c r="EK81" s="541">
        <f t="shared" si="88"/>
        <v>0</v>
      </c>
      <c r="EL81" s="573">
        <f t="shared" si="62"/>
        <v>0</v>
      </c>
    </row>
    <row r="82" spans="1:142" ht="30" x14ac:dyDescent="0.25">
      <c r="A82" s="982">
        <v>8</v>
      </c>
      <c r="B82" s="983">
        <v>2</v>
      </c>
      <c r="C82" s="851" t="s">
        <v>599</v>
      </c>
      <c r="D82" s="1003" t="s">
        <v>604</v>
      </c>
      <c r="E82" s="726">
        <v>1</v>
      </c>
      <c r="F82" s="537">
        <v>1</v>
      </c>
      <c r="G82" s="537">
        <v>1</v>
      </c>
      <c r="H82" s="537">
        <v>0</v>
      </c>
      <c r="I82" s="725">
        <v>1</v>
      </c>
      <c r="J82" s="724">
        <v>1</v>
      </c>
      <c r="K82" s="537">
        <v>1</v>
      </c>
      <c r="L82" s="537">
        <v>1</v>
      </c>
      <c r="M82" s="727">
        <v>1</v>
      </c>
      <c r="N82" s="726"/>
      <c r="O82" s="727"/>
      <c r="P82" s="724">
        <v>0</v>
      </c>
      <c r="Q82" s="724">
        <v>0</v>
      </c>
      <c r="R82" s="724">
        <v>0</v>
      </c>
      <c r="S82" s="724">
        <v>0</v>
      </c>
      <c r="T82" s="724">
        <v>0</v>
      </c>
      <c r="U82" s="724">
        <f t="shared" si="59"/>
        <v>0</v>
      </c>
      <c r="V82" s="724"/>
      <c r="W82" s="724"/>
      <c r="X82" s="724"/>
      <c r="Y82" s="726"/>
      <c r="Z82" s="724"/>
      <c r="AA82" s="726"/>
      <c r="AB82" s="724"/>
      <c r="AC82" s="537"/>
      <c r="AD82" s="537"/>
      <c r="AE82" s="537"/>
      <c r="AF82" s="537"/>
      <c r="AG82" s="537"/>
      <c r="AH82" s="537"/>
      <c r="AI82" s="537"/>
      <c r="AJ82" s="537"/>
      <c r="AK82" s="727"/>
      <c r="AL82" s="390">
        <f t="shared" si="60"/>
        <v>1</v>
      </c>
      <c r="AM82" s="729"/>
      <c r="AN82" s="730"/>
      <c r="AO82" s="731"/>
      <c r="AP82" s="732"/>
      <c r="AQ82" s="850"/>
      <c r="AR82" s="848"/>
      <c r="AS82" s="733"/>
      <c r="AT82" s="852"/>
      <c r="AU82" s="858"/>
      <c r="AV82" s="1015"/>
      <c r="AW82" s="1020"/>
      <c r="AX82" s="1020"/>
      <c r="AY82" s="1020"/>
      <c r="AZ82" s="898"/>
      <c r="BA82" s="1024"/>
      <c r="BE82" s="545">
        <v>76</v>
      </c>
      <c r="BF82" s="564" t="s">
        <v>217</v>
      </c>
      <c r="BG82" s="276">
        <f t="shared" si="70"/>
        <v>1</v>
      </c>
      <c r="BH82" s="282">
        <f t="shared" si="71"/>
        <v>0</v>
      </c>
      <c r="BI82" s="565">
        <f t="shared" si="72"/>
        <v>0</v>
      </c>
      <c r="BJ82" s="566">
        <f t="shared" si="73"/>
        <v>0</v>
      </c>
      <c r="BQ82" s="1040">
        <f t="shared" si="74"/>
        <v>1</v>
      </c>
      <c r="BR82" s="308">
        <f t="shared" si="75"/>
        <v>1</v>
      </c>
      <c r="BS82" s="308">
        <f t="shared" si="76"/>
        <v>1</v>
      </c>
      <c r="BT82" s="1041">
        <f t="shared" si="77"/>
        <v>1</v>
      </c>
      <c r="BU82" s="337">
        <f t="shared" si="78"/>
        <v>1</v>
      </c>
      <c r="BV82" s="308">
        <f t="shared" si="79"/>
        <v>0</v>
      </c>
      <c r="BW82" s="457">
        <f t="shared" si="80"/>
        <v>1</v>
      </c>
      <c r="BX82" s="1042">
        <f t="shared" si="81"/>
        <v>0</v>
      </c>
      <c r="BY82" s="338">
        <f t="shared" si="63"/>
        <v>1</v>
      </c>
      <c r="CD82" s="559">
        <f t="shared" si="82"/>
        <v>0</v>
      </c>
      <c r="CN82" s="545"/>
      <c r="CS82" s="545"/>
      <c r="CZ82" s="828">
        <f t="shared" si="64"/>
        <v>0</v>
      </c>
      <c r="DC82" s="545"/>
      <c r="DE82" s="545"/>
      <c r="DH82" s="562">
        <f t="shared" si="68"/>
        <v>0</v>
      </c>
      <c r="DM82" s="547" t="str">
        <f t="shared" si="83"/>
        <v>Wst 2</v>
      </c>
      <c r="DN82" s="547">
        <f t="shared" si="65"/>
        <v>1</v>
      </c>
      <c r="DO82" s="547">
        <f t="shared" si="69"/>
        <v>0</v>
      </c>
      <c r="DP82" s="547">
        <f t="shared" si="66"/>
        <v>1</v>
      </c>
      <c r="DT82" s="547">
        <f t="shared" si="67"/>
        <v>1</v>
      </c>
      <c r="EE82" s="564" t="str">
        <f t="shared" si="61"/>
        <v>Wst 2</v>
      </c>
      <c r="EG82" s="439">
        <f t="shared" si="84"/>
        <v>0</v>
      </c>
      <c r="EH82" s="440">
        <f t="shared" si="85"/>
        <v>0</v>
      </c>
      <c r="EI82" s="440">
        <f t="shared" si="86"/>
        <v>0</v>
      </c>
      <c r="EJ82" s="541">
        <f t="shared" si="87"/>
        <v>0</v>
      </c>
      <c r="EK82" s="541">
        <f t="shared" si="88"/>
        <v>0</v>
      </c>
      <c r="EL82" s="573">
        <f t="shared" si="62"/>
        <v>0</v>
      </c>
    </row>
    <row r="83" spans="1:142" x14ac:dyDescent="0.25">
      <c r="A83" s="982">
        <v>8</v>
      </c>
      <c r="B83" s="983">
        <v>3</v>
      </c>
      <c r="C83" s="851" t="s">
        <v>90</v>
      </c>
      <c r="D83" s="1003" t="s">
        <v>89</v>
      </c>
      <c r="E83" s="726">
        <v>1</v>
      </c>
      <c r="F83" s="537">
        <v>1</v>
      </c>
      <c r="G83" s="537">
        <v>1</v>
      </c>
      <c r="H83" s="537">
        <v>0</v>
      </c>
      <c r="I83" s="725">
        <v>1</v>
      </c>
      <c r="J83" s="724">
        <v>1</v>
      </c>
      <c r="K83" s="537">
        <v>1</v>
      </c>
      <c r="L83" s="537">
        <v>1</v>
      </c>
      <c r="M83" s="727">
        <v>1</v>
      </c>
      <c r="N83" s="726"/>
      <c r="O83" s="727"/>
      <c r="P83" s="724">
        <v>0</v>
      </c>
      <c r="Q83" s="724">
        <v>0</v>
      </c>
      <c r="R83" s="724">
        <v>0</v>
      </c>
      <c r="S83" s="724">
        <v>0</v>
      </c>
      <c r="T83" s="724">
        <v>0</v>
      </c>
      <c r="U83" s="724">
        <f t="shared" si="59"/>
        <v>0</v>
      </c>
      <c r="V83" s="724"/>
      <c r="W83" s="724"/>
      <c r="X83" s="724"/>
      <c r="Y83" s="726"/>
      <c r="Z83" s="724"/>
      <c r="AA83" s="726"/>
      <c r="AB83" s="724"/>
      <c r="AC83" s="537"/>
      <c r="AD83" s="537"/>
      <c r="AE83" s="537"/>
      <c r="AF83" s="537"/>
      <c r="AG83" s="537"/>
      <c r="AH83" s="537"/>
      <c r="AI83" s="537"/>
      <c r="AJ83" s="537"/>
      <c r="AK83" s="727"/>
      <c r="AL83" s="390">
        <f t="shared" si="60"/>
        <v>1</v>
      </c>
      <c r="AM83" s="729"/>
      <c r="AN83" s="730"/>
      <c r="AO83" s="731"/>
      <c r="AP83" s="732"/>
      <c r="AQ83" s="850"/>
      <c r="AR83" s="848"/>
      <c r="AS83" s="733"/>
      <c r="AT83" s="852"/>
      <c r="AU83" s="858"/>
      <c r="AV83" s="1015"/>
      <c r="AW83" s="1020"/>
      <c r="AX83" s="1020"/>
      <c r="AY83" s="1020"/>
      <c r="AZ83" s="898"/>
      <c r="BA83" s="1024"/>
      <c r="BE83" s="545">
        <v>77</v>
      </c>
      <c r="BF83" s="564" t="s">
        <v>109</v>
      </c>
      <c r="BG83" s="276">
        <f t="shared" si="70"/>
        <v>1</v>
      </c>
      <c r="BH83" s="282">
        <f t="shared" si="71"/>
        <v>0</v>
      </c>
      <c r="BI83" s="565">
        <f t="shared" si="72"/>
        <v>0</v>
      </c>
      <c r="BJ83" s="566">
        <f t="shared" si="73"/>
        <v>0</v>
      </c>
      <c r="BQ83" s="300">
        <f t="shared" si="74"/>
        <v>1</v>
      </c>
      <c r="BR83" s="300">
        <f t="shared" si="75"/>
        <v>1</v>
      </c>
      <c r="BS83" s="300">
        <f t="shared" si="76"/>
        <v>1</v>
      </c>
      <c r="BT83" s="301">
        <f t="shared" si="77"/>
        <v>2</v>
      </c>
      <c r="BU83" s="303">
        <f t="shared" si="78"/>
        <v>1</v>
      </c>
      <c r="BV83" s="257">
        <f t="shared" si="79"/>
        <v>1</v>
      </c>
      <c r="BW83" s="456">
        <f t="shared" si="80"/>
        <v>1</v>
      </c>
      <c r="BX83" s="1047">
        <f t="shared" si="81"/>
        <v>0</v>
      </c>
      <c r="BY83" s="311">
        <f t="shared" si="63"/>
        <v>2</v>
      </c>
      <c r="BZ83" s="550"/>
      <c r="CA83" s="550"/>
      <c r="CB83" s="550"/>
      <c r="CC83" s="550"/>
      <c r="CD83" s="570">
        <f t="shared" si="82"/>
        <v>0</v>
      </c>
      <c r="CE83" s="550"/>
      <c r="CF83" s="550"/>
      <c r="CG83" s="550"/>
      <c r="CH83" s="550"/>
      <c r="CI83" s="550"/>
      <c r="CJ83" s="550"/>
      <c r="CK83" s="550"/>
      <c r="CL83" s="550"/>
      <c r="CM83" s="550"/>
      <c r="CN83" s="547"/>
      <c r="CO83" s="550"/>
      <c r="CP83" s="550"/>
      <c r="CQ83" s="550"/>
      <c r="CR83" s="550"/>
      <c r="CS83" s="547"/>
      <c r="CT83" s="550"/>
      <c r="CU83" s="550"/>
      <c r="CV83" s="550"/>
      <c r="CW83" s="550"/>
      <c r="CX83" s="550"/>
      <c r="CY83" s="550"/>
      <c r="CZ83" s="562">
        <f t="shared" si="64"/>
        <v>0</v>
      </c>
      <c r="DA83" s="550"/>
      <c r="DB83" s="550"/>
      <c r="DC83" s="547"/>
      <c r="DD83" s="550"/>
      <c r="DE83" s="562">
        <f>IF(DE6=DE1,(IF(DE7=DD4,1,0)),0)</f>
        <v>1</v>
      </c>
      <c r="DH83" s="562">
        <f t="shared" si="68"/>
        <v>0</v>
      </c>
      <c r="DM83" s="547" t="str">
        <f t="shared" si="83"/>
        <v>Wst 3</v>
      </c>
      <c r="DN83" s="547">
        <f t="shared" si="65"/>
        <v>2</v>
      </c>
      <c r="DO83" s="547">
        <f>IF(SUM(BZ83:DL83)&gt;DN83,DN83,SUM(BZ83:DL83))</f>
        <v>1</v>
      </c>
      <c r="DP83" s="547">
        <f t="shared" si="66"/>
        <v>1</v>
      </c>
      <c r="DT83" s="547">
        <f t="shared" si="67"/>
        <v>1</v>
      </c>
      <c r="EE83" s="564" t="str">
        <f t="shared" si="61"/>
        <v>Wst 3</v>
      </c>
      <c r="EG83" s="439">
        <f t="shared" si="84"/>
        <v>0</v>
      </c>
      <c r="EH83" s="440">
        <f t="shared" si="85"/>
        <v>0</v>
      </c>
      <c r="EI83" s="440">
        <f t="shared" si="86"/>
        <v>0</v>
      </c>
      <c r="EJ83" s="541">
        <f t="shared" si="87"/>
        <v>1</v>
      </c>
      <c r="EK83" s="541">
        <f t="shared" si="88"/>
        <v>1</v>
      </c>
      <c r="EL83" s="573">
        <f t="shared" si="62"/>
        <v>1</v>
      </c>
    </row>
    <row r="84" spans="1:142" ht="30.75" thickBot="1" x14ac:dyDescent="0.3">
      <c r="A84" s="982">
        <v>8</v>
      </c>
      <c r="B84" s="983">
        <v>4</v>
      </c>
      <c r="C84" s="851" t="s">
        <v>81</v>
      </c>
      <c r="D84" s="1003" t="s">
        <v>80</v>
      </c>
      <c r="E84" s="726">
        <v>0</v>
      </c>
      <c r="F84" s="537">
        <v>1</v>
      </c>
      <c r="G84" s="537">
        <v>1</v>
      </c>
      <c r="H84" s="537">
        <v>1</v>
      </c>
      <c r="I84" s="725">
        <v>1</v>
      </c>
      <c r="J84" s="724">
        <v>1</v>
      </c>
      <c r="K84" s="537">
        <v>1</v>
      </c>
      <c r="L84" s="537">
        <v>1</v>
      </c>
      <c r="M84" s="727">
        <v>1</v>
      </c>
      <c r="N84" s="726"/>
      <c r="O84" s="727"/>
      <c r="P84" s="724">
        <v>0</v>
      </c>
      <c r="Q84" s="724">
        <v>0</v>
      </c>
      <c r="R84" s="724">
        <v>0</v>
      </c>
      <c r="S84" s="724">
        <v>0</v>
      </c>
      <c r="T84" s="724">
        <v>0</v>
      </c>
      <c r="U84" s="724">
        <f t="shared" si="59"/>
        <v>0</v>
      </c>
      <c r="V84" s="724"/>
      <c r="W84" s="724"/>
      <c r="X84" s="724"/>
      <c r="Y84" s="726"/>
      <c r="Z84" s="724"/>
      <c r="AA84" s="726"/>
      <c r="AB84" s="724"/>
      <c r="AC84" s="537"/>
      <c r="AD84" s="537"/>
      <c r="AE84" s="537"/>
      <c r="AF84" s="537"/>
      <c r="AG84" s="537"/>
      <c r="AH84" s="537"/>
      <c r="AI84" s="537"/>
      <c r="AJ84" s="537"/>
      <c r="AK84" s="727"/>
      <c r="AL84" s="390">
        <f t="shared" si="60"/>
        <v>1</v>
      </c>
      <c r="AM84" s="729"/>
      <c r="AN84" s="730"/>
      <c r="AO84" s="731"/>
      <c r="AP84" s="732"/>
      <c r="AQ84" s="850"/>
      <c r="AR84" s="848"/>
      <c r="AS84" s="733"/>
      <c r="AT84" s="852"/>
      <c r="AU84" s="858"/>
      <c r="AV84" s="1015"/>
      <c r="AW84" s="1020"/>
      <c r="AX84" s="1020"/>
      <c r="AY84" s="1020"/>
      <c r="AZ84" s="898"/>
      <c r="BA84" s="1024"/>
      <c r="BE84" s="545">
        <v>78</v>
      </c>
      <c r="BF84" s="564" t="s">
        <v>319</v>
      </c>
      <c r="BG84" s="276">
        <f t="shared" si="70"/>
        <v>1</v>
      </c>
      <c r="BH84" s="282">
        <f t="shared" si="71"/>
        <v>0</v>
      </c>
      <c r="BI84" s="565">
        <f t="shared" si="72"/>
        <v>0</v>
      </c>
      <c r="BJ84" s="566">
        <f t="shared" si="73"/>
        <v>0</v>
      </c>
      <c r="BQ84" s="1043">
        <f t="shared" si="74"/>
        <v>1</v>
      </c>
      <c r="BR84" s="1044">
        <f t="shared" si="75"/>
        <v>0</v>
      </c>
      <c r="BS84" s="1044">
        <f t="shared" si="76"/>
        <v>1</v>
      </c>
      <c r="BT84" s="1045">
        <f t="shared" si="77"/>
        <v>1</v>
      </c>
      <c r="BU84" s="341">
        <f t="shared" si="78"/>
        <v>1</v>
      </c>
      <c r="BV84" s="309">
        <f t="shared" si="79"/>
        <v>1</v>
      </c>
      <c r="BW84" s="458">
        <f t="shared" si="80"/>
        <v>1</v>
      </c>
      <c r="BX84" s="459">
        <f t="shared" si="81"/>
        <v>2</v>
      </c>
      <c r="BY84" s="1046">
        <f t="shared" si="63"/>
        <v>1</v>
      </c>
      <c r="BZ84" s="581"/>
      <c r="CA84" s="591"/>
      <c r="CB84" s="591"/>
      <c r="CC84" s="591"/>
      <c r="CD84" s="577">
        <f t="shared" si="82"/>
        <v>0</v>
      </c>
      <c r="CE84" s="591"/>
      <c r="CF84" s="591"/>
      <c r="CG84" s="591"/>
      <c r="CH84" s="591"/>
      <c r="CI84" s="591"/>
      <c r="CJ84" s="591"/>
      <c r="CK84" s="591"/>
      <c r="CL84" s="591"/>
      <c r="CM84" s="596"/>
      <c r="CN84" s="594">
        <f>IF(CN7="Ja",0,IF(CN6&gt;500,0,BY84))</f>
        <v>0</v>
      </c>
      <c r="CS84" s="546"/>
      <c r="CZ84" s="594">
        <f t="shared" si="64"/>
        <v>0</v>
      </c>
      <c r="DC84" s="545"/>
      <c r="DH84" s="562">
        <f t="shared" si="68"/>
        <v>0</v>
      </c>
      <c r="DM84" s="547" t="str">
        <f t="shared" si="83"/>
        <v>Wst 4</v>
      </c>
      <c r="DN84" s="547">
        <f t="shared" si="65"/>
        <v>1</v>
      </c>
      <c r="DO84" s="547">
        <f t="shared" ref="DO84:DO92" si="90">IF(SUM(BZ84:DL84)&gt;DN84,DN84,SUM(BZ84:DL84))</f>
        <v>0</v>
      </c>
      <c r="DP84" s="547">
        <f t="shared" si="66"/>
        <v>1</v>
      </c>
      <c r="DQ84" s="1236" t="s">
        <v>492</v>
      </c>
      <c r="DR84" s="1242"/>
      <c r="DS84" s="1242"/>
      <c r="DT84" s="547">
        <f t="shared" si="67"/>
        <v>1</v>
      </c>
      <c r="EE84" s="564" t="str">
        <f t="shared" si="61"/>
        <v>Wst 4</v>
      </c>
      <c r="EG84" s="439">
        <f t="shared" si="84"/>
        <v>0</v>
      </c>
      <c r="EH84" s="440">
        <f t="shared" si="85"/>
        <v>0</v>
      </c>
      <c r="EI84" s="440">
        <f t="shared" si="86"/>
        <v>0</v>
      </c>
      <c r="EJ84" s="541">
        <f t="shared" si="87"/>
        <v>0</v>
      </c>
      <c r="EK84" s="541">
        <f t="shared" si="88"/>
        <v>0</v>
      </c>
      <c r="EL84" s="573">
        <f t="shared" si="62"/>
        <v>0</v>
      </c>
    </row>
    <row r="85" spans="1:142" ht="60" x14ac:dyDescent="0.25">
      <c r="A85" s="982">
        <v>8</v>
      </c>
      <c r="B85" s="983">
        <v>6</v>
      </c>
      <c r="C85" s="851" t="s">
        <v>244</v>
      </c>
      <c r="D85" s="1003" t="s">
        <v>243</v>
      </c>
      <c r="E85" s="726">
        <v>1</v>
      </c>
      <c r="F85" s="537">
        <v>1</v>
      </c>
      <c r="G85" s="537">
        <v>1</v>
      </c>
      <c r="H85" s="537">
        <v>0</v>
      </c>
      <c r="I85" s="725">
        <v>1</v>
      </c>
      <c r="J85" s="724">
        <v>1</v>
      </c>
      <c r="K85" s="537">
        <v>1</v>
      </c>
      <c r="L85" s="537">
        <v>1</v>
      </c>
      <c r="M85" s="727">
        <v>1</v>
      </c>
      <c r="N85" s="726"/>
      <c r="O85" s="727"/>
      <c r="P85" s="724">
        <v>0</v>
      </c>
      <c r="Q85" s="724">
        <v>0</v>
      </c>
      <c r="R85" s="724">
        <v>0</v>
      </c>
      <c r="S85" s="724">
        <v>0</v>
      </c>
      <c r="T85" s="724">
        <v>0</v>
      </c>
      <c r="U85" s="724">
        <f t="shared" si="59"/>
        <v>0</v>
      </c>
      <c r="V85" s="724"/>
      <c r="W85" s="724"/>
      <c r="X85" s="724"/>
      <c r="Y85" s="726"/>
      <c r="Z85" s="724"/>
      <c r="AA85" s="726"/>
      <c r="AB85" s="724"/>
      <c r="AC85" s="537"/>
      <c r="AD85" s="537"/>
      <c r="AE85" s="537"/>
      <c r="AF85" s="537"/>
      <c r="AG85" s="537"/>
      <c r="AH85" s="537"/>
      <c r="AI85" s="537"/>
      <c r="AJ85" s="537"/>
      <c r="AK85" s="727"/>
      <c r="AL85" s="390">
        <f t="shared" si="60"/>
        <v>1</v>
      </c>
      <c r="AM85" s="729"/>
      <c r="AN85" s="730"/>
      <c r="AO85" s="731"/>
      <c r="AP85" s="732"/>
      <c r="AQ85" s="850"/>
      <c r="AR85" s="848"/>
      <c r="AS85" s="733"/>
      <c r="AT85" s="852"/>
      <c r="AU85" s="858"/>
      <c r="AV85" s="1015"/>
      <c r="AW85" s="1020"/>
      <c r="AX85" s="1020"/>
      <c r="AY85" s="1020"/>
      <c r="AZ85" s="898"/>
      <c r="BA85" s="1024"/>
      <c r="BE85" s="545">
        <v>79</v>
      </c>
      <c r="BF85" s="564" t="s">
        <v>107</v>
      </c>
      <c r="BG85" s="276">
        <f t="shared" si="70"/>
        <v>0</v>
      </c>
      <c r="BH85" s="282">
        <f t="shared" si="71"/>
        <v>0</v>
      </c>
      <c r="BI85" s="565">
        <f t="shared" si="72"/>
        <v>0</v>
      </c>
      <c r="BJ85" s="566">
        <f t="shared" si="73"/>
        <v>0</v>
      </c>
      <c r="BK85" s="1236" t="s">
        <v>492</v>
      </c>
      <c r="BL85" s="1237"/>
      <c r="BM85" s="1237"/>
      <c r="BN85" s="1237"/>
      <c r="BQ85" s="567">
        <f t="shared" si="74"/>
        <v>1</v>
      </c>
      <c r="BR85" s="568">
        <f t="shared" si="75"/>
        <v>1</v>
      </c>
      <c r="BS85" s="568">
        <f t="shared" si="76"/>
        <v>1</v>
      </c>
      <c r="BT85" s="569">
        <f t="shared" si="77"/>
        <v>1</v>
      </c>
      <c r="BU85" s="303">
        <f t="shared" si="78"/>
        <v>1</v>
      </c>
      <c r="BV85" s="257">
        <f t="shared" si="79"/>
        <v>1</v>
      </c>
      <c r="BW85" s="456">
        <f t="shared" si="80"/>
        <v>1</v>
      </c>
      <c r="BX85" s="459">
        <f t="shared" si="81"/>
        <v>2</v>
      </c>
      <c r="BY85" s="335">
        <f t="shared" si="63"/>
        <v>1</v>
      </c>
      <c r="BZ85" s="549"/>
      <c r="CA85" s="550"/>
      <c r="CB85" s="550"/>
      <c r="CC85" s="550"/>
      <c r="CD85" s="570">
        <f t="shared" si="82"/>
        <v>0</v>
      </c>
      <c r="CE85" s="550"/>
      <c r="CF85" s="550"/>
      <c r="CG85" s="550"/>
      <c r="CH85" s="550"/>
      <c r="CI85" s="550"/>
      <c r="CJ85" s="550"/>
      <c r="CK85" s="550"/>
      <c r="CL85" s="550"/>
      <c r="CM85" s="550"/>
      <c r="CN85" s="550"/>
      <c r="CO85" s="550"/>
      <c r="CP85" s="550"/>
      <c r="CQ85" s="550"/>
      <c r="CR85" s="551"/>
      <c r="CS85" s="562">
        <f>IF(CS7="Ja",0,BY85)</f>
        <v>1</v>
      </c>
      <c r="CZ85" s="562">
        <f t="shared" si="64"/>
        <v>0</v>
      </c>
      <c r="DC85" s="545"/>
      <c r="DH85" s="562">
        <f t="shared" si="68"/>
        <v>0</v>
      </c>
      <c r="DM85" s="547" t="str">
        <f t="shared" si="83"/>
        <v>Wst 5</v>
      </c>
      <c r="DN85" s="547">
        <f t="shared" si="65"/>
        <v>1</v>
      </c>
      <c r="DO85" s="547">
        <f t="shared" si="90"/>
        <v>1</v>
      </c>
      <c r="DP85" s="547">
        <f t="shared" si="66"/>
        <v>0</v>
      </c>
      <c r="DQ85" s="289" t="s">
        <v>664</v>
      </c>
      <c r="DR85" s="264" t="s">
        <v>665</v>
      </c>
      <c r="DS85" s="343" t="s">
        <v>710</v>
      </c>
      <c r="DT85" s="547">
        <f t="shared" si="67"/>
        <v>0</v>
      </c>
      <c r="EE85" s="564" t="str">
        <f t="shared" si="61"/>
        <v>Wst 5</v>
      </c>
      <c r="EG85" s="439">
        <f t="shared" si="84"/>
        <v>0</v>
      </c>
      <c r="EH85" s="440">
        <f t="shared" si="85"/>
        <v>0</v>
      </c>
      <c r="EI85" s="440">
        <f t="shared" si="86"/>
        <v>0</v>
      </c>
      <c r="EJ85" s="541">
        <f t="shared" si="87"/>
        <v>0</v>
      </c>
      <c r="EK85" s="541">
        <f t="shared" si="88"/>
        <v>0</v>
      </c>
      <c r="EL85" s="573">
        <f t="shared" si="62"/>
        <v>0</v>
      </c>
    </row>
    <row r="86" spans="1:142" ht="15.75" thickBot="1" x14ac:dyDescent="0.3">
      <c r="A86" s="982">
        <v>8</v>
      </c>
      <c r="B86" s="983">
        <v>7</v>
      </c>
      <c r="C86" s="851" t="s">
        <v>289</v>
      </c>
      <c r="D86" s="1003" t="s">
        <v>437</v>
      </c>
      <c r="E86" s="726">
        <v>0</v>
      </c>
      <c r="F86" s="537">
        <v>1</v>
      </c>
      <c r="G86" s="537">
        <v>1</v>
      </c>
      <c r="H86" s="537">
        <v>0</v>
      </c>
      <c r="I86" s="725">
        <v>1</v>
      </c>
      <c r="J86" s="724">
        <v>1</v>
      </c>
      <c r="K86" s="537">
        <v>0</v>
      </c>
      <c r="L86" s="537">
        <v>0</v>
      </c>
      <c r="M86" s="727">
        <v>0</v>
      </c>
      <c r="N86" s="726"/>
      <c r="O86" s="727"/>
      <c r="P86" s="724">
        <v>0</v>
      </c>
      <c r="Q86" s="724">
        <v>0</v>
      </c>
      <c r="R86" s="724">
        <v>0</v>
      </c>
      <c r="S86" s="724">
        <v>0</v>
      </c>
      <c r="T86" s="724">
        <v>0</v>
      </c>
      <c r="U86" s="724">
        <f t="shared" si="59"/>
        <v>0</v>
      </c>
      <c r="V86" s="724"/>
      <c r="W86" s="724"/>
      <c r="X86" s="724"/>
      <c r="Y86" s="726"/>
      <c r="Z86" s="724"/>
      <c r="AA86" s="726"/>
      <c r="AB86" s="724"/>
      <c r="AC86" s="537"/>
      <c r="AD86" s="537"/>
      <c r="AE86" s="537"/>
      <c r="AF86" s="537"/>
      <c r="AG86" s="537"/>
      <c r="AH86" s="537"/>
      <c r="AI86" s="537"/>
      <c r="AJ86" s="537"/>
      <c r="AK86" s="727"/>
      <c r="AL86" s="390">
        <f t="shared" si="60"/>
        <v>0</v>
      </c>
      <c r="AM86" s="729"/>
      <c r="AN86" s="730"/>
      <c r="AO86" s="731"/>
      <c r="AP86" s="732"/>
      <c r="AQ86" s="850"/>
      <c r="AR86" s="848"/>
      <c r="AS86" s="733"/>
      <c r="AT86" s="852"/>
      <c r="AU86" s="858"/>
      <c r="AV86" s="1015"/>
      <c r="AW86" s="1020"/>
      <c r="AX86" s="1020"/>
      <c r="AY86" s="1020"/>
      <c r="AZ86" s="898"/>
      <c r="BA86" s="1024"/>
      <c r="BE86" s="545">
        <v>80</v>
      </c>
      <c r="BF86" s="582" t="s">
        <v>472</v>
      </c>
      <c r="BG86" s="280">
        <f t="shared" si="70"/>
        <v>0</v>
      </c>
      <c r="BH86" s="282">
        <f t="shared" si="71"/>
        <v>0</v>
      </c>
      <c r="BI86" s="565">
        <f t="shared" si="72"/>
        <v>0</v>
      </c>
      <c r="BJ86" s="566">
        <f t="shared" si="73"/>
        <v>0</v>
      </c>
      <c r="BK86" s="274">
        <f>SUM(BG81:BG86)</f>
        <v>6</v>
      </c>
      <c r="BL86" s="273">
        <f t="shared" ref="BL86:BN86" si="91">SUM(BH81:BH86)</f>
        <v>0</v>
      </c>
      <c r="BM86" s="273">
        <f t="shared" si="91"/>
        <v>0</v>
      </c>
      <c r="BN86" s="273">
        <f t="shared" si="91"/>
        <v>0</v>
      </c>
      <c r="BQ86" s="299">
        <f t="shared" si="74"/>
        <v>0</v>
      </c>
      <c r="BR86" s="300">
        <f t="shared" si="75"/>
        <v>1</v>
      </c>
      <c r="BS86" s="300">
        <f t="shared" si="76"/>
        <v>0</v>
      </c>
      <c r="BT86" s="301">
        <f t="shared" si="77"/>
        <v>0</v>
      </c>
      <c r="BU86" s="303">
        <f t="shared" si="78"/>
        <v>1</v>
      </c>
      <c r="BV86" s="257">
        <f t="shared" si="79"/>
        <v>0</v>
      </c>
      <c r="BW86" s="456">
        <f t="shared" si="80"/>
        <v>1</v>
      </c>
      <c r="BX86" s="459">
        <f t="shared" si="81"/>
        <v>0</v>
      </c>
      <c r="BY86" s="311">
        <f t="shared" si="63"/>
        <v>0</v>
      </c>
      <c r="CD86" s="577">
        <f t="shared" si="82"/>
        <v>0</v>
      </c>
      <c r="CZ86" s="562">
        <f t="shared" si="64"/>
        <v>0</v>
      </c>
      <c r="DC86" s="545"/>
      <c r="DH86" s="562">
        <f t="shared" si="68"/>
        <v>0</v>
      </c>
      <c r="DM86" s="547" t="str">
        <f t="shared" si="83"/>
        <v>Wst 6</v>
      </c>
      <c r="DN86" s="547">
        <f t="shared" si="65"/>
        <v>0</v>
      </c>
      <c r="DO86" s="547">
        <f t="shared" si="90"/>
        <v>0</v>
      </c>
      <c r="DP86" s="547">
        <f t="shared" si="66"/>
        <v>0</v>
      </c>
      <c r="DQ86" s="273">
        <f>SUM(DN81:DN86)</f>
        <v>8</v>
      </c>
      <c r="DR86" s="273">
        <f>SUM(DO81:DO86)</f>
        <v>2</v>
      </c>
      <c r="DS86" s="273">
        <f>SUM(DT81:DT86)</f>
        <v>6</v>
      </c>
      <c r="DT86" s="547">
        <f t="shared" si="67"/>
        <v>0</v>
      </c>
      <c r="EE86" s="582" t="str">
        <f t="shared" si="61"/>
        <v>Wst 6</v>
      </c>
      <c r="EG86" s="439">
        <f t="shared" si="84"/>
        <v>0</v>
      </c>
      <c r="EH86" s="440">
        <f t="shared" si="85"/>
        <v>0</v>
      </c>
      <c r="EI86" s="440">
        <f t="shared" si="86"/>
        <v>0</v>
      </c>
      <c r="EJ86" s="541">
        <f t="shared" si="87"/>
        <v>0</v>
      </c>
      <c r="EK86" s="541">
        <f t="shared" si="88"/>
        <v>0</v>
      </c>
      <c r="EL86" s="573">
        <f t="shared" si="62"/>
        <v>0</v>
      </c>
    </row>
    <row r="87" spans="1:142" ht="45" x14ac:dyDescent="0.25">
      <c r="A87" s="982">
        <v>8</v>
      </c>
      <c r="B87" s="983">
        <v>8</v>
      </c>
      <c r="C87" s="851" t="s">
        <v>212</v>
      </c>
      <c r="D87" s="1003" t="s">
        <v>213</v>
      </c>
      <c r="E87" s="726">
        <v>1</v>
      </c>
      <c r="F87" s="537">
        <v>1</v>
      </c>
      <c r="G87" s="537">
        <v>1</v>
      </c>
      <c r="H87" s="537">
        <v>0</v>
      </c>
      <c r="I87" s="725">
        <v>1</v>
      </c>
      <c r="J87" s="724">
        <v>2</v>
      </c>
      <c r="K87" s="537">
        <v>2</v>
      </c>
      <c r="L87" s="537">
        <v>2</v>
      </c>
      <c r="M87" s="727">
        <v>2</v>
      </c>
      <c r="N87" s="726"/>
      <c r="O87" s="727"/>
      <c r="P87" s="724">
        <v>0</v>
      </c>
      <c r="Q87" s="724">
        <v>0</v>
      </c>
      <c r="R87" s="724">
        <v>0</v>
      </c>
      <c r="S87" s="724">
        <v>0</v>
      </c>
      <c r="T87" s="724">
        <v>0</v>
      </c>
      <c r="U87" s="724">
        <f t="shared" si="59"/>
        <v>0</v>
      </c>
      <c r="V87" s="724"/>
      <c r="W87" s="724"/>
      <c r="X87" s="724"/>
      <c r="Y87" s="726"/>
      <c r="Z87" s="724"/>
      <c r="AA87" s="726"/>
      <c r="AB87" s="724"/>
      <c r="AC87" s="537"/>
      <c r="AD87" s="537"/>
      <c r="AE87" s="537"/>
      <c r="AF87" s="537"/>
      <c r="AG87" s="537"/>
      <c r="AH87" s="537"/>
      <c r="AI87" s="537"/>
      <c r="AJ87" s="537"/>
      <c r="AK87" s="727"/>
      <c r="AL87" s="390">
        <f t="shared" si="60"/>
        <v>2</v>
      </c>
      <c r="AM87" s="729"/>
      <c r="AN87" s="730"/>
      <c r="AO87" s="731"/>
      <c r="AP87" s="732"/>
      <c r="AQ87" s="850"/>
      <c r="AR87" s="848"/>
      <c r="AS87" s="733"/>
      <c r="AT87" s="852"/>
      <c r="AU87" s="858"/>
      <c r="AV87" s="1015"/>
      <c r="AW87" s="1020"/>
      <c r="AX87" s="1020"/>
      <c r="AY87" s="1020"/>
      <c r="AZ87" s="898"/>
      <c r="BA87" s="1024"/>
      <c r="BE87" s="545">
        <v>81</v>
      </c>
      <c r="BF87" s="596" t="s">
        <v>593</v>
      </c>
      <c r="BG87" s="281">
        <f t="shared" si="70"/>
        <v>1</v>
      </c>
      <c r="BH87" s="282">
        <f t="shared" si="71"/>
        <v>0</v>
      </c>
      <c r="BI87" s="565">
        <f t="shared" si="72"/>
        <v>0</v>
      </c>
      <c r="BJ87" s="566">
        <f t="shared" si="73"/>
        <v>0</v>
      </c>
      <c r="BQ87" s="299">
        <f t="shared" si="74"/>
        <v>1</v>
      </c>
      <c r="BR87" s="300">
        <f t="shared" si="75"/>
        <v>1</v>
      </c>
      <c r="BS87" s="300">
        <f t="shared" si="76"/>
        <v>1</v>
      </c>
      <c r="BT87" s="301">
        <f t="shared" si="77"/>
        <v>1</v>
      </c>
      <c r="BU87" s="303">
        <f t="shared" si="78"/>
        <v>1</v>
      </c>
      <c r="BV87" s="257">
        <f t="shared" si="79"/>
        <v>0</v>
      </c>
      <c r="BW87" s="456">
        <f t="shared" si="80"/>
        <v>1</v>
      </c>
      <c r="BX87" s="459">
        <f t="shared" si="81"/>
        <v>0</v>
      </c>
      <c r="BY87" s="311">
        <f t="shared" si="63"/>
        <v>1</v>
      </c>
      <c r="CD87" s="570">
        <f t="shared" si="82"/>
        <v>0</v>
      </c>
      <c r="CZ87" s="562">
        <f t="shared" si="64"/>
        <v>0</v>
      </c>
      <c r="DC87" s="545"/>
      <c r="DH87" s="562">
        <f t="shared" si="68"/>
        <v>0</v>
      </c>
      <c r="DM87" s="547" t="str">
        <f t="shared" si="83"/>
        <v>Man 3 - Inn 1</v>
      </c>
      <c r="DN87" s="547">
        <f t="shared" si="65"/>
        <v>1</v>
      </c>
      <c r="DO87" s="547">
        <f t="shared" si="90"/>
        <v>0</v>
      </c>
      <c r="DP87" s="547">
        <f t="shared" si="66"/>
        <v>1</v>
      </c>
      <c r="DT87" s="547">
        <f t="shared" si="67"/>
        <v>1</v>
      </c>
      <c r="EE87" s="596" t="str">
        <f t="shared" si="61"/>
        <v>Man 3 - Inn 1</v>
      </c>
      <c r="EG87" s="439">
        <f t="shared" si="84"/>
        <v>0</v>
      </c>
      <c r="EH87" s="440">
        <f t="shared" si="85"/>
        <v>0</v>
      </c>
      <c r="EI87" s="440">
        <f t="shared" si="86"/>
        <v>0</v>
      </c>
      <c r="EJ87" s="541">
        <f t="shared" si="87"/>
        <v>0</v>
      </c>
      <c r="EK87" s="541">
        <f t="shared" si="88"/>
        <v>0</v>
      </c>
      <c r="EL87" s="573">
        <f t="shared" si="62"/>
        <v>0</v>
      </c>
    </row>
    <row r="88" spans="1:142" ht="30" x14ac:dyDescent="0.25">
      <c r="A88" s="982">
        <v>10</v>
      </c>
      <c r="B88" s="983">
        <v>1</v>
      </c>
      <c r="C88" s="851" t="s">
        <v>219</v>
      </c>
      <c r="D88" s="1003" t="s">
        <v>218</v>
      </c>
      <c r="E88" s="726">
        <v>1</v>
      </c>
      <c r="F88" s="537">
        <v>1</v>
      </c>
      <c r="G88" s="537">
        <v>1</v>
      </c>
      <c r="H88" s="537">
        <v>0</v>
      </c>
      <c r="I88" s="725">
        <v>1</v>
      </c>
      <c r="J88" s="724">
        <v>3</v>
      </c>
      <c r="K88" s="537">
        <v>3</v>
      </c>
      <c r="L88" s="537">
        <v>3</v>
      </c>
      <c r="M88" s="727">
        <v>3</v>
      </c>
      <c r="N88" s="726"/>
      <c r="O88" s="727"/>
      <c r="P88" s="724">
        <v>0</v>
      </c>
      <c r="Q88" s="724">
        <v>0</v>
      </c>
      <c r="R88" s="724">
        <v>0</v>
      </c>
      <c r="S88" s="724">
        <v>0</v>
      </c>
      <c r="T88" s="724">
        <v>0</v>
      </c>
      <c r="U88" s="724">
        <f t="shared" si="59"/>
        <v>0</v>
      </c>
      <c r="V88" s="724"/>
      <c r="W88" s="724"/>
      <c r="X88" s="724"/>
      <c r="Y88" s="726"/>
      <c r="Z88" s="724"/>
      <c r="AA88" s="726"/>
      <c r="AB88" s="724"/>
      <c r="AC88" s="537"/>
      <c r="AD88" s="537"/>
      <c r="AE88" s="537"/>
      <c r="AF88" s="537"/>
      <c r="AG88" s="537"/>
      <c r="AH88" s="537"/>
      <c r="AI88" s="537"/>
      <c r="AJ88" s="537"/>
      <c r="AK88" s="727"/>
      <c r="AL88" s="390">
        <f t="shared" si="60"/>
        <v>3</v>
      </c>
      <c r="AM88" s="729"/>
      <c r="AN88" s="730"/>
      <c r="AO88" s="731"/>
      <c r="AP88" s="732"/>
      <c r="AQ88" s="850"/>
      <c r="AR88" s="848"/>
      <c r="AS88" s="733"/>
      <c r="AT88" s="852"/>
      <c r="AU88" s="858"/>
      <c r="AV88" s="1015"/>
      <c r="AW88" s="1020"/>
      <c r="AX88" s="1020"/>
      <c r="AY88" s="1020"/>
      <c r="AZ88" s="898"/>
      <c r="BA88" s="1024"/>
      <c r="BE88" s="545">
        <v>82</v>
      </c>
      <c r="BF88" s="551" t="s">
        <v>594</v>
      </c>
      <c r="BG88" s="276">
        <f t="shared" si="70"/>
        <v>1</v>
      </c>
      <c r="BH88" s="282">
        <f t="shared" si="71"/>
        <v>0</v>
      </c>
      <c r="BI88" s="565">
        <f t="shared" si="72"/>
        <v>0</v>
      </c>
      <c r="BJ88" s="566">
        <f t="shared" si="73"/>
        <v>0</v>
      </c>
      <c r="BQ88" s="299">
        <f t="shared" si="74"/>
        <v>1</v>
      </c>
      <c r="BR88" s="300">
        <f t="shared" si="75"/>
        <v>1</v>
      </c>
      <c r="BS88" s="300">
        <f t="shared" si="76"/>
        <v>1</v>
      </c>
      <c r="BT88" s="301">
        <f t="shared" si="77"/>
        <v>1</v>
      </c>
      <c r="BU88" s="303">
        <f t="shared" si="78"/>
        <v>1</v>
      </c>
      <c r="BV88" s="257">
        <f t="shared" si="79"/>
        <v>1</v>
      </c>
      <c r="BW88" s="456">
        <f t="shared" si="80"/>
        <v>1</v>
      </c>
      <c r="BX88" s="459">
        <f t="shared" si="81"/>
        <v>0</v>
      </c>
      <c r="BY88" s="311">
        <f t="shared" si="63"/>
        <v>1</v>
      </c>
      <c r="CD88" s="570">
        <f t="shared" si="82"/>
        <v>0</v>
      </c>
      <c r="CZ88" s="562">
        <f t="shared" si="64"/>
        <v>0</v>
      </c>
      <c r="DC88" s="545"/>
      <c r="DH88" s="562">
        <f t="shared" si="68"/>
        <v>0</v>
      </c>
      <c r="DM88" s="547" t="str">
        <f t="shared" si="83"/>
        <v>Hea 1 - Inn 1</v>
      </c>
      <c r="DN88" s="547">
        <f t="shared" si="65"/>
        <v>1</v>
      </c>
      <c r="DO88" s="547">
        <f t="shared" si="90"/>
        <v>0</v>
      </c>
      <c r="DP88" s="547">
        <f t="shared" si="66"/>
        <v>1</v>
      </c>
      <c r="DT88" s="547">
        <f t="shared" si="67"/>
        <v>1</v>
      </c>
      <c r="EE88" s="551" t="str">
        <f t="shared" si="61"/>
        <v>Hea 1 - Inn 1</v>
      </c>
      <c r="EG88" s="439">
        <f t="shared" si="84"/>
        <v>0</v>
      </c>
      <c r="EH88" s="440">
        <f t="shared" si="85"/>
        <v>0</v>
      </c>
      <c r="EI88" s="440">
        <f t="shared" si="86"/>
        <v>0</v>
      </c>
      <c r="EJ88" s="541">
        <f t="shared" si="87"/>
        <v>0</v>
      </c>
      <c r="EK88" s="541">
        <f t="shared" si="88"/>
        <v>0</v>
      </c>
      <c r="EL88" s="573">
        <f t="shared" si="62"/>
        <v>0</v>
      </c>
    </row>
    <row r="89" spans="1:142" ht="45" x14ac:dyDescent="0.25">
      <c r="A89" s="982">
        <v>10</v>
      </c>
      <c r="B89" s="983">
        <v>1</v>
      </c>
      <c r="C89" s="851" t="s">
        <v>601</v>
      </c>
      <c r="D89" s="1003" t="s">
        <v>609</v>
      </c>
      <c r="E89" s="726">
        <v>1</v>
      </c>
      <c r="F89" s="537">
        <v>1</v>
      </c>
      <c r="G89" s="537">
        <v>1</v>
      </c>
      <c r="H89" s="537">
        <v>0</v>
      </c>
      <c r="I89" s="725">
        <v>1</v>
      </c>
      <c r="J89" s="724">
        <v>1</v>
      </c>
      <c r="K89" s="537">
        <v>1</v>
      </c>
      <c r="L89" s="537">
        <v>1</v>
      </c>
      <c r="M89" s="727">
        <v>1</v>
      </c>
      <c r="N89" s="726"/>
      <c r="O89" s="727"/>
      <c r="P89" s="724">
        <v>0</v>
      </c>
      <c r="Q89" s="724">
        <v>0</v>
      </c>
      <c r="R89" s="724">
        <v>0</v>
      </c>
      <c r="S89" s="724">
        <v>0</v>
      </c>
      <c r="T89" s="724">
        <v>0</v>
      </c>
      <c r="U89" s="724">
        <f t="shared" si="59"/>
        <v>0</v>
      </c>
      <c r="V89" s="724"/>
      <c r="W89" s="724"/>
      <c r="X89" s="724"/>
      <c r="Y89" s="726"/>
      <c r="Z89" s="724"/>
      <c r="AA89" s="726"/>
      <c r="AB89" s="724"/>
      <c r="AC89" s="537"/>
      <c r="AD89" s="537"/>
      <c r="AE89" s="537"/>
      <c r="AF89" s="537"/>
      <c r="AG89" s="537"/>
      <c r="AH89" s="537"/>
      <c r="AI89" s="537"/>
      <c r="AJ89" s="537"/>
      <c r="AK89" s="727"/>
      <c r="AL89" s="390">
        <f t="shared" si="60"/>
        <v>1</v>
      </c>
      <c r="AM89" s="729"/>
      <c r="AN89" s="730"/>
      <c r="AO89" s="731"/>
      <c r="AP89" s="732"/>
      <c r="AQ89" s="850"/>
      <c r="AR89" s="848"/>
      <c r="AS89" s="733"/>
      <c r="AT89" s="852"/>
      <c r="AU89" s="858"/>
      <c r="AV89" s="1015"/>
      <c r="AW89" s="1020"/>
      <c r="AX89" s="1020"/>
      <c r="AY89" s="1020"/>
      <c r="AZ89" s="898"/>
      <c r="BA89" s="1024"/>
      <c r="BE89" s="545">
        <v>83</v>
      </c>
      <c r="BF89" s="551" t="s">
        <v>595</v>
      </c>
      <c r="BG89" s="276">
        <f t="shared" si="70"/>
        <v>1</v>
      </c>
      <c r="BH89" s="282">
        <f t="shared" si="71"/>
        <v>0</v>
      </c>
      <c r="BI89" s="565">
        <f t="shared" si="72"/>
        <v>0</v>
      </c>
      <c r="BJ89" s="566">
        <f t="shared" si="73"/>
        <v>0</v>
      </c>
      <c r="BQ89" s="299">
        <f t="shared" si="74"/>
        <v>1</v>
      </c>
      <c r="BR89" s="300">
        <f t="shared" si="75"/>
        <v>1</v>
      </c>
      <c r="BS89" s="300">
        <f t="shared" si="76"/>
        <v>1</v>
      </c>
      <c r="BT89" s="301">
        <f t="shared" si="77"/>
        <v>1</v>
      </c>
      <c r="BU89" s="303">
        <f t="shared" si="78"/>
        <v>1</v>
      </c>
      <c r="BV89" s="257">
        <f t="shared" si="79"/>
        <v>1</v>
      </c>
      <c r="BW89" s="456">
        <f t="shared" si="80"/>
        <v>1</v>
      </c>
      <c r="BX89" s="459">
        <f t="shared" si="81"/>
        <v>0</v>
      </c>
      <c r="BY89" s="311">
        <f t="shared" si="63"/>
        <v>1</v>
      </c>
      <c r="CD89" s="559">
        <f t="shared" si="82"/>
        <v>0</v>
      </c>
      <c r="CZ89" s="828">
        <f t="shared" si="64"/>
        <v>0</v>
      </c>
      <c r="DC89" s="545"/>
      <c r="DH89" s="562">
        <f t="shared" si="68"/>
        <v>0</v>
      </c>
      <c r="DM89" s="547" t="str">
        <f t="shared" si="83"/>
        <v>Hea 9 - Inn 1</v>
      </c>
      <c r="DN89" s="547">
        <f t="shared" si="65"/>
        <v>1</v>
      </c>
      <c r="DO89" s="547">
        <f t="shared" si="90"/>
        <v>0</v>
      </c>
      <c r="DP89" s="547">
        <f t="shared" si="66"/>
        <v>1</v>
      </c>
      <c r="DT89" s="547">
        <f t="shared" si="67"/>
        <v>1</v>
      </c>
      <c r="EE89" s="551" t="str">
        <f t="shared" si="61"/>
        <v>Hea 9 - Inn 1</v>
      </c>
      <c r="EG89" s="439">
        <f t="shared" si="84"/>
        <v>0</v>
      </c>
      <c r="EH89" s="440">
        <f t="shared" si="85"/>
        <v>0</v>
      </c>
      <c r="EI89" s="440">
        <f t="shared" si="86"/>
        <v>0</v>
      </c>
      <c r="EJ89" s="541">
        <f t="shared" si="87"/>
        <v>0</v>
      </c>
      <c r="EK89" s="541">
        <f t="shared" si="88"/>
        <v>0</v>
      </c>
      <c r="EL89" s="573">
        <f t="shared" si="62"/>
        <v>0</v>
      </c>
    </row>
    <row r="90" spans="1:142" x14ac:dyDescent="0.25">
      <c r="A90" s="982">
        <v>10</v>
      </c>
      <c r="B90" s="983">
        <v>2</v>
      </c>
      <c r="C90" s="851" t="s">
        <v>217</v>
      </c>
      <c r="D90" s="1003" t="s">
        <v>216</v>
      </c>
      <c r="E90" s="726">
        <v>1</v>
      </c>
      <c r="F90" s="537">
        <v>1</v>
      </c>
      <c r="G90" s="537">
        <v>0</v>
      </c>
      <c r="H90" s="537">
        <v>0</v>
      </c>
      <c r="I90" s="725">
        <v>1</v>
      </c>
      <c r="J90" s="724">
        <v>1</v>
      </c>
      <c r="K90" s="537">
        <v>1</v>
      </c>
      <c r="L90" s="537">
        <v>1</v>
      </c>
      <c r="M90" s="727">
        <v>1</v>
      </c>
      <c r="N90" s="726"/>
      <c r="O90" s="727"/>
      <c r="P90" s="724">
        <v>0</v>
      </c>
      <c r="Q90" s="724">
        <v>0</v>
      </c>
      <c r="R90" s="724">
        <v>0</v>
      </c>
      <c r="S90" s="724">
        <v>0</v>
      </c>
      <c r="T90" s="724">
        <v>0</v>
      </c>
      <c r="U90" s="724">
        <f t="shared" si="59"/>
        <v>0</v>
      </c>
      <c r="V90" s="724"/>
      <c r="W90" s="724"/>
      <c r="X90" s="724"/>
      <c r="Y90" s="726"/>
      <c r="Z90" s="724"/>
      <c r="AA90" s="726"/>
      <c r="AB90" s="724"/>
      <c r="AC90" s="537"/>
      <c r="AD90" s="537"/>
      <c r="AE90" s="537"/>
      <c r="AF90" s="897"/>
      <c r="AG90" s="897"/>
      <c r="AH90" s="897"/>
      <c r="AI90" s="537"/>
      <c r="AJ90" s="537"/>
      <c r="AK90" s="727"/>
      <c r="AL90" s="390">
        <f t="shared" si="60"/>
        <v>1</v>
      </c>
      <c r="AM90" s="729"/>
      <c r="AN90" s="730"/>
      <c r="AO90" s="731"/>
      <c r="AP90" s="732"/>
      <c r="AQ90" s="850"/>
      <c r="AR90" s="848"/>
      <c r="AS90" s="733"/>
      <c r="AT90" s="852"/>
      <c r="AU90" s="858"/>
      <c r="AV90" s="1015"/>
      <c r="AW90" s="1020"/>
      <c r="AX90" s="1020"/>
      <c r="AY90" s="1020"/>
      <c r="AZ90" s="898"/>
      <c r="BA90" s="1024"/>
      <c r="BE90" s="545">
        <v>84</v>
      </c>
      <c r="BF90" s="551" t="s">
        <v>596</v>
      </c>
      <c r="BG90" s="276">
        <f t="shared" si="70"/>
        <v>0</v>
      </c>
      <c r="BH90" s="282">
        <f t="shared" si="71"/>
        <v>0</v>
      </c>
      <c r="BI90" s="565">
        <f t="shared" si="72"/>
        <v>0</v>
      </c>
      <c r="BJ90" s="566">
        <f t="shared" si="73"/>
        <v>0</v>
      </c>
      <c r="BQ90" s="299">
        <f t="shared" si="74"/>
        <v>1</v>
      </c>
      <c r="BR90" s="300">
        <f t="shared" si="75"/>
        <v>0</v>
      </c>
      <c r="BS90" s="300">
        <f t="shared" si="76"/>
        <v>1</v>
      </c>
      <c r="BT90" s="301">
        <f t="shared" si="77"/>
        <v>0</v>
      </c>
      <c r="BU90" s="303">
        <f t="shared" si="78"/>
        <v>1</v>
      </c>
      <c r="BV90" s="257">
        <f t="shared" si="79"/>
        <v>1</v>
      </c>
      <c r="BW90" s="456">
        <f t="shared" si="80"/>
        <v>1</v>
      </c>
      <c r="BX90" s="459">
        <f t="shared" si="81"/>
        <v>0</v>
      </c>
      <c r="BY90" s="335">
        <f t="shared" si="63"/>
        <v>0</v>
      </c>
      <c r="BZ90" s="549"/>
      <c r="CA90" s="550"/>
      <c r="CB90" s="550"/>
      <c r="CC90" s="550"/>
      <c r="CD90" s="570">
        <f t="shared" si="82"/>
        <v>0</v>
      </c>
      <c r="CE90" s="550"/>
      <c r="CF90" s="550"/>
      <c r="CG90" s="550"/>
      <c r="CH90" s="550"/>
      <c r="CI90" s="550"/>
      <c r="CJ90" s="550"/>
      <c r="CK90" s="550"/>
      <c r="CL90" s="550"/>
      <c r="CM90" s="550"/>
      <c r="CN90" s="550"/>
      <c r="CO90" s="550"/>
      <c r="CP90" s="550"/>
      <c r="CQ90" s="550"/>
      <c r="CR90" s="550"/>
      <c r="CS90" s="550"/>
      <c r="CT90" s="550"/>
      <c r="CU90" s="550"/>
      <c r="CV90" s="550"/>
      <c r="CW90" s="550"/>
      <c r="CX90" s="550"/>
      <c r="CY90" s="550"/>
      <c r="CZ90" s="562">
        <f t="shared" si="64"/>
        <v>0</v>
      </c>
      <c r="DA90" s="550"/>
      <c r="DB90" s="550"/>
      <c r="DC90" s="562">
        <f>CJ28</f>
        <v>0</v>
      </c>
      <c r="DH90" s="562">
        <f t="shared" si="68"/>
        <v>0</v>
      </c>
      <c r="DM90" s="547" t="str">
        <f t="shared" si="83"/>
        <v>Hea 14 - Inn 1</v>
      </c>
      <c r="DN90" s="547">
        <f t="shared" si="65"/>
        <v>0</v>
      </c>
      <c r="DO90" s="547">
        <f t="shared" si="90"/>
        <v>0</v>
      </c>
      <c r="DP90" s="547">
        <f t="shared" si="66"/>
        <v>0</v>
      </c>
      <c r="DT90" s="547">
        <f t="shared" si="67"/>
        <v>0</v>
      </c>
      <c r="EE90" s="551" t="str">
        <f t="shared" si="61"/>
        <v>Hea 14 - Inn 1</v>
      </c>
      <c r="EG90" s="439">
        <f t="shared" si="84"/>
        <v>0</v>
      </c>
      <c r="EH90" s="440">
        <f t="shared" si="85"/>
        <v>0</v>
      </c>
      <c r="EI90" s="440">
        <f t="shared" si="86"/>
        <v>0</v>
      </c>
      <c r="EJ90" s="541">
        <f t="shared" si="87"/>
        <v>0</v>
      </c>
      <c r="EK90" s="541">
        <f t="shared" si="88"/>
        <v>0</v>
      </c>
      <c r="EL90" s="573">
        <f t="shared" si="62"/>
        <v>0</v>
      </c>
    </row>
    <row r="91" spans="1:142" ht="30" x14ac:dyDescent="0.25">
      <c r="A91" s="982">
        <v>10</v>
      </c>
      <c r="B91" s="983">
        <v>3</v>
      </c>
      <c r="C91" s="851" t="s">
        <v>109</v>
      </c>
      <c r="D91" s="1003" t="s">
        <v>108</v>
      </c>
      <c r="E91" s="726">
        <v>1</v>
      </c>
      <c r="F91" s="537">
        <v>1</v>
      </c>
      <c r="G91" s="537">
        <v>1</v>
      </c>
      <c r="H91" s="537">
        <v>0</v>
      </c>
      <c r="I91" s="725">
        <v>1</v>
      </c>
      <c r="J91" s="724">
        <v>1</v>
      </c>
      <c r="K91" s="537">
        <v>1</v>
      </c>
      <c r="L91" s="537">
        <v>1</v>
      </c>
      <c r="M91" s="727">
        <v>2</v>
      </c>
      <c r="N91" s="726"/>
      <c r="O91" s="727"/>
      <c r="P91" s="724">
        <v>0</v>
      </c>
      <c r="Q91" s="724">
        <v>0</v>
      </c>
      <c r="R91" s="724">
        <v>0</v>
      </c>
      <c r="S91" s="724">
        <v>1</v>
      </c>
      <c r="T91" s="724">
        <v>1</v>
      </c>
      <c r="U91" s="724">
        <f t="shared" si="59"/>
        <v>1</v>
      </c>
      <c r="V91" s="724"/>
      <c r="W91" s="724"/>
      <c r="X91" s="724"/>
      <c r="Y91" s="726"/>
      <c r="Z91" s="724"/>
      <c r="AA91" s="726"/>
      <c r="AB91" s="724"/>
      <c r="AC91" s="537"/>
      <c r="AD91" s="537"/>
      <c r="AE91" s="537"/>
      <c r="AF91" s="537"/>
      <c r="AG91" s="537"/>
      <c r="AH91" s="537"/>
      <c r="AI91" s="537"/>
      <c r="AJ91" s="537"/>
      <c r="AK91" s="727"/>
      <c r="AL91" s="390">
        <f t="shared" si="60"/>
        <v>1</v>
      </c>
      <c r="AM91" s="913"/>
      <c r="AN91" s="730"/>
      <c r="AO91" s="731"/>
      <c r="AP91" s="732"/>
      <c r="AQ91" s="850"/>
      <c r="AR91" s="848"/>
      <c r="AS91" s="733"/>
      <c r="AT91" s="852"/>
      <c r="AU91" s="858"/>
      <c r="AV91" s="1015"/>
      <c r="AW91" s="1020"/>
      <c r="AX91" s="1020"/>
      <c r="AY91" s="1020"/>
      <c r="AZ91" s="898"/>
      <c r="BA91" s="1024"/>
      <c r="BE91" s="545">
        <v>85</v>
      </c>
      <c r="BF91" s="551"/>
      <c r="BG91" s="276"/>
      <c r="BH91" s="282"/>
      <c r="BI91" s="565"/>
      <c r="BJ91" s="566"/>
      <c r="BQ91" s="299"/>
      <c r="BR91" s="300"/>
      <c r="BS91" s="300"/>
      <c r="BT91" s="301"/>
      <c r="BU91" s="303"/>
      <c r="BV91" s="257"/>
      <c r="BW91" s="456"/>
      <c r="BX91" s="459"/>
      <c r="BY91" s="311"/>
      <c r="CD91" s="577"/>
      <c r="CZ91" s="594">
        <f t="shared" si="64"/>
        <v>0</v>
      </c>
      <c r="DH91" s="562">
        <f t="shared" si="68"/>
        <v>0</v>
      </c>
      <c r="DM91" s="547"/>
      <c r="DN91" s="547"/>
      <c r="DO91" s="547">
        <f t="shared" si="90"/>
        <v>0</v>
      </c>
      <c r="DP91" s="547"/>
      <c r="DT91" s="547">
        <f t="shared" si="67"/>
        <v>0</v>
      </c>
      <c r="EE91" s="551">
        <f t="shared" si="61"/>
        <v>0</v>
      </c>
      <c r="EG91" s="439"/>
      <c r="EH91" s="440"/>
      <c r="EI91" s="440"/>
      <c r="EL91" s="573">
        <f t="shared" si="62"/>
        <v>0</v>
      </c>
    </row>
    <row r="92" spans="1:142" x14ac:dyDescent="0.25">
      <c r="A92" s="982">
        <v>10</v>
      </c>
      <c r="B92" s="983">
        <v>4</v>
      </c>
      <c r="C92" s="851" t="s">
        <v>319</v>
      </c>
      <c r="D92" s="1003" t="s">
        <v>438</v>
      </c>
      <c r="E92" s="906">
        <v>1</v>
      </c>
      <c r="F92" s="897">
        <v>1</v>
      </c>
      <c r="G92" s="897">
        <v>1</v>
      </c>
      <c r="H92" s="897">
        <v>1</v>
      </c>
      <c r="I92" s="905">
        <v>1</v>
      </c>
      <c r="J92" s="904">
        <v>1</v>
      </c>
      <c r="K92" s="897">
        <v>0</v>
      </c>
      <c r="L92" s="897">
        <v>1</v>
      </c>
      <c r="M92" s="907">
        <v>1</v>
      </c>
      <c r="N92" s="906"/>
      <c r="O92" s="907">
        <v>2</v>
      </c>
      <c r="P92" s="904">
        <v>0</v>
      </c>
      <c r="Q92" s="904">
        <v>0</v>
      </c>
      <c r="R92" s="904">
        <v>0</v>
      </c>
      <c r="S92" s="904">
        <v>0</v>
      </c>
      <c r="T92" s="904">
        <v>0</v>
      </c>
      <c r="U92" s="904">
        <f t="shared" si="59"/>
        <v>0</v>
      </c>
      <c r="V92" s="904"/>
      <c r="W92" s="904"/>
      <c r="X92" s="904"/>
      <c r="Y92" s="906"/>
      <c r="Z92" s="904"/>
      <c r="AA92" s="906"/>
      <c r="AB92" s="904"/>
      <c r="AC92" s="897"/>
      <c r="AD92" s="897"/>
      <c r="AE92" s="897"/>
      <c r="AF92" s="897"/>
      <c r="AG92" s="897"/>
      <c r="AH92" s="897"/>
      <c r="AI92" s="897"/>
      <c r="AJ92" s="897"/>
      <c r="AK92" s="907"/>
      <c r="AL92" s="390">
        <f t="shared" si="60"/>
        <v>1</v>
      </c>
      <c r="AM92" s="913"/>
      <c r="AN92" s="914"/>
      <c r="AO92" s="915"/>
      <c r="AP92" s="916"/>
      <c r="AQ92" s="930"/>
      <c r="AR92" s="928"/>
      <c r="AS92" s="917"/>
      <c r="AT92" s="931"/>
      <c r="AU92" s="937"/>
      <c r="AV92" s="1015"/>
      <c r="AW92" s="1020"/>
      <c r="AX92" s="1020"/>
      <c r="AY92" s="1020"/>
      <c r="AZ92" s="898"/>
      <c r="BA92" s="1024"/>
      <c r="BE92" s="545">
        <v>86</v>
      </c>
      <c r="BF92" s="551" t="s">
        <v>597</v>
      </c>
      <c r="BG92" s="276">
        <f>VLOOKUP($BF92,$C$9:$AT$98,AL$1,FALSE)</f>
        <v>2</v>
      </c>
      <c r="BH92" s="282">
        <f>IF(VLOOKUP($BF92,$C$9:$AT$98,AN$1,FALSE)&gt;BG92,BG92,(VLOOKUP($BF92,$C$9:$AT$98,AN$1,FALSE)))</f>
        <v>0</v>
      </c>
      <c r="BI92" s="565">
        <f>IF(VLOOKUP($BF92,$C$9:$AT$98,AP$1,FALSE)&gt;BG92,BG92,VLOOKUP($BF92,$C$9:$AT$98,AP$1,FALSE))</f>
        <v>0</v>
      </c>
      <c r="BJ92" s="566">
        <f>IF(VLOOKUP($BF92,$C$9:$AT$98,AS$1,FALSE)&gt;BG92,BG92,VLOOKUP($BF92,$C$9:$AT$98,AS$1,FALSE))</f>
        <v>0</v>
      </c>
      <c r="BQ92" s="298">
        <f t="shared" ref="BQ92:BT94" si="92">VLOOKUP($BF92,$C$9:$AT$98,J$1,FALSE)</f>
        <v>2</v>
      </c>
      <c r="BR92" s="257">
        <f t="shared" si="92"/>
        <v>2</v>
      </c>
      <c r="BS92" s="257">
        <f t="shared" si="92"/>
        <v>2</v>
      </c>
      <c r="BT92" s="302">
        <f t="shared" si="92"/>
        <v>2</v>
      </c>
      <c r="BU92" s="303">
        <f>VLOOKUP($BF92,$C$9:$AT$98,E$1,FALSE)</f>
        <v>1</v>
      </c>
      <c r="BV92" s="257">
        <f>VLOOKUP($BF92,$C$9:$AT$98,G$1,FALSE)</f>
        <v>1</v>
      </c>
      <c r="BW92" s="456">
        <f>VLOOKUP($BF92,$C$9:$AT$98,I$1,FALSE)</f>
        <v>1</v>
      </c>
      <c r="BX92" s="459">
        <f>VLOOKUP($BF92,$C$9:$AT$98,O$1,FALSE)</f>
        <v>0</v>
      </c>
      <c r="BY92" s="311">
        <f t="shared" si="63"/>
        <v>2</v>
      </c>
      <c r="CD92" s="570">
        <f>IF(BU92=0,IF($CD$7=$CD$3,0,IF($CD$7=$CD$4,BY92/2,IF($CD$7=$CD$5,0,IF($CD$7=$CD$6,BY92,0)))),0)</f>
        <v>0</v>
      </c>
      <c r="CZ92" s="562">
        <f t="shared" si="64"/>
        <v>0</v>
      </c>
      <c r="DH92" s="562">
        <f t="shared" si="68"/>
        <v>0</v>
      </c>
      <c r="DM92" s="547" t="str">
        <f>BF92</f>
        <v>Ene 5 - Inn 1</v>
      </c>
      <c r="DN92" s="547">
        <f t="shared" si="65"/>
        <v>2</v>
      </c>
      <c r="DO92" s="547">
        <f t="shared" si="90"/>
        <v>0</v>
      </c>
      <c r="DP92" s="547">
        <f t="shared" si="66"/>
        <v>2</v>
      </c>
      <c r="DT92" s="547">
        <f t="shared" si="67"/>
        <v>2</v>
      </c>
      <c r="EE92" s="551" t="str">
        <f t="shared" si="61"/>
        <v>Ene 5 - Inn 1</v>
      </c>
      <c r="EG92" s="439">
        <f t="shared" ref="EG92:EG98" si="93">VLOOKUP(BF92,$C$9:$T$95,14,FALSE)</f>
        <v>0</v>
      </c>
      <c r="EH92" s="440">
        <f t="shared" ref="EH92:EH98" si="94">VLOOKUP(BF92,$C$9:$T$95,15,FALSE)</f>
        <v>0</v>
      </c>
      <c r="EI92" s="440">
        <f t="shared" ref="EI92:EI98" si="95">VLOOKUP(BF92,$C$9:$T$95,16,FALSE)</f>
        <v>0</v>
      </c>
      <c r="EJ92" s="541">
        <f t="shared" ref="EJ92:EJ98" si="96">VLOOKUP(BF92,$C$9:$T$95,17,FALSE)</f>
        <v>0</v>
      </c>
      <c r="EK92" s="541">
        <f t="shared" ref="EK92:EK98" si="97">VLOOKUP(BF92,$C$9:$T$95,18,FALSE)</f>
        <v>0</v>
      </c>
      <c r="EL92" s="573">
        <f t="shared" si="62"/>
        <v>0</v>
      </c>
    </row>
    <row r="93" spans="1:142" x14ac:dyDescent="0.25">
      <c r="A93" s="982">
        <v>10</v>
      </c>
      <c r="B93" s="983">
        <v>5</v>
      </c>
      <c r="C93" s="851" t="s">
        <v>107</v>
      </c>
      <c r="D93" s="1003" t="s">
        <v>106</v>
      </c>
      <c r="E93" s="726">
        <v>1</v>
      </c>
      <c r="F93" s="537">
        <v>1</v>
      </c>
      <c r="G93" s="537">
        <v>1</v>
      </c>
      <c r="H93" s="537">
        <v>0</v>
      </c>
      <c r="I93" s="725">
        <v>1</v>
      </c>
      <c r="J93" s="724">
        <v>1</v>
      </c>
      <c r="K93" s="537">
        <v>1</v>
      </c>
      <c r="L93" s="537">
        <v>1</v>
      </c>
      <c r="M93" s="727">
        <v>1</v>
      </c>
      <c r="N93" s="726"/>
      <c r="O93" s="727">
        <v>2</v>
      </c>
      <c r="P93" s="724">
        <v>0</v>
      </c>
      <c r="Q93" s="724">
        <v>0</v>
      </c>
      <c r="R93" s="724">
        <v>0</v>
      </c>
      <c r="S93" s="724">
        <v>0</v>
      </c>
      <c r="T93" s="724">
        <v>0</v>
      </c>
      <c r="U93" s="724">
        <f t="shared" si="59"/>
        <v>0</v>
      </c>
      <c r="V93" s="724"/>
      <c r="W93" s="724"/>
      <c r="X93" s="724"/>
      <c r="Y93" s="726"/>
      <c r="Z93" s="724"/>
      <c r="AA93" s="726"/>
      <c r="AB93" s="724"/>
      <c r="AC93" s="537"/>
      <c r="AD93" s="537"/>
      <c r="AE93" s="537"/>
      <c r="AF93" s="537"/>
      <c r="AG93" s="537"/>
      <c r="AH93" s="537"/>
      <c r="AI93" s="537"/>
      <c r="AJ93" s="537"/>
      <c r="AK93" s="727"/>
      <c r="AL93" s="390">
        <f t="shared" si="60"/>
        <v>0</v>
      </c>
      <c r="AM93" s="913"/>
      <c r="AN93" s="730"/>
      <c r="AO93" s="731"/>
      <c r="AP93" s="732"/>
      <c r="AQ93" s="850"/>
      <c r="AR93" s="848"/>
      <c r="AS93" s="733"/>
      <c r="AT93" s="852"/>
      <c r="AU93" s="858"/>
      <c r="AV93" s="1015"/>
      <c r="AW93" s="1020"/>
      <c r="AX93" s="1020"/>
      <c r="AY93" s="1020"/>
      <c r="AZ93" s="898"/>
      <c r="BA93" s="1024"/>
      <c r="BE93" s="545">
        <v>87</v>
      </c>
      <c r="BF93" s="551" t="s">
        <v>598</v>
      </c>
      <c r="BG93" s="276">
        <f>VLOOKUP($BF93,$C$9:$AT$98,AL$1,FALSE)</f>
        <v>1</v>
      </c>
      <c r="BH93" s="282">
        <f>IF(VLOOKUP($BF93,$C$9:$AT$98,AN$1,FALSE)&gt;BG93,BG93,(VLOOKUP($BF93,$C$9:$AT$98,AN$1,FALSE)))</f>
        <v>0</v>
      </c>
      <c r="BI93" s="565">
        <f>IF(VLOOKUP($BF93,$C$9:$AT$98,AP$1,FALSE)&gt;BG93,BG93,VLOOKUP($BF93,$C$9:$AT$98,AP$1,FALSE))</f>
        <v>0</v>
      </c>
      <c r="BJ93" s="566">
        <f>IF(VLOOKUP($BF93,$C$9:$AT$98,AS$1,FALSE)&gt;BG93,BG93,VLOOKUP($BF93,$C$9:$AT$98,AS$1,FALSE))</f>
        <v>0</v>
      </c>
      <c r="BQ93" s="567">
        <f t="shared" si="92"/>
        <v>1</v>
      </c>
      <c r="BR93" s="568">
        <f t="shared" si="92"/>
        <v>1</v>
      </c>
      <c r="BS93" s="568">
        <f t="shared" si="92"/>
        <v>1</v>
      </c>
      <c r="BT93" s="569">
        <f t="shared" si="92"/>
        <v>1</v>
      </c>
      <c r="BU93" s="303">
        <f>VLOOKUP($BF93,$C$9:$AT$98,E$1,FALSE)</f>
        <v>1</v>
      </c>
      <c r="BV93" s="257">
        <f>VLOOKUP($BF93,$C$9:$AT$98,G$1,FALSE)</f>
        <v>1</v>
      </c>
      <c r="BW93" s="456">
        <f>VLOOKUP($BF93,$C$9:$AT$98,I$1,FALSE)</f>
        <v>1</v>
      </c>
      <c r="BX93" s="459">
        <f>VLOOKUP($BF93,$C$9:$AT$98,O$1,FALSE)</f>
        <v>0</v>
      </c>
      <c r="BY93" s="311">
        <f t="shared" si="63"/>
        <v>1</v>
      </c>
      <c r="CD93" s="570">
        <f>IF(BU93=0,IF($CD$7=$CD$3,0,IF($CD$7=$CD$4,BY93/2,IF($CD$7=$CD$5,0,IF($CD$7=$CD$6,BY93,0)))),0)</f>
        <v>0</v>
      </c>
      <c r="CZ93" s="562">
        <f t="shared" si="64"/>
        <v>0</v>
      </c>
      <c r="DH93" s="562">
        <f t="shared" si="68"/>
        <v>0</v>
      </c>
      <c r="DM93" s="547" t="str">
        <f>BF93</f>
        <v>Tra 3 - Inn 1</v>
      </c>
      <c r="DN93" s="547">
        <f t="shared" si="65"/>
        <v>1</v>
      </c>
      <c r="DO93" s="547">
        <f>IF(SUM(BZ93:DL93)&gt;DN93,DN93,SUM(BZ93:DL93))</f>
        <v>0</v>
      </c>
      <c r="DP93" s="547">
        <f t="shared" si="66"/>
        <v>1</v>
      </c>
      <c r="DT93" s="547">
        <f t="shared" si="67"/>
        <v>1</v>
      </c>
      <c r="EE93" s="551" t="str">
        <f t="shared" si="61"/>
        <v>Tra 3 - Inn 1</v>
      </c>
      <c r="EG93" s="439">
        <f t="shared" si="93"/>
        <v>0</v>
      </c>
      <c r="EH93" s="440">
        <f t="shared" si="94"/>
        <v>0</v>
      </c>
      <c r="EI93" s="440">
        <f t="shared" si="95"/>
        <v>0</v>
      </c>
      <c r="EJ93" s="541">
        <f t="shared" si="96"/>
        <v>0</v>
      </c>
      <c r="EK93" s="541">
        <f t="shared" si="97"/>
        <v>0</v>
      </c>
      <c r="EL93" s="573">
        <f t="shared" si="62"/>
        <v>0</v>
      </c>
    </row>
    <row r="94" spans="1:142" ht="15.75" thickBot="1" x14ac:dyDescent="0.3">
      <c r="A94" s="984">
        <v>10</v>
      </c>
      <c r="B94" s="985">
        <v>6</v>
      </c>
      <c r="C94" s="851" t="s">
        <v>472</v>
      </c>
      <c r="D94" s="1003" t="s">
        <v>473</v>
      </c>
      <c r="E94" s="906">
        <v>1</v>
      </c>
      <c r="F94" s="897">
        <v>1</v>
      </c>
      <c r="G94" s="897">
        <v>0</v>
      </c>
      <c r="H94" s="897">
        <v>0</v>
      </c>
      <c r="I94" s="905">
        <v>1</v>
      </c>
      <c r="J94" s="904">
        <v>0</v>
      </c>
      <c r="K94" s="897">
        <v>1</v>
      </c>
      <c r="L94" s="897">
        <v>0</v>
      </c>
      <c r="M94" s="907">
        <v>0</v>
      </c>
      <c r="N94" s="906"/>
      <c r="O94" s="907"/>
      <c r="P94" s="904">
        <v>0</v>
      </c>
      <c r="Q94" s="904">
        <v>0</v>
      </c>
      <c r="R94" s="904">
        <v>0</v>
      </c>
      <c r="S94" s="904">
        <v>0</v>
      </c>
      <c r="T94" s="904">
        <v>0</v>
      </c>
      <c r="U94" s="904">
        <f t="shared" si="59"/>
        <v>0</v>
      </c>
      <c r="V94" s="904"/>
      <c r="W94" s="904"/>
      <c r="X94" s="904"/>
      <c r="Y94" s="906"/>
      <c r="Z94" s="904"/>
      <c r="AA94" s="906"/>
      <c r="AB94" s="904"/>
      <c r="AC94" s="897"/>
      <c r="AD94" s="897"/>
      <c r="AE94" s="897"/>
      <c r="AF94" s="897"/>
      <c r="AG94" s="897"/>
      <c r="AH94" s="897"/>
      <c r="AI94" s="897"/>
      <c r="AJ94" s="897"/>
      <c r="AK94" s="907"/>
      <c r="AL94" s="390">
        <f t="shared" si="60"/>
        <v>0</v>
      </c>
      <c r="AM94" s="913"/>
      <c r="AN94" s="914"/>
      <c r="AO94" s="915"/>
      <c r="AP94" s="916"/>
      <c r="AQ94" s="930"/>
      <c r="AR94" s="928"/>
      <c r="AS94" s="932"/>
      <c r="AT94" s="933"/>
      <c r="AU94" s="938"/>
      <c r="AV94" s="1016"/>
      <c r="AW94" s="1021"/>
      <c r="AX94" s="1021"/>
      <c r="AY94" s="1021"/>
      <c r="AZ94" s="1017"/>
      <c r="BA94" s="1025"/>
      <c r="BE94" s="545">
        <v>88</v>
      </c>
      <c r="BF94" s="551" t="s">
        <v>599</v>
      </c>
      <c r="BG94" s="276">
        <f>VLOOKUP($BF94,$C$9:$AT$98,AL$1,FALSE)</f>
        <v>1</v>
      </c>
      <c r="BH94" s="282">
        <f>IF(VLOOKUP($BF94,$C$9:$AT$98,AN$1,FALSE)&gt;BG94,BG94,(VLOOKUP($BF94,$C$9:$AT$98,AN$1,FALSE)))</f>
        <v>0</v>
      </c>
      <c r="BI94" s="565">
        <f>IF(VLOOKUP($BF94,$C$9:$AT$98,AP$1,FALSE)&gt;BG94,BG94,VLOOKUP($BF94,$C$9:$AT$98,AP$1,FALSE))</f>
        <v>0</v>
      </c>
      <c r="BJ94" s="566">
        <f>IF(VLOOKUP($BF94,$C$9:$AT$98,AS$1,FALSE)&gt;BG94,BG94,VLOOKUP($BF94,$C$9:$AT$98,AS$1,FALSE))</f>
        <v>0</v>
      </c>
      <c r="BQ94" s="299">
        <f t="shared" si="92"/>
        <v>1</v>
      </c>
      <c r="BR94" s="300">
        <f t="shared" si="92"/>
        <v>1</v>
      </c>
      <c r="BS94" s="300">
        <f t="shared" si="92"/>
        <v>1</v>
      </c>
      <c r="BT94" s="301">
        <f t="shared" si="92"/>
        <v>1</v>
      </c>
      <c r="BU94" s="303">
        <f>VLOOKUP($BF94,$C$9:$AT$98,E$1,FALSE)</f>
        <v>1</v>
      </c>
      <c r="BV94" s="257">
        <f>VLOOKUP($BF94,$C$9:$AT$98,G$1,FALSE)</f>
        <v>1</v>
      </c>
      <c r="BW94" s="456">
        <f>VLOOKUP($BF94,$C$9:$AT$98,I$1,FALSE)</f>
        <v>1</v>
      </c>
      <c r="BX94" s="459">
        <f>VLOOKUP($BF94,$C$9:$AT$98,O$1,FALSE)</f>
        <v>0</v>
      </c>
      <c r="BY94" s="311">
        <f t="shared" si="63"/>
        <v>1</v>
      </c>
      <c r="CD94" s="570">
        <f>IF(BU94=0,IF($CD$7=$CD$3,0,IF($CD$7=$CD$4,BY94/2,IF($CD$7=$CD$5,0,IF($CD$7=$CD$6,BY94,0)))),0)</f>
        <v>0</v>
      </c>
      <c r="CZ94" s="562">
        <f t="shared" si="64"/>
        <v>0</v>
      </c>
      <c r="DH94" s="562">
        <f t="shared" si="68"/>
        <v>0</v>
      </c>
      <c r="DM94" s="547" t="str">
        <f>BF94</f>
        <v>Wat 2 - Inn 1</v>
      </c>
      <c r="DN94" s="547">
        <f t="shared" si="65"/>
        <v>1</v>
      </c>
      <c r="DO94" s="547">
        <f t="shared" ref="DO94:DO98" si="98">IF(SUM(BZ94:DL94)&gt;DN94,DN94,SUM(BZ94:DL94))</f>
        <v>0</v>
      </c>
      <c r="DP94" s="547">
        <f t="shared" si="66"/>
        <v>1</v>
      </c>
      <c r="DT94" s="547">
        <f t="shared" si="67"/>
        <v>1</v>
      </c>
      <c r="EE94" s="551" t="str">
        <f t="shared" si="61"/>
        <v>Wat 2 - Inn 1</v>
      </c>
      <c r="EG94" s="439">
        <f t="shared" si="93"/>
        <v>0</v>
      </c>
      <c r="EH94" s="440">
        <f t="shared" si="94"/>
        <v>0</v>
      </c>
      <c r="EI94" s="440">
        <f t="shared" si="95"/>
        <v>0</v>
      </c>
      <c r="EJ94" s="541">
        <f t="shared" si="96"/>
        <v>0</v>
      </c>
      <c r="EK94" s="541">
        <f t="shared" si="97"/>
        <v>0</v>
      </c>
      <c r="EL94" s="573">
        <f t="shared" si="62"/>
        <v>0</v>
      </c>
    </row>
    <row r="95" spans="1:142" s="604" customFormat="1" ht="15" customHeight="1" x14ac:dyDescent="0.25">
      <c r="A95" s="734"/>
      <c r="B95" s="734"/>
      <c r="C95" s="734"/>
      <c r="D95" s="735"/>
      <c r="E95" s="736"/>
      <c r="F95" s="737"/>
      <c r="G95" s="737"/>
      <c r="H95" s="737"/>
      <c r="I95" s="738"/>
      <c r="J95" s="734"/>
      <c r="K95" s="737"/>
      <c r="L95" s="737"/>
      <c r="M95" s="735"/>
      <c r="N95" s="736"/>
      <c r="O95" s="735"/>
      <c r="P95" s="734"/>
      <c r="Q95" s="734"/>
      <c r="R95" s="734"/>
      <c r="S95" s="734"/>
      <c r="T95" s="734"/>
      <c r="U95" s="734"/>
      <c r="V95" s="734"/>
      <c r="W95" s="734"/>
      <c r="X95" s="734"/>
      <c r="Y95" s="736"/>
      <c r="Z95" s="734"/>
      <c r="AA95" s="736"/>
      <c r="AB95" s="734"/>
      <c r="AC95" s="737"/>
      <c r="AD95" s="737"/>
      <c r="AE95" s="737"/>
      <c r="AF95" s="737"/>
      <c r="AG95" s="737"/>
      <c r="AH95" s="737"/>
      <c r="AI95" s="737"/>
      <c r="AJ95" s="737"/>
      <c r="AK95" s="735"/>
      <c r="AL95" s="739"/>
      <c r="AM95" s="740"/>
      <c r="AN95" s="741"/>
      <c r="AO95" s="742"/>
      <c r="AP95" s="743"/>
      <c r="AQ95" s="744"/>
      <c r="AR95" s="849"/>
      <c r="AS95" s="853"/>
      <c r="AT95" s="854"/>
      <c r="AU95" s="855"/>
      <c r="AW95" s="1010"/>
      <c r="AX95" s="1010"/>
      <c r="AY95" s="1010"/>
      <c r="AZ95" s="1010"/>
      <c r="BA95" s="1010"/>
      <c r="BB95" s="1010"/>
      <c r="BE95" s="747">
        <v>89</v>
      </c>
      <c r="BF95" s="748"/>
      <c r="BG95" s="749"/>
      <c r="BH95" s="750"/>
      <c r="BI95" s="751"/>
      <c r="BJ95" s="752"/>
      <c r="BQ95" s="753"/>
      <c r="BR95" s="754"/>
      <c r="BS95" s="754"/>
      <c r="BT95" s="755"/>
      <c r="BU95" s="756"/>
      <c r="BV95" s="754"/>
      <c r="BW95" s="757"/>
      <c r="BX95" s="758"/>
      <c r="BY95" s="759"/>
      <c r="CD95" s="760"/>
      <c r="CZ95" s="761">
        <f t="shared" si="64"/>
        <v>0</v>
      </c>
      <c r="DH95" s="761">
        <f t="shared" si="68"/>
        <v>0</v>
      </c>
      <c r="DM95" s="762"/>
      <c r="DN95" s="762"/>
      <c r="DO95" s="762">
        <f t="shared" si="98"/>
        <v>0</v>
      </c>
      <c r="DP95" s="762"/>
      <c r="DT95" s="762">
        <f t="shared" si="67"/>
        <v>0</v>
      </c>
      <c r="EE95" s="604">
        <f t="shared" si="61"/>
        <v>0</v>
      </c>
      <c r="EG95" s="439"/>
      <c r="EH95" s="440"/>
      <c r="EI95" s="440"/>
      <c r="EL95" s="573">
        <f t="shared" si="62"/>
        <v>0</v>
      </c>
    </row>
    <row r="96" spans="1:142" s="604" customFormat="1" ht="15.75" customHeight="1" thickBot="1" x14ac:dyDescent="0.3">
      <c r="A96" s="734"/>
      <c r="B96" s="734"/>
      <c r="C96" s="734"/>
      <c r="D96" s="735"/>
      <c r="E96" s="736"/>
      <c r="F96" s="737"/>
      <c r="G96" s="737"/>
      <c r="H96" s="737"/>
      <c r="I96" s="738"/>
      <c r="J96" s="734"/>
      <c r="K96" s="737"/>
      <c r="L96" s="737"/>
      <c r="M96" s="735"/>
      <c r="N96" s="736"/>
      <c r="O96" s="735"/>
      <c r="P96" s="734"/>
      <c r="Q96" s="734"/>
      <c r="R96" s="734"/>
      <c r="S96" s="734"/>
      <c r="T96" s="734"/>
      <c r="U96" s="734"/>
      <c r="V96" s="734"/>
      <c r="W96" s="734"/>
      <c r="X96" s="734"/>
      <c r="Y96" s="736"/>
      <c r="Z96" s="734"/>
      <c r="AA96" s="736"/>
      <c r="AB96" s="734"/>
      <c r="AC96" s="737"/>
      <c r="AD96" s="737"/>
      <c r="AE96" s="737"/>
      <c r="AF96" s="737"/>
      <c r="AG96" s="737"/>
      <c r="AH96" s="737"/>
      <c r="AI96" s="737"/>
      <c r="AJ96" s="737"/>
      <c r="AK96" s="735"/>
      <c r="AL96" s="739"/>
      <c r="AM96" s="740"/>
      <c r="AN96" s="741"/>
      <c r="AO96" s="742"/>
      <c r="AP96" s="743"/>
      <c r="AQ96" s="744"/>
      <c r="AR96" s="849"/>
      <c r="AS96" s="745"/>
      <c r="AT96" s="746"/>
      <c r="AU96" s="856"/>
      <c r="AW96" s="1010"/>
      <c r="AX96" s="1010"/>
      <c r="AY96" s="1010"/>
      <c r="AZ96" s="1010"/>
      <c r="BA96" s="1010"/>
      <c r="BB96" s="1010"/>
      <c r="BE96" s="747">
        <v>90</v>
      </c>
      <c r="BF96" s="748" t="s">
        <v>600</v>
      </c>
      <c r="BG96" s="749">
        <f>VLOOKUP($BF96,$C$9:$AT$98,AL$1,FALSE)</f>
        <v>1</v>
      </c>
      <c r="BH96" s="750">
        <f>IF(VLOOKUP($BF96,$C$9:$AT$98,AN$1,FALSE)&gt;BG96,BG96,(VLOOKUP($BF96,$C$9:$AT$98,AN$1,FALSE)))</f>
        <v>0</v>
      </c>
      <c r="BI96" s="751">
        <f>IF(VLOOKUP($BF96,$C$9:$AT$98,AP$1,FALSE)&gt;BG96,BG96,VLOOKUP($BF96,$C$9:$AT$98,AP$1,FALSE))</f>
        <v>0</v>
      </c>
      <c r="BJ96" s="752">
        <f>IF(VLOOKUP($BF96,$C$9:$AT$98,AS$1,FALSE)&gt;BG96,BG96,VLOOKUP($BF96,$C$9:$AT$98,AS$1,FALSE))</f>
        <v>0</v>
      </c>
      <c r="BQ96" s="753">
        <f t="shared" ref="BQ96:BT98" si="99">VLOOKUP($BF96,$C$9:$AT$98,J$1,FALSE)</f>
        <v>1</v>
      </c>
      <c r="BR96" s="754">
        <f t="shared" si="99"/>
        <v>1</v>
      </c>
      <c r="BS96" s="754">
        <f t="shared" si="99"/>
        <v>1</v>
      </c>
      <c r="BT96" s="755">
        <f t="shared" si="99"/>
        <v>1</v>
      </c>
      <c r="BU96" s="756">
        <f>VLOOKUP($BF96,$C$9:$AT$98,E$1,FALSE)</f>
        <v>1</v>
      </c>
      <c r="BV96" s="754">
        <f>VLOOKUP($BF96,$C$9:$AT$98,G$1,FALSE)</f>
        <v>1</v>
      </c>
      <c r="BW96" s="757">
        <f>VLOOKUP($BF96,$C$9:$AT$98,I$1,FALSE)</f>
        <v>1</v>
      </c>
      <c r="BX96" s="758">
        <f>VLOOKUP($BF96,$C$9:$AT$98,O$1,FALSE)</f>
        <v>0</v>
      </c>
      <c r="BY96" s="759">
        <f t="shared" si="63"/>
        <v>1</v>
      </c>
      <c r="CD96" s="760">
        <f>IF(BU96=0,IF($CD$7=$CD$3,0,IF($CD$7=$CD$4,BY96/2,IF($CD$7=$CD$5,0,IF($CD$7=$CD$6,BY96,0)))),0)</f>
        <v>0</v>
      </c>
      <c r="CZ96" s="761">
        <f t="shared" si="64"/>
        <v>0</v>
      </c>
      <c r="DH96" s="761">
        <f t="shared" si="68"/>
        <v>0</v>
      </c>
      <c r="DM96" s="762" t="str">
        <f>BF96</f>
        <v>Mat 5 - Inn 1</v>
      </c>
      <c r="DN96" s="762">
        <f t="shared" si="65"/>
        <v>1</v>
      </c>
      <c r="DO96" s="762">
        <f t="shared" si="98"/>
        <v>0</v>
      </c>
      <c r="DP96" s="762">
        <f t="shared" si="66"/>
        <v>1</v>
      </c>
      <c r="DQ96" s="1232" t="s">
        <v>476</v>
      </c>
      <c r="DR96" s="1241"/>
      <c r="DS96" s="1241"/>
      <c r="DT96" s="762">
        <f t="shared" si="67"/>
        <v>1</v>
      </c>
      <c r="EE96" s="604" t="str">
        <f t="shared" si="61"/>
        <v>Mat 5 - Inn 1</v>
      </c>
      <c r="EG96" s="439">
        <f t="shared" si="93"/>
        <v>0</v>
      </c>
      <c r="EH96" s="440">
        <f t="shared" si="94"/>
        <v>0</v>
      </c>
      <c r="EI96" s="440">
        <f t="shared" si="95"/>
        <v>0</v>
      </c>
      <c r="EJ96" s="604">
        <f t="shared" si="96"/>
        <v>0</v>
      </c>
      <c r="EK96" s="604">
        <f t="shared" si="97"/>
        <v>0</v>
      </c>
      <c r="EL96" s="573">
        <f t="shared" si="62"/>
        <v>0</v>
      </c>
    </row>
    <row r="97" spans="1:145" s="604" customFormat="1" ht="60" customHeight="1" x14ac:dyDescent="0.25">
      <c r="A97" s="734"/>
      <c r="B97" s="734"/>
      <c r="C97" s="734"/>
      <c r="D97" s="735"/>
      <c r="E97" s="736"/>
      <c r="F97" s="737"/>
      <c r="G97" s="737"/>
      <c r="H97" s="737"/>
      <c r="I97" s="738"/>
      <c r="J97" s="734"/>
      <c r="K97" s="737"/>
      <c r="L97" s="737"/>
      <c r="M97" s="735"/>
      <c r="N97" s="736"/>
      <c r="O97" s="735"/>
      <c r="P97" s="734"/>
      <c r="Q97" s="734"/>
      <c r="R97" s="734"/>
      <c r="S97" s="734"/>
      <c r="T97" s="734"/>
      <c r="U97" s="734"/>
      <c r="V97" s="734"/>
      <c r="W97" s="734"/>
      <c r="X97" s="734"/>
      <c r="Y97" s="736"/>
      <c r="Z97" s="734"/>
      <c r="AA97" s="736"/>
      <c r="AB97" s="734"/>
      <c r="AC97" s="737"/>
      <c r="AD97" s="737"/>
      <c r="AE97" s="737"/>
      <c r="AF97" s="737"/>
      <c r="AG97" s="737"/>
      <c r="AH97" s="737"/>
      <c r="AI97" s="737"/>
      <c r="AJ97" s="737"/>
      <c r="AK97" s="735"/>
      <c r="AL97" s="739"/>
      <c r="AM97" s="740"/>
      <c r="AN97" s="741"/>
      <c r="AO97" s="742"/>
      <c r="AP97" s="743"/>
      <c r="AQ97" s="744"/>
      <c r="AR97" s="849"/>
      <c r="AS97" s="745"/>
      <c r="AT97" s="746"/>
      <c r="AU97" s="856"/>
      <c r="AW97" s="1010"/>
      <c r="AX97" s="1010"/>
      <c r="AY97" s="1010"/>
      <c r="AZ97" s="1010"/>
      <c r="BA97" s="1010"/>
      <c r="BB97" s="1010"/>
      <c r="BE97" s="747">
        <v>91</v>
      </c>
      <c r="BF97" s="748" t="s">
        <v>601</v>
      </c>
      <c r="BG97" s="749">
        <f>VLOOKUP($BF97,$C$9:$AT$98,AL$1,FALSE)</f>
        <v>1</v>
      </c>
      <c r="BH97" s="750">
        <f>IF(VLOOKUP($BF97,$C$9:$AT$98,AN$1,FALSE)&gt;BG97,BG97,(VLOOKUP($BF97,$C$9:$AT$98,AN$1,FALSE)))</f>
        <v>0</v>
      </c>
      <c r="BI97" s="751">
        <f>IF(VLOOKUP($BF97,$C$9:$AT$98,AP$1,FALSE)&gt;BG97,BG97,VLOOKUP($BF97,$C$9:$AT$98,AP$1,FALSE))</f>
        <v>0</v>
      </c>
      <c r="BJ97" s="752">
        <f>IF(VLOOKUP($BF97,$C$9:$AT$98,AS$1,FALSE)&gt;BG97,BG97,VLOOKUP($BF97,$C$9:$AT$98,AS$1,FALSE))</f>
        <v>0</v>
      </c>
      <c r="BK97" s="1232" t="s">
        <v>476</v>
      </c>
      <c r="BL97" s="1233"/>
      <c r="BM97" s="1233"/>
      <c r="BN97" s="1233"/>
      <c r="BQ97" s="753">
        <f t="shared" si="99"/>
        <v>1</v>
      </c>
      <c r="BR97" s="754">
        <f t="shared" si="99"/>
        <v>1</v>
      </c>
      <c r="BS97" s="754">
        <f t="shared" si="99"/>
        <v>1</v>
      </c>
      <c r="BT97" s="755">
        <f t="shared" si="99"/>
        <v>1</v>
      </c>
      <c r="BU97" s="756">
        <f>VLOOKUP($BF97,$C$9:$AT$98,E$1,FALSE)</f>
        <v>1</v>
      </c>
      <c r="BV97" s="754">
        <f>VLOOKUP($BF97,$C$9:$AT$98,G$1,FALSE)</f>
        <v>1</v>
      </c>
      <c r="BW97" s="757">
        <f>VLOOKUP($BF97,$C$9:$AT$98,I$1,FALSE)</f>
        <v>1</v>
      </c>
      <c r="BX97" s="758">
        <f>VLOOKUP($BF97,$C$9:$AT$98,O$1,FALSE)</f>
        <v>0</v>
      </c>
      <c r="BY97" s="759">
        <f t="shared" si="63"/>
        <v>1</v>
      </c>
      <c r="CD97" s="760">
        <f>IF(BU97=0,IF($CD$7=$CD$3,0,IF($CD$7=$CD$4,BY97/2,IF($CD$7=$CD$5,0,IF($CD$7=$CD$6,BY97,0)))),0)</f>
        <v>0</v>
      </c>
      <c r="CZ97" s="761">
        <f t="shared" si="64"/>
        <v>0</v>
      </c>
      <c r="DH97" s="761">
        <f t="shared" si="68"/>
        <v>0</v>
      </c>
      <c r="DM97" s="762" t="str">
        <f>BF97</f>
        <v>Wst 1 - Inn 1</v>
      </c>
      <c r="DN97" s="762">
        <f t="shared" si="65"/>
        <v>1</v>
      </c>
      <c r="DO97" s="762">
        <f t="shared" si="98"/>
        <v>0</v>
      </c>
      <c r="DP97" s="762">
        <f t="shared" si="66"/>
        <v>1</v>
      </c>
      <c r="DQ97" s="763" t="s">
        <v>664</v>
      </c>
      <c r="DR97" s="764" t="s">
        <v>665</v>
      </c>
      <c r="DS97" s="765" t="s">
        <v>710</v>
      </c>
      <c r="DT97" s="762">
        <f t="shared" si="67"/>
        <v>1</v>
      </c>
      <c r="EE97" s="604" t="str">
        <f t="shared" si="61"/>
        <v>Wst 1 - Inn 1</v>
      </c>
      <c r="EG97" s="439">
        <f t="shared" si="93"/>
        <v>0</v>
      </c>
      <c r="EH97" s="440">
        <f t="shared" si="94"/>
        <v>0</v>
      </c>
      <c r="EI97" s="440">
        <f t="shared" si="95"/>
        <v>0</v>
      </c>
      <c r="EJ97" s="604">
        <f t="shared" si="96"/>
        <v>0</v>
      </c>
      <c r="EK97" s="604">
        <f t="shared" si="97"/>
        <v>0</v>
      </c>
      <c r="EL97" s="573">
        <f t="shared" si="62"/>
        <v>0</v>
      </c>
    </row>
    <row r="98" spans="1:145" s="604" customFormat="1" ht="15.75" customHeight="1" thickBot="1" x14ac:dyDescent="0.3">
      <c r="A98" s="766"/>
      <c r="B98" s="766"/>
      <c r="C98" s="766"/>
      <c r="D98" s="767"/>
      <c r="E98" s="736"/>
      <c r="F98" s="737"/>
      <c r="G98" s="737"/>
      <c r="H98" s="737"/>
      <c r="I98" s="738"/>
      <c r="J98" s="766"/>
      <c r="K98" s="768"/>
      <c r="L98" s="768"/>
      <c r="M98" s="767"/>
      <c r="N98" s="736"/>
      <c r="O98" s="735"/>
      <c r="P98" s="734"/>
      <c r="Q98" s="734"/>
      <c r="R98" s="734"/>
      <c r="S98" s="734"/>
      <c r="T98" s="734"/>
      <c r="U98" s="734"/>
      <c r="V98" s="734"/>
      <c r="W98" s="734"/>
      <c r="X98" s="734"/>
      <c r="Y98" s="736"/>
      <c r="Z98" s="734"/>
      <c r="AA98" s="736"/>
      <c r="AB98" s="734"/>
      <c r="AC98" s="737"/>
      <c r="AD98" s="737"/>
      <c r="AE98" s="737"/>
      <c r="AF98" s="737"/>
      <c r="AG98" s="737"/>
      <c r="AH98" s="737"/>
      <c r="AI98" s="737"/>
      <c r="AJ98" s="737"/>
      <c r="AK98" s="735"/>
      <c r="AL98" s="739"/>
      <c r="AM98" s="740"/>
      <c r="AN98" s="741"/>
      <c r="AO98" s="742"/>
      <c r="AP98" s="743"/>
      <c r="AQ98" s="744"/>
      <c r="AR98" s="849"/>
      <c r="AS98" s="745"/>
      <c r="AT98" s="746"/>
      <c r="AU98" s="856"/>
      <c r="AW98" s="1010"/>
      <c r="AX98" s="1010"/>
      <c r="AY98" s="1010"/>
      <c r="AZ98" s="1010"/>
      <c r="BA98" s="1010"/>
      <c r="BB98" s="1010"/>
      <c r="BE98" s="769">
        <v>92</v>
      </c>
      <c r="BF98" s="770" t="s">
        <v>602</v>
      </c>
      <c r="BG98" s="771">
        <f>VLOOKUP($BF98,$C$9:$AT$98,AL$1,FALSE)</f>
        <v>1</v>
      </c>
      <c r="BH98" s="750">
        <f>IF(VLOOKUP($BF98,$C$9:$AT$98,AN$1,FALSE)&gt;BG98,BG98,(VLOOKUP($BF98,$C$9:$AT$98,AN$1,FALSE)))</f>
        <v>0</v>
      </c>
      <c r="BI98" s="751">
        <f>IF(VLOOKUP($BF98,$C$9:$AT$98,AP$1,FALSE)&gt;BG98,BG98,VLOOKUP($BF98,$C$9:$AT$98,AP$1,FALSE))</f>
        <v>0</v>
      </c>
      <c r="BJ98" s="752">
        <f>IF(VLOOKUP($BF98,$C$9:$AT$98,AS$1,FALSE)&gt;BG98,BG98,VLOOKUP($BF98,$C$9:$AT$98,AS$1,FALSE))</f>
        <v>0</v>
      </c>
      <c r="BK98" s="772">
        <f>IF(SUM(BG87:BG98)&gt;10,10,SUM(BG87:BG98))</f>
        <v>10</v>
      </c>
      <c r="BL98" s="772">
        <f>IF(SUM(BH87:BH98)&gt;10,10,SUM(BH87:BH98))</f>
        <v>0</v>
      </c>
      <c r="BM98" s="772">
        <f>IF(SUM(BI87:BI98)&gt;10,10,SUM(BI87:BI98))</f>
        <v>0</v>
      </c>
      <c r="BN98" s="772">
        <f>IF(SUM(BJ87:BJ98)&gt;10,10,SUM(BJ87:BJ98))</f>
        <v>0</v>
      </c>
      <c r="BQ98" s="773">
        <f t="shared" si="99"/>
        <v>1</v>
      </c>
      <c r="BR98" s="774">
        <f t="shared" si="99"/>
        <v>1</v>
      </c>
      <c r="BS98" s="774">
        <f t="shared" si="99"/>
        <v>1</v>
      </c>
      <c r="BT98" s="775">
        <f t="shared" si="99"/>
        <v>1</v>
      </c>
      <c r="BU98" s="756">
        <f>VLOOKUP($BF98,$C$9:$AT$98,E$1,FALSE)</f>
        <v>1</v>
      </c>
      <c r="BV98" s="754">
        <f>VLOOKUP($BF98,$C$9:$AT$98,G$1,FALSE)</f>
        <v>1</v>
      </c>
      <c r="BW98" s="757">
        <f>VLOOKUP($BF98,$C$9:$AT$98,I$1,FALSE)</f>
        <v>1</v>
      </c>
      <c r="BX98" s="776">
        <f>VLOOKUP($BF98,$C$9:$AT$98,O$1,FALSE)</f>
        <v>0</v>
      </c>
      <c r="BY98" s="777">
        <f t="shared" si="63"/>
        <v>1</v>
      </c>
      <c r="CD98" s="760">
        <f>IF(BU98=0,IF($CD$7=$CD$3,0,IF($CD$7=$CD$4,BY98/2,IF($CD$7=$CD$5,0,IF($CD$7=$CD$6,BY98,0)))),0)</f>
        <v>0</v>
      </c>
      <c r="CZ98" s="761">
        <f t="shared" si="64"/>
        <v>0</v>
      </c>
      <c r="DH98" s="761">
        <f t="shared" si="68"/>
        <v>0</v>
      </c>
      <c r="DM98" s="762" t="str">
        <f>BF98</f>
        <v>Pol 4 - Inn 1</v>
      </c>
      <c r="DN98" s="762">
        <f t="shared" si="65"/>
        <v>1</v>
      </c>
      <c r="DO98" s="762">
        <f t="shared" si="98"/>
        <v>0</v>
      </c>
      <c r="DP98" s="762">
        <f t="shared" si="66"/>
        <v>1</v>
      </c>
      <c r="DQ98" s="772">
        <f>IF(SUM(DN87:DN98)&gt;10,10,SUM(DN87:DN98))</f>
        <v>10</v>
      </c>
      <c r="DR98" s="772">
        <v>0</v>
      </c>
      <c r="DS98" s="772">
        <f>IF(SUM(DT87:DT98)&gt;10,10,SUM(DT87:DT98))</f>
        <v>10</v>
      </c>
      <c r="DT98" s="778">
        <f t="shared" si="67"/>
        <v>1</v>
      </c>
      <c r="EE98" s="604" t="str">
        <f t="shared" si="61"/>
        <v>Pol 4 - Inn 1</v>
      </c>
      <c r="EG98" s="439">
        <f t="shared" si="93"/>
        <v>0</v>
      </c>
      <c r="EH98" s="440">
        <f t="shared" si="94"/>
        <v>0</v>
      </c>
      <c r="EI98" s="440">
        <f t="shared" si="95"/>
        <v>0</v>
      </c>
      <c r="EJ98" s="604">
        <f t="shared" si="96"/>
        <v>0</v>
      </c>
      <c r="EK98" s="604">
        <f t="shared" si="97"/>
        <v>0</v>
      </c>
      <c r="EL98" s="573">
        <f t="shared" si="62"/>
        <v>0</v>
      </c>
    </row>
    <row r="99" spans="1:145" s="604" customFormat="1" ht="30.75" thickBot="1" x14ac:dyDescent="0.3">
      <c r="A99" s="881"/>
      <c r="B99" s="881"/>
      <c r="F99" s="779"/>
      <c r="H99" s="779"/>
      <c r="AL99" s="780"/>
      <c r="AN99" s="780"/>
      <c r="AP99" s="780"/>
      <c r="AR99" s="847"/>
      <c r="AS99" s="780"/>
      <c r="AU99" s="857"/>
      <c r="AW99" s="1010"/>
      <c r="AX99" s="1010"/>
      <c r="AY99" s="1010"/>
      <c r="AZ99" s="1010"/>
      <c r="BA99" s="1010"/>
      <c r="BB99" s="1010"/>
      <c r="BF99" s="781" t="s">
        <v>477</v>
      </c>
      <c r="BG99" s="782">
        <f>SUM(BG9:BG98)</f>
        <v>138</v>
      </c>
      <c r="BH99" s="782">
        <f>SUM(BH9:BH98)</f>
        <v>0</v>
      </c>
      <c r="BI99" s="782">
        <f t="shared" ref="BI99:BJ99" si="100">SUM(BI9:BI98)</f>
        <v>0</v>
      </c>
      <c r="BJ99" s="782">
        <f t="shared" si="100"/>
        <v>0</v>
      </c>
      <c r="BK99" s="782">
        <f>SUM(BK9:BK98)</f>
        <v>138</v>
      </c>
      <c r="BL99" s="782">
        <f>SUM(BL9:BL98)</f>
        <v>0</v>
      </c>
      <c r="BM99" s="782">
        <f>SUM(BM9:BM98)</f>
        <v>0</v>
      </c>
      <c r="BN99" s="783">
        <f>SUM(BN9:BN98)</f>
        <v>0</v>
      </c>
      <c r="DM99" s="784" t="str">
        <f>BF99</f>
        <v>Sum poeng</v>
      </c>
      <c r="DN99" s="785">
        <f>SUM(DN9:DN98)</f>
        <v>144</v>
      </c>
      <c r="DO99" s="785">
        <f t="shared" ref="DO99:DP99" si="101">SUM(DO9:DO98)</f>
        <v>6</v>
      </c>
      <c r="DP99" s="785">
        <f t="shared" si="101"/>
        <v>138</v>
      </c>
      <c r="DQ99" s="782">
        <f>SUM(DQ9:DQ98)</f>
        <v>144</v>
      </c>
      <c r="DR99" s="782">
        <f>SUM(DR9:DR98)</f>
        <v>6</v>
      </c>
      <c r="DS99" s="782">
        <f>SUM(DS9:DS98)</f>
        <v>138</v>
      </c>
      <c r="DT99" s="786">
        <f>SUM(DT9:DT98)</f>
        <v>138</v>
      </c>
      <c r="EG99" s="439"/>
      <c r="EH99" s="440"/>
      <c r="EI99" s="440"/>
      <c r="EL99" s="829">
        <f t="shared" si="62"/>
        <v>0</v>
      </c>
    </row>
    <row r="100" spans="1:145" s="604" customFormat="1" x14ac:dyDescent="0.25">
      <c r="A100" s="881"/>
      <c r="B100" s="881"/>
      <c r="F100" s="779"/>
      <c r="H100" s="779"/>
      <c r="AL100" s="780"/>
      <c r="AN100" s="780"/>
      <c r="AP100" s="780"/>
      <c r="AR100" s="847"/>
      <c r="AS100" s="780"/>
      <c r="AW100" s="1010"/>
      <c r="AX100" s="1010"/>
      <c r="AY100" s="1010"/>
      <c r="AZ100" s="1010"/>
      <c r="BA100" s="1010"/>
      <c r="BB100" s="1010"/>
      <c r="EG100" s="439"/>
      <c r="EH100" s="440"/>
      <c r="EI100" s="440"/>
    </row>
    <row r="101" spans="1:145" s="604" customFormat="1" x14ac:dyDescent="0.25">
      <c r="A101" s="881"/>
      <c r="B101" s="881"/>
      <c r="F101" s="779"/>
      <c r="H101" s="779"/>
      <c r="AL101" s="780"/>
      <c r="AN101" s="780"/>
      <c r="AP101" s="780"/>
      <c r="AR101" s="847"/>
      <c r="AS101" s="780"/>
      <c r="AW101" s="1010"/>
      <c r="AX101" s="1010"/>
      <c r="AY101" s="1010"/>
      <c r="AZ101" s="1010"/>
      <c r="BA101" s="1010"/>
      <c r="BB101" s="1010"/>
      <c r="BQ101" s="604">
        <f>SUM(BQ9:BQ98)</f>
        <v>141</v>
      </c>
      <c r="BR101" s="604">
        <f t="shared" ref="BR101:BT101" si="102">SUM(BR9:BR98)</f>
        <v>129</v>
      </c>
      <c r="BS101" s="604">
        <f t="shared" si="102"/>
        <v>135</v>
      </c>
      <c r="BT101" s="604">
        <f t="shared" si="102"/>
        <v>144</v>
      </c>
      <c r="EG101" s="439"/>
      <c r="EH101" s="440"/>
      <c r="EI101" s="440"/>
    </row>
    <row r="102" spans="1:145" s="604" customFormat="1" x14ac:dyDescent="0.25">
      <c r="A102" s="881"/>
      <c r="B102" s="881"/>
      <c r="F102" s="779"/>
      <c r="H102" s="779"/>
      <c r="AL102" s="780"/>
      <c r="AN102" s="780"/>
      <c r="AP102" s="780"/>
      <c r="AR102" s="847"/>
      <c r="AS102" s="780"/>
      <c r="AW102" s="1010"/>
      <c r="AX102" s="1010"/>
      <c r="AY102" s="1010"/>
      <c r="AZ102" s="1010"/>
      <c r="BA102" s="1010"/>
      <c r="BB102" s="1010"/>
      <c r="EG102" s="439"/>
      <c r="EH102" s="440"/>
      <c r="EI102" s="440"/>
    </row>
    <row r="103" spans="1:145" s="604" customFormat="1" x14ac:dyDescent="0.25">
      <c r="A103" s="881"/>
      <c r="B103" s="881"/>
      <c r="F103" s="779"/>
      <c r="H103" s="779"/>
      <c r="AL103" s="780"/>
      <c r="AN103" s="780"/>
      <c r="AP103" s="780"/>
      <c r="AR103" s="847"/>
      <c r="AS103" s="780"/>
      <c r="AW103" s="1010"/>
      <c r="AX103" s="1010"/>
      <c r="AY103" s="1010"/>
      <c r="AZ103" s="1010"/>
      <c r="BA103" s="1010"/>
      <c r="BB103" s="1010"/>
      <c r="EG103" s="439"/>
      <c r="EH103" s="440"/>
      <c r="EI103" s="440"/>
    </row>
    <row r="104" spans="1:145" s="604" customFormat="1" x14ac:dyDescent="0.25">
      <c r="A104" s="881"/>
      <c r="B104" s="881"/>
      <c r="F104" s="779"/>
      <c r="H104" s="779"/>
      <c r="AL104" s="780"/>
      <c r="AN104" s="780"/>
      <c r="AP104" s="780"/>
      <c r="AR104" s="847"/>
      <c r="AS104" s="780"/>
      <c r="AW104" s="1010"/>
      <c r="AX104" s="1010"/>
      <c r="AY104" s="1010"/>
      <c r="AZ104" s="1010"/>
      <c r="BA104" s="1010"/>
      <c r="BB104" s="1010"/>
      <c r="EG104" s="439"/>
      <c r="EH104" s="440"/>
      <c r="EI104" s="440"/>
    </row>
    <row r="105" spans="1:145" s="604" customFormat="1" x14ac:dyDescent="0.25">
      <c r="A105" s="881"/>
      <c r="B105" s="881"/>
      <c r="F105" s="779"/>
      <c r="H105" s="779"/>
      <c r="AL105" s="780"/>
      <c r="AN105" s="780"/>
      <c r="AP105" s="780"/>
      <c r="AR105" s="847"/>
      <c r="AS105" s="780"/>
      <c r="AW105" s="1010"/>
      <c r="AX105" s="1010"/>
      <c r="AY105" s="1010"/>
      <c r="AZ105" s="1010"/>
      <c r="BA105" s="1010"/>
      <c r="BB105" s="1010"/>
      <c r="EG105" s="439"/>
      <c r="EH105" s="440"/>
      <c r="EI105" s="440"/>
    </row>
    <row r="106" spans="1:145" s="604" customFormat="1" x14ac:dyDescent="0.25">
      <c r="A106" s="881"/>
      <c r="B106" s="881"/>
      <c r="F106" s="779"/>
      <c r="H106" s="779"/>
      <c r="AL106" s="780"/>
      <c r="AN106" s="780"/>
      <c r="AP106" s="780"/>
      <c r="AR106" s="847"/>
      <c r="AS106" s="780"/>
      <c r="AW106" s="1010"/>
      <c r="AX106" s="1010"/>
      <c r="AY106" s="1010"/>
      <c r="AZ106" s="1010"/>
      <c r="BA106" s="1010"/>
      <c r="BB106" s="1010"/>
      <c r="EG106" s="439"/>
      <c r="EH106" s="440"/>
      <c r="EI106" s="440"/>
    </row>
    <row r="107" spans="1:145" s="604" customFormat="1" x14ac:dyDescent="0.25">
      <c r="A107" s="881"/>
      <c r="B107" s="881"/>
      <c r="F107" s="779"/>
      <c r="H107" s="779"/>
      <c r="AL107" s="780"/>
      <c r="AN107" s="780"/>
      <c r="AP107" s="780"/>
      <c r="AR107" s="847"/>
      <c r="AS107" s="780"/>
      <c r="AW107" s="1010"/>
      <c r="AX107" s="1010"/>
      <c r="AY107" s="1010"/>
      <c r="AZ107" s="1010"/>
      <c r="BA107" s="1010"/>
      <c r="BB107" s="1010"/>
      <c r="BF107" s="604">
        <v>1</v>
      </c>
      <c r="BG107" s="604">
        <v>2</v>
      </c>
      <c r="BH107" s="604">
        <v>3</v>
      </c>
      <c r="BI107" s="604">
        <v>4</v>
      </c>
      <c r="BJ107" s="604">
        <v>5</v>
      </c>
      <c r="BK107" s="604">
        <v>6</v>
      </c>
      <c r="BL107" s="604">
        <v>7</v>
      </c>
      <c r="BM107" s="604">
        <v>8</v>
      </c>
      <c r="BN107" s="604">
        <v>9</v>
      </c>
      <c r="BO107" s="604">
        <v>10</v>
      </c>
      <c r="BP107" s="604">
        <v>11</v>
      </c>
      <c r="BQ107" s="604">
        <v>12</v>
      </c>
      <c r="BR107" s="604">
        <v>13</v>
      </c>
      <c r="BS107" s="604">
        <v>14</v>
      </c>
      <c r="BT107" s="604">
        <v>15</v>
      </c>
      <c r="BU107" s="604">
        <v>16</v>
      </c>
      <c r="BV107" s="604">
        <v>17</v>
      </c>
      <c r="BW107" s="604">
        <v>18</v>
      </c>
      <c r="BX107" s="604">
        <v>19</v>
      </c>
      <c r="BY107" s="604">
        <v>20</v>
      </c>
      <c r="BZ107" s="604">
        <v>21</v>
      </c>
      <c r="CA107" s="604">
        <v>22</v>
      </c>
      <c r="CB107" s="604">
        <v>23</v>
      </c>
      <c r="CC107" s="604">
        <v>24</v>
      </c>
      <c r="CD107" s="604">
        <v>25</v>
      </c>
      <c r="CE107" s="604">
        <v>26</v>
      </c>
      <c r="CF107" s="604">
        <v>27</v>
      </c>
      <c r="CG107" s="604">
        <v>28</v>
      </c>
      <c r="CH107" s="604">
        <v>29</v>
      </c>
      <c r="CI107" s="604">
        <v>30</v>
      </c>
      <c r="CJ107" s="604">
        <v>31</v>
      </c>
      <c r="CK107" s="604">
        <v>32</v>
      </c>
      <c r="CL107" s="604">
        <v>33</v>
      </c>
      <c r="CM107" s="604">
        <v>34</v>
      </c>
      <c r="CN107" s="604">
        <v>35</v>
      </c>
      <c r="CO107" s="604">
        <v>36</v>
      </c>
      <c r="CP107" s="604">
        <v>37</v>
      </c>
      <c r="CQ107" s="604">
        <v>38</v>
      </c>
      <c r="CR107" s="604">
        <v>39</v>
      </c>
      <c r="CS107" s="604">
        <v>40</v>
      </c>
      <c r="CT107" s="604">
        <v>41</v>
      </c>
      <c r="CU107" s="604">
        <v>42</v>
      </c>
      <c r="CV107" s="604">
        <v>43</v>
      </c>
      <c r="CW107" s="604">
        <v>44</v>
      </c>
      <c r="CX107" s="604">
        <v>45</v>
      </c>
      <c r="CY107" s="604">
        <v>46</v>
      </c>
      <c r="CZ107" s="604">
        <v>47</v>
      </c>
      <c r="DA107" s="604">
        <v>48</v>
      </c>
      <c r="DB107" s="604">
        <v>49</v>
      </c>
      <c r="DC107" s="604">
        <v>50</v>
      </c>
      <c r="DD107" s="604">
        <v>51</v>
      </c>
      <c r="DE107" s="604">
        <v>52</v>
      </c>
      <c r="DF107" s="604">
        <v>53</v>
      </c>
      <c r="DG107" s="604">
        <v>54</v>
      </c>
      <c r="DH107" s="604">
        <v>55</v>
      </c>
      <c r="DI107" s="604">
        <v>56</v>
      </c>
      <c r="DJ107" s="604">
        <v>57</v>
      </c>
      <c r="DK107" s="604">
        <v>58</v>
      </c>
      <c r="DL107" s="604">
        <v>59</v>
      </c>
      <c r="DM107" s="604">
        <v>60</v>
      </c>
      <c r="DN107" s="604">
        <v>61</v>
      </c>
      <c r="DO107" s="604">
        <v>62</v>
      </c>
      <c r="DP107" s="604">
        <v>63</v>
      </c>
      <c r="DQ107" s="604">
        <v>64</v>
      </c>
      <c r="DR107" s="604">
        <v>65</v>
      </c>
      <c r="DS107" s="604">
        <v>66</v>
      </c>
      <c r="DT107" s="604">
        <v>67</v>
      </c>
      <c r="DU107" s="604">
        <v>68</v>
      </c>
      <c r="DV107" s="604">
        <v>69</v>
      </c>
      <c r="DW107" s="604">
        <v>70</v>
      </c>
      <c r="DX107" s="604">
        <v>71</v>
      </c>
      <c r="DY107" s="604">
        <v>72</v>
      </c>
      <c r="DZ107" s="604">
        <v>73</v>
      </c>
      <c r="EA107" s="604">
        <v>74</v>
      </c>
      <c r="EE107" s="604">
        <v>1</v>
      </c>
      <c r="EF107" s="604">
        <v>2</v>
      </c>
      <c r="EG107" s="604">
        <v>3</v>
      </c>
      <c r="EH107" s="604">
        <v>4</v>
      </c>
      <c r="EI107" s="604">
        <v>5</v>
      </c>
      <c r="EJ107" s="604">
        <v>6</v>
      </c>
      <c r="EK107" s="604">
        <v>7</v>
      </c>
      <c r="EL107" s="604">
        <v>8</v>
      </c>
      <c r="EM107" s="787">
        <v>9</v>
      </c>
      <c r="EN107" s="787">
        <v>10</v>
      </c>
      <c r="EO107" s="787"/>
    </row>
    <row r="108" spans="1:145" s="604" customFormat="1" x14ac:dyDescent="0.25">
      <c r="A108" s="881"/>
      <c r="B108" s="881"/>
      <c r="F108" s="779"/>
      <c r="H108" s="779"/>
      <c r="AL108" s="780"/>
      <c r="AN108" s="780"/>
      <c r="AP108" s="780"/>
      <c r="AR108" s="847"/>
      <c r="AS108" s="780"/>
      <c r="AW108" s="1010"/>
      <c r="AX108" s="1010"/>
      <c r="AY108" s="1010"/>
      <c r="AZ108" s="1010"/>
      <c r="BA108" s="1010"/>
      <c r="BB108" s="1010"/>
      <c r="EG108" s="439"/>
      <c r="EH108" s="440"/>
      <c r="EI108" s="440"/>
    </row>
    <row r="109" spans="1:145" x14ac:dyDescent="0.25">
      <c r="EG109" s="439"/>
      <c r="EH109" s="440"/>
      <c r="EI109" s="440"/>
    </row>
    <row r="110" spans="1:145" x14ac:dyDescent="0.25">
      <c r="EG110" s="439"/>
      <c r="EH110" s="440"/>
      <c r="EI110" s="440"/>
    </row>
    <row r="111" spans="1:145" x14ac:dyDescent="0.25">
      <c r="EG111" s="439"/>
      <c r="EH111" s="440"/>
      <c r="EI111" s="440"/>
    </row>
  </sheetData>
  <sheetProtection algorithmName="SHA-512" hashValue="EWebkTfd5oriJD5vEVJ+8i3h9PBh79eWXhIOEiGcuuaU0WFq2NvDR5b0oHhLa7H9qi4r3kSuO5exCH4+IEUbBw==" saltValue="/Is/J68wG+EEvZYM3an8tQ==" spinCount="100000" sheet="1" objects="1" scenarios="1" formatCells="0" formatRows="0" selectLockedCells="1" sort="0" autoFilter="0"/>
  <protectedRanges>
    <protectedRange sqref="A8:AU99" name="Range1"/>
  </protectedRanges>
  <autoFilter ref="A8:BA8"/>
  <sortState ref="C1:M68">
    <sortCondition ref="C1"/>
  </sortState>
  <mergeCells count="29">
    <mergeCell ref="DQ20:DS20"/>
    <mergeCell ref="DQ96:DS96"/>
    <mergeCell ref="DQ84:DS84"/>
    <mergeCell ref="DQ78:DS78"/>
    <mergeCell ref="DQ70:DS70"/>
    <mergeCell ref="DQ62:DS62"/>
    <mergeCell ref="DQ54:DS54"/>
    <mergeCell ref="DQ48:DS48"/>
    <mergeCell ref="BK97:BN97"/>
    <mergeCell ref="BF7:BJ7"/>
    <mergeCell ref="BK55:BN55"/>
    <mergeCell ref="BK63:BN63"/>
    <mergeCell ref="BK71:BN71"/>
    <mergeCell ref="BK79:BN79"/>
    <mergeCell ref="BK85:BN85"/>
    <mergeCell ref="BK21:BN21"/>
    <mergeCell ref="BK36:BN36"/>
    <mergeCell ref="BK42:BN42"/>
    <mergeCell ref="BK49:BN49"/>
    <mergeCell ref="J7:M7"/>
    <mergeCell ref="X7:Y7"/>
    <mergeCell ref="Z7:AA7"/>
    <mergeCell ref="BQ7:BT7"/>
    <mergeCell ref="DN7:DP7"/>
    <mergeCell ref="DT2:DU2"/>
    <mergeCell ref="AN7:AO7"/>
    <mergeCell ref="P7:T7"/>
    <mergeCell ref="AP7:AR7"/>
    <mergeCell ref="AS7:AU7"/>
  </mergeCells>
  <conditionalFormatting sqref="X9:Y9">
    <cfRule type="expression" dxfId="59" priority="53">
      <formula>X9="x"</formula>
    </cfRule>
  </conditionalFormatting>
  <conditionalFormatting sqref="X9">
    <cfRule type="expression" dxfId="58" priority="52">
      <formula>Y9="x"</formula>
    </cfRule>
  </conditionalFormatting>
  <conditionalFormatting sqref="X11:Y98">
    <cfRule type="expression" dxfId="57" priority="51">
      <formula>X11="x"</formula>
    </cfRule>
  </conditionalFormatting>
  <conditionalFormatting sqref="X11:X98">
    <cfRule type="expression" dxfId="56" priority="50">
      <formula>Y11="x"</formula>
    </cfRule>
  </conditionalFormatting>
  <conditionalFormatting sqref="AA18">
    <cfRule type="expression" dxfId="55" priority="49">
      <formula>AA18="x"</formula>
    </cfRule>
  </conditionalFormatting>
  <conditionalFormatting sqref="Z18">
    <cfRule type="expression" dxfId="54" priority="48">
      <formula>AA18="x"</formula>
    </cfRule>
  </conditionalFormatting>
  <conditionalFormatting sqref="AA9 AA11:AA17">
    <cfRule type="expression" dxfId="53" priority="47">
      <formula>AA9="x"</formula>
    </cfRule>
  </conditionalFormatting>
  <conditionalFormatting sqref="Z9 Z11:Z17">
    <cfRule type="expression" dxfId="52" priority="46">
      <formula>AA9="x"</formula>
    </cfRule>
  </conditionalFormatting>
  <conditionalFormatting sqref="AA19:AA98">
    <cfRule type="expression" dxfId="51" priority="45">
      <formula>AA19="x"</formula>
    </cfRule>
  </conditionalFormatting>
  <conditionalFormatting sqref="Z19:Z98">
    <cfRule type="expression" dxfId="50" priority="44">
      <formula>AA19="x"</formula>
    </cfRule>
  </conditionalFormatting>
  <conditionalFormatting sqref="CT4:CT5">
    <cfRule type="expression" dxfId="49" priority="43">
      <formula>$F$22="x"</formula>
    </cfRule>
  </conditionalFormatting>
  <conditionalFormatting sqref="CT4:CT5">
    <cfRule type="expression" dxfId="48" priority="42">
      <formula>$F$26="nei"</formula>
    </cfRule>
  </conditionalFormatting>
  <conditionalFormatting sqref="CN3:CO3">
    <cfRule type="expression" dxfId="47" priority="40">
      <formula>$F$26="nei"</formula>
    </cfRule>
  </conditionalFormatting>
  <conditionalFormatting sqref="CN3:CO3">
    <cfRule type="expression" dxfId="46" priority="41">
      <formula>$F$22="x"</formula>
    </cfRule>
  </conditionalFormatting>
  <conditionalFormatting sqref="AN9:AT9 C25:AE25 AJ25:AK26 C9:AK24 C27:AK98 B27:B94">
    <cfRule type="expression" dxfId="45" priority="39">
      <formula>$AL9=0</formula>
    </cfRule>
  </conditionalFormatting>
  <conditionalFormatting sqref="AN10:AT98 AL9:AL98">
    <cfRule type="expression" dxfId="44" priority="38">
      <formula>$AL9=0</formula>
    </cfRule>
  </conditionalFormatting>
  <conditionalFormatting sqref="AC9 AC11:AC98">
    <cfRule type="expression" dxfId="43" priority="144">
      <formula>AND($AC$5="Ja",$E9=0,$AL9&gt;0)</formula>
    </cfRule>
  </conditionalFormatting>
  <conditionalFormatting sqref="C9">
    <cfRule type="expression" dxfId="42" priority="34">
      <formula>$AL9=0</formula>
    </cfRule>
  </conditionalFormatting>
  <conditionalFormatting sqref="D9:D94">
    <cfRule type="expression" dxfId="41" priority="33">
      <formula>$AL9=0</formula>
    </cfRule>
  </conditionalFormatting>
  <conditionalFormatting sqref="C26:AE26">
    <cfRule type="expression" dxfId="40" priority="32">
      <formula>$AL26=0</formula>
    </cfRule>
  </conditionalFormatting>
  <conditionalFormatting sqref="D10">
    <cfRule type="expression" dxfId="39" priority="31">
      <formula>$AL10=0</formula>
    </cfRule>
  </conditionalFormatting>
  <conditionalFormatting sqref="C11:C98">
    <cfRule type="expression" dxfId="38" priority="30">
      <formula>$AL11=0</formula>
    </cfRule>
  </conditionalFormatting>
  <conditionalFormatting sqref="D11:D98">
    <cfRule type="expression" dxfId="37" priority="29">
      <formula>$AL11=0</formula>
    </cfRule>
  </conditionalFormatting>
  <conditionalFormatting sqref="O10:AK10">
    <cfRule type="expression" dxfId="36" priority="28">
      <formula>$AL10=0</formula>
    </cfRule>
  </conditionalFormatting>
  <conditionalFormatting sqref="AU9:AU98">
    <cfRule type="expression" dxfId="35" priority="27">
      <formula>$AL9=0</formula>
    </cfRule>
  </conditionalFormatting>
  <conditionalFormatting sqref="C9:D9">
    <cfRule type="expression" dxfId="34" priority="26">
      <formula>$U9&gt;0</formula>
    </cfRule>
  </conditionalFormatting>
  <conditionalFormatting sqref="C10:D94">
    <cfRule type="expression" dxfId="33" priority="24">
      <formula>$U10&gt;0</formula>
    </cfRule>
  </conditionalFormatting>
  <conditionalFormatting sqref="C10:C94">
    <cfRule type="expression" dxfId="32" priority="25">
      <formula>$AL10=0</formula>
    </cfRule>
  </conditionalFormatting>
  <conditionalFormatting sqref="AF26:AH26">
    <cfRule type="expression" dxfId="31" priority="150">
      <formula>$AL25=0</formula>
    </cfRule>
  </conditionalFormatting>
  <conditionalFormatting sqref="AI25">
    <cfRule type="expression" dxfId="30" priority="23">
      <formula>$AL25=0</formula>
    </cfRule>
  </conditionalFormatting>
  <conditionalFormatting sqref="AI26">
    <cfRule type="expression" dxfId="29" priority="22">
      <formula>$AL26=0</formula>
    </cfRule>
  </conditionalFormatting>
  <conditionalFormatting sqref="AN9:AN98">
    <cfRule type="expression" dxfId="28" priority="21">
      <formula>$AN9&gt;$AL9</formula>
    </cfRule>
  </conditionalFormatting>
  <conditionalFormatting sqref="AP9:AP98">
    <cfRule type="expression" dxfId="27" priority="20">
      <formula>$AP9&gt;$AL9</formula>
    </cfRule>
  </conditionalFormatting>
  <conditionalFormatting sqref="AS9:AS98">
    <cfRule type="expression" dxfId="26" priority="19">
      <formula>$AS9&gt;$AL9</formula>
    </cfRule>
  </conditionalFormatting>
  <conditionalFormatting sqref="B9:B25">
    <cfRule type="expression" dxfId="25" priority="17">
      <formula>$AL9=0</formula>
    </cfRule>
  </conditionalFormatting>
  <conditionalFormatting sqref="B9">
    <cfRule type="expression" dxfId="24" priority="16">
      <formula>$AL9=0</formula>
    </cfRule>
  </conditionalFormatting>
  <conditionalFormatting sqref="B26">
    <cfRule type="expression" dxfId="23" priority="15">
      <formula>$AL26=0</formula>
    </cfRule>
  </conditionalFormatting>
  <conditionalFormatting sqref="B11:B94">
    <cfRule type="expression" dxfId="22" priority="14">
      <formula>$AL11=0</formula>
    </cfRule>
  </conditionalFormatting>
  <conditionalFormatting sqref="B9">
    <cfRule type="expression" dxfId="21" priority="13">
      <formula>$U9&gt;0</formula>
    </cfRule>
  </conditionalFormatting>
  <conditionalFormatting sqref="B10:B94">
    <cfRule type="expression" dxfId="20" priority="11">
      <formula>$U10&gt;0</formula>
    </cfRule>
  </conditionalFormatting>
  <conditionalFormatting sqref="B10:B94">
    <cfRule type="expression" dxfId="19" priority="12">
      <formula>$AL10=0</formula>
    </cfRule>
  </conditionalFormatting>
  <conditionalFormatting sqref="A27:A94">
    <cfRule type="expression" dxfId="18" priority="10">
      <formula>$AL27=0</formula>
    </cfRule>
  </conditionalFormatting>
  <conditionalFormatting sqref="A9:A25">
    <cfRule type="expression" dxfId="17" priority="9">
      <formula>$AL9=0</formula>
    </cfRule>
  </conditionalFormatting>
  <conditionalFormatting sqref="A9">
    <cfRule type="expression" dxfId="16" priority="8">
      <formula>$AL9=0</formula>
    </cfRule>
  </conditionalFormatting>
  <conditionalFormatting sqref="A26">
    <cfRule type="expression" dxfId="15" priority="7">
      <formula>$AL26=0</formula>
    </cfRule>
  </conditionalFormatting>
  <conditionalFormatting sqref="A11:A94">
    <cfRule type="expression" dxfId="14" priority="6">
      <formula>$AL11=0</formula>
    </cfRule>
  </conditionalFormatting>
  <conditionalFormatting sqref="A9">
    <cfRule type="expression" dxfId="13" priority="5">
      <formula>$U9&gt;0</formula>
    </cfRule>
  </conditionalFormatting>
  <conditionalFormatting sqref="A10:A94">
    <cfRule type="expression" dxfId="12" priority="3">
      <formula>$U10&gt;0</formula>
    </cfRule>
  </conditionalFormatting>
  <conditionalFormatting sqref="A10:A94">
    <cfRule type="expression" dxfId="11" priority="4">
      <formula>$AL10=0</formula>
    </cfRule>
  </conditionalFormatting>
  <conditionalFormatting sqref="A95:B98">
    <cfRule type="expression" dxfId="10" priority="2">
      <formula>$AL95=0</formula>
    </cfRule>
  </conditionalFormatting>
  <conditionalFormatting sqref="A95:B98">
    <cfRule type="expression" dxfId="9" priority="1">
      <formula>$AL95=0</formula>
    </cfRule>
  </conditionalFormatting>
  <dataValidations count="1">
    <dataValidation type="list" allowBlank="1" showInputMessage="1" showErrorMessage="1" sqref="D7">
      <formula1>$EF$9:$EF$13</formula1>
    </dataValidation>
  </dataValidation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8" id="{90D627D7-5981-418D-9845-BB94BCB8E871}">
            <xm:f>'Prosjektdetaljer '!$R$11="Nei"</xm:f>
            <x14:dxf>
              <font>
                <color theme="0"/>
              </font>
              <fill>
                <patternFill>
                  <bgColor theme="0"/>
                </patternFill>
              </fill>
            </x14:dxf>
          </x14:cfRule>
          <xm:sqref>AC7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BL103"/>
  <sheetViews>
    <sheetView showGridLines="0" zoomScale="85" zoomScaleNormal="85" workbookViewId="0">
      <selection activeCell="E48" sqref="E48"/>
    </sheetView>
  </sheetViews>
  <sheetFormatPr baseColWidth="10" defaultColWidth="11.42578125" defaultRowHeight="15" x14ac:dyDescent="0.25"/>
  <cols>
    <col min="1" max="1" width="3.140625" style="359" customWidth="1"/>
    <col min="2" max="2" width="4" style="358" customWidth="1"/>
    <col min="3" max="3" width="8.140625" style="358" bestFit="1" customWidth="1"/>
    <col min="4" max="4" width="53.42578125" style="358" customWidth="1"/>
    <col min="5" max="5" width="14.7109375" style="358" customWidth="1"/>
    <col min="6" max="6" width="10.7109375" style="358" customWidth="1"/>
    <col min="7" max="7" width="17.5703125" style="358" customWidth="1"/>
    <col min="8" max="8" width="22.140625" style="358" customWidth="1"/>
    <col min="9" max="9" width="20.42578125" style="358" customWidth="1"/>
    <col min="10" max="10" width="12.5703125" style="358" customWidth="1"/>
    <col min="11" max="11" width="14.5703125" style="358" bestFit="1" customWidth="1"/>
    <col min="12" max="12" width="25.7109375" style="358" bestFit="1" customWidth="1"/>
    <col min="13" max="13" width="15.85546875" style="358" bestFit="1" customWidth="1"/>
    <col min="14" max="14" width="18.5703125" style="358" bestFit="1" customWidth="1"/>
    <col min="15" max="15" width="15.28515625" style="358" customWidth="1"/>
    <col min="16" max="16" width="5.28515625" style="358" customWidth="1"/>
    <col min="17" max="17" width="3.140625" style="358" customWidth="1"/>
    <col min="18" max="18" width="5.7109375" style="358" customWidth="1"/>
    <col min="19" max="19" width="25.42578125" style="358" hidden="1" customWidth="1"/>
    <col min="20" max="20" width="41.140625" style="358" hidden="1" customWidth="1"/>
    <col min="21" max="21" width="21.42578125" style="358" hidden="1" customWidth="1"/>
    <col min="22" max="22" width="12.42578125" style="358" hidden="1" customWidth="1"/>
    <col min="23" max="23" width="13.140625" style="358" hidden="1" customWidth="1"/>
    <col min="24" max="24" width="12.85546875" style="358" hidden="1" customWidth="1"/>
    <col min="25" max="25" width="15.28515625" style="358" hidden="1" customWidth="1"/>
    <col min="26" max="26" width="10.140625" style="358" hidden="1" customWidth="1"/>
    <col min="27" max="27" width="28.42578125" style="358" hidden="1" customWidth="1"/>
    <col min="28" max="28" width="11.42578125" style="358" hidden="1" customWidth="1"/>
    <col min="29" max="32" width="11.42578125" style="359" hidden="1" customWidth="1"/>
    <col min="33" max="33" width="26.140625" style="359" hidden="1" customWidth="1"/>
    <col min="34" max="34" width="11.42578125" style="359" hidden="1" customWidth="1"/>
    <col min="35" max="35" width="23.7109375" style="359" hidden="1" customWidth="1"/>
    <col min="36" max="36" width="20.28515625" style="359" hidden="1" customWidth="1"/>
    <col min="37" max="37" width="11.42578125" style="359" hidden="1" customWidth="1"/>
    <col min="38" max="38" width="11.42578125" style="359" customWidth="1"/>
    <col min="39" max="16384" width="11.42578125" style="359"/>
  </cols>
  <sheetData>
    <row r="1" spans="1:60" ht="22.5" customHeight="1" thickBot="1" x14ac:dyDescent="0.4">
      <c r="A1" s="272"/>
      <c r="B1" s="272"/>
      <c r="C1" s="272"/>
      <c r="D1" s="989" t="s">
        <v>813</v>
      </c>
      <c r="E1" s="987"/>
      <c r="F1" s="272" t="s">
        <v>49</v>
      </c>
      <c r="G1" s="272"/>
      <c r="H1" s="272"/>
      <c r="I1" s="272"/>
      <c r="J1" s="272"/>
      <c r="K1" s="272"/>
      <c r="L1" s="272"/>
      <c r="M1" s="272"/>
      <c r="N1" s="272"/>
      <c r="O1" s="272"/>
      <c r="P1" s="272"/>
      <c r="Q1" s="272"/>
      <c r="R1" s="622"/>
      <c r="X1" s="1296" t="s">
        <v>547</v>
      </c>
      <c r="Y1" s="1299"/>
      <c r="Z1" s="1296" t="s">
        <v>548</v>
      </c>
      <c r="AA1" s="1296"/>
      <c r="AB1" s="1296" t="s">
        <v>499</v>
      </c>
      <c r="AC1" s="1296"/>
      <c r="AR1" s="360"/>
      <c r="AS1" s="360"/>
      <c r="AT1" s="360"/>
      <c r="AU1" s="360"/>
      <c r="AV1" s="360"/>
      <c r="AW1" s="360"/>
      <c r="AX1" s="360"/>
      <c r="AY1" s="360"/>
      <c r="AZ1" s="1273"/>
      <c r="BA1" s="1273"/>
      <c r="BB1" s="1273"/>
      <c r="BC1" s="1273"/>
      <c r="BD1" s="1273"/>
      <c r="BE1" s="1273"/>
      <c r="BF1" s="1273"/>
      <c r="BG1" s="360"/>
      <c r="BH1" s="360"/>
    </row>
    <row r="2" spans="1:60" ht="15.75" hidden="1" thickBot="1" x14ac:dyDescent="0.3">
      <c r="A2" s="272"/>
      <c r="B2" s="272"/>
      <c r="C2" s="272"/>
      <c r="D2" s="272"/>
      <c r="E2" s="272"/>
      <c r="F2" s="272"/>
      <c r="G2" s="272"/>
      <c r="H2" s="272"/>
      <c r="I2" s="272"/>
      <c r="J2" s="272"/>
      <c r="K2" s="272"/>
      <c r="L2" s="272"/>
      <c r="M2" s="272"/>
      <c r="N2" s="272"/>
      <c r="O2" s="272"/>
      <c r="P2" s="272"/>
      <c r="Q2" s="272"/>
      <c r="R2" s="622"/>
      <c r="T2" s="631" t="s">
        <v>718</v>
      </c>
      <c r="X2" s="449"/>
      <c r="Y2" s="449"/>
      <c r="Z2" s="448"/>
      <c r="AA2" s="448"/>
      <c r="AB2" s="449"/>
      <c r="AC2" s="449"/>
      <c r="AR2" s="447"/>
      <c r="AS2" s="447"/>
      <c r="AT2" s="447"/>
      <c r="AU2" s="447"/>
      <c r="AV2" s="447"/>
      <c r="AW2" s="447"/>
      <c r="AX2" s="447"/>
      <c r="AY2" s="447"/>
      <c r="AZ2" s="447"/>
      <c r="BA2" s="447"/>
      <c r="BB2" s="447"/>
      <c r="BC2" s="447"/>
      <c r="BD2" s="447"/>
      <c r="BE2" s="447"/>
      <c r="BF2" s="447"/>
      <c r="BG2" s="447"/>
      <c r="BH2" s="447"/>
    </row>
    <row r="3" spans="1:60" ht="16.5" thickTop="1" thickBot="1" x14ac:dyDescent="0.3">
      <c r="A3" s="272"/>
      <c r="B3" s="790"/>
      <c r="C3" s="791"/>
      <c r="D3" s="791"/>
      <c r="E3" s="791"/>
      <c r="F3" s="791"/>
      <c r="G3" s="791"/>
      <c r="H3" s="791"/>
      <c r="I3" s="791"/>
      <c r="J3" s="791"/>
      <c r="K3" s="791"/>
      <c r="L3" s="791"/>
      <c r="M3" s="791"/>
      <c r="N3" s="791"/>
      <c r="O3" s="791"/>
      <c r="P3" s="613"/>
      <c r="Q3" s="272"/>
      <c r="S3" s="953" t="s">
        <v>798</v>
      </c>
      <c r="T3" s="951" t="str">
        <f>'Prosjektdetaljer '!R7</f>
        <v>Nybygg</v>
      </c>
      <c r="X3" s="1274" t="s">
        <v>487</v>
      </c>
      <c r="Y3" s="1275"/>
      <c r="Z3" s="1297" t="s">
        <v>487</v>
      </c>
      <c r="AA3" s="1298"/>
      <c r="AB3" s="361" t="s">
        <v>551</v>
      </c>
      <c r="AC3" s="361" t="s">
        <v>552</v>
      </c>
      <c r="AR3" s="360"/>
      <c r="AS3" s="360"/>
      <c r="AT3" s="360"/>
      <c r="AU3" s="360"/>
      <c r="AV3" s="360"/>
      <c r="AW3" s="360"/>
      <c r="AX3" s="360"/>
      <c r="AY3" s="360"/>
      <c r="AZ3" s="1273"/>
      <c r="BA3" s="360"/>
      <c r="BB3" s="1273"/>
      <c r="BC3" s="1273"/>
      <c r="BD3" s="1273"/>
      <c r="BE3" s="1273"/>
      <c r="BF3" s="1273"/>
      <c r="BG3" s="360"/>
      <c r="BH3" s="360"/>
    </row>
    <row r="4" spans="1:60" ht="36" customHeight="1" thickBot="1" x14ac:dyDescent="0.3">
      <c r="A4" s="272"/>
      <c r="B4" s="792"/>
      <c r="C4" s="1276" t="str">
        <f>"Resultater fra analysen "&amp;IF('Prosjektdetaljer '!D18="","","av "&amp;'Prosjektdetaljer '!D18)</f>
        <v xml:space="preserve">Resultater fra analysen </v>
      </c>
      <c r="D4" s="1277"/>
      <c r="E4" s="1277"/>
      <c r="F4" s="1277"/>
      <c r="G4" s="1277"/>
      <c r="H4" s="1277"/>
      <c r="I4" s="1277"/>
      <c r="J4" s="1277"/>
      <c r="K4" s="1277"/>
      <c r="L4" s="1277"/>
      <c r="M4" s="1277"/>
      <c r="N4" s="1277"/>
      <c r="O4" s="1278"/>
      <c r="P4" s="623"/>
      <c r="Q4" s="272"/>
      <c r="S4" s="1273"/>
      <c r="T4" s="1273"/>
      <c r="X4" s="362"/>
      <c r="Y4" s="363" t="s">
        <v>555</v>
      </c>
      <c r="Z4" s="363"/>
      <c r="AA4" s="363" t="s">
        <v>555</v>
      </c>
      <c r="AB4" s="364" t="s">
        <v>556</v>
      </c>
      <c r="AC4" s="365"/>
      <c r="AR4" s="360"/>
      <c r="AS4" s="360"/>
      <c r="AT4" s="360"/>
      <c r="AU4" s="360"/>
      <c r="AV4" s="360"/>
      <c r="AW4" s="360"/>
      <c r="AX4" s="360"/>
      <c r="AY4" s="360"/>
      <c r="AZ4" s="1273"/>
      <c r="BA4" s="360"/>
      <c r="BB4" s="1273"/>
      <c r="BC4" s="1273"/>
      <c r="BD4" s="1273"/>
      <c r="BE4" s="1273"/>
      <c r="BF4" s="1273"/>
      <c r="BG4" s="360"/>
      <c r="BH4" s="360"/>
    </row>
    <row r="5" spans="1:60" ht="15.75" thickBot="1" x14ac:dyDescent="0.3">
      <c r="A5" s="272"/>
      <c r="B5" s="792"/>
      <c r="C5" s="1282" t="s">
        <v>485</v>
      </c>
      <c r="D5" s="1283"/>
      <c r="E5" s="1289" t="s">
        <v>486</v>
      </c>
      <c r="F5" s="1287" t="s">
        <v>418</v>
      </c>
      <c r="G5" s="1300"/>
      <c r="H5" s="1287" t="s">
        <v>698</v>
      </c>
      <c r="I5" s="1300"/>
      <c r="J5" s="1287" t="s">
        <v>699</v>
      </c>
      <c r="K5" s="1300"/>
      <c r="L5" s="1283" t="s">
        <v>487</v>
      </c>
      <c r="M5" s="1289" t="s">
        <v>590</v>
      </c>
      <c r="N5" s="1283" t="s">
        <v>698</v>
      </c>
      <c r="O5" s="1287" t="s">
        <v>699</v>
      </c>
      <c r="P5" s="623"/>
      <c r="Q5" s="272"/>
      <c r="S5" s="366" t="s">
        <v>545</v>
      </c>
      <c r="T5" s="367" t="s">
        <v>546</v>
      </c>
      <c r="X5" s="368">
        <v>12</v>
      </c>
      <c r="Y5" s="369">
        <v>13</v>
      </c>
      <c r="Z5" s="370">
        <v>12</v>
      </c>
      <c r="AA5" s="371">
        <v>13</v>
      </c>
      <c r="AB5" s="372">
        <v>5</v>
      </c>
      <c r="AC5" s="373">
        <v>11</v>
      </c>
      <c r="AR5" s="360"/>
      <c r="AS5" s="360"/>
      <c r="AT5" s="360"/>
      <c r="AU5" s="360"/>
      <c r="AV5" s="360"/>
      <c r="AW5" s="360"/>
      <c r="AX5" s="360"/>
      <c r="AY5" s="360"/>
      <c r="AZ5" s="1273"/>
      <c r="BA5" s="360"/>
      <c r="BB5" s="1273"/>
      <c r="BC5" s="1273"/>
      <c r="BD5" s="1273"/>
      <c r="BE5" s="1273"/>
      <c r="BF5" s="1273"/>
      <c r="BG5" s="360"/>
      <c r="BH5" s="360"/>
    </row>
    <row r="6" spans="1:60" ht="15.75" thickBot="1" x14ac:dyDescent="0.3">
      <c r="A6" s="272"/>
      <c r="B6" s="792"/>
      <c r="C6" s="1284"/>
      <c r="D6" s="1285"/>
      <c r="E6" s="1290"/>
      <c r="F6" s="796" t="s">
        <v>589</v>
      </c>
      <c r="G6" s="797" t="s">
        <v>588</v>
      </c>
      <c r="H6" s="796" t="s">
        <v>589</v>
      </c>
      <c r="I6" s="797" t="s">
        <v>588</v>
      </c>
      <c r="J6" s="796" t="s">
        <v>589</v>
      </c>
      <c r="K6" s="797" t="s">
        <v>588</v>
      </c>
      <c r="L6" s="1286"/>
      <c r="M6" s="1290"/>
      <c r="N6" s="1285"/>
      <c r="O6" s="1288"/>
      <c r="P6" s="623"/>
      <c r="Q6" s="272"/>
      <c r="S6" s="374" t="s">
        <v>549</v>
      </c>
      <c r="T6" s="375" t="s">
        <v>550</v>
      </c>
      <c r="X6" s="369">
        <v>15</v>
      </c>
      <c r="Y6" s="369">
        <v>17</v>
      </c>
      <c r="Z6" s="370">
        <v>15</v>
      </c>
      <c r="AA6" s="376">
        <v>17</v>
      </c>
      <c r="AB6" s="372">
        <v>13</v>
      </c>
      <c r="AC6" s="373">
        <v>14</v>
      </c>
      <c r="AR6" s="360"/>
      <c r="AS6" s="360"/>
      <c r="AT6" s="360"/>
      <c r="AU6" s="360"/>
      <c r="AV6" s="360"/>
      <c r="AW6" s="360"/>
      <c r="AX6" s="360"/>
      <c r="AY6" s="360"/>
      <c r="AZ6" s="1273"/>
      <c r="BA6" s="360"/>
      <c r="BB6" s="1273"/>
      <c r="BC6" s="1273"/>
      <c r="BD6" s="1273"/>
      <c r="BE6" s="1273"/>
      <c r="BF6" s="1273"/>
      <c r="BG6" s="360"/>
      <c r="BH6" s="360"/>
    </row>
    <row r="7" spans="1:60" ht="15.75" thickBot="1" x14ac:dyDescent="0.3">
      <c r="A7" s="272"/>
      <c r="B7" s="792"/>
      <c r="C7" s="793" t="s">
        <v>613</v>
      </c>
      <c r="D7" s="798" t="s">
        <v>488</v>
      </c>
      <c r="E7" s="378">
        <f>'Pre-analyse'!DS50</f>
        <v>18</v>
      </c>
      <c r="F7" s="379">
        <f>'Pre-analyse'!BL50</f>
        <v>0</v>
      </c>
      <c r="G7" s="380">
        <f t="shared" ref="G7:G16" si="0">F7/$E7</f>
        <v>0</v>
      </c>
      <c r="H7" s="381">
        <f>'Pre-analyse'!BM50</f>
        <v>0</v>
      </c>
      <c r="I7" s="382">
        <f t="shared" ref="I7:I16" si="1">H7/$E7</f>
        <v>0</v>
      </c>
      <c r="J7" s="383">
        <f>'Pre-analyse'!BN50</f>
        <v>0</v>
      </c>
      <c r="K7" s="384">
        <f t="shared" ref="K7:K16" si="2">J7/$E7</f>
        <v>0</v>
      </c>
      <c r="L7" s="799">
        <f t="shared" ref="L7:L16" si="3">IF($T$3=$T$2,T14,S14)</f>
        <v>12</v>
      </c>
      <c r="M7" s="632">
        <f t="shared" ref="M7:M16" si="4">G7*($L7/100)</f>
        <v>0</v>
      </c>
      <c r="N7" s="385">
        <f t="shared" ref="N7:N16" si="5">I7*($L7/100)</f>
        <v>0</v>
      </c>
      <c r="O7" s="386">
        <f t="shared" ref="O7:O16" si="6">K7*($L7/100)</f>
        <v>0</v>
      </c>
      <c r="P7" s="623"/>
      <c r="Q7" s="272"/>
      <c r="S7" s="387" t="s">
        <v>553</v>
      </c>
      <c r="T7" s="388" t="s">
        <v>554</v>
      </c>
      <c r="X7" s="369">
        <v>19</v>
      </c>
      <c r="Y7" s="369">
        <v>21</v>
      </c>
      <c r="Z7" s="370">
        <v>19</v>
      </c>
      <c r="AA7" s="376">
        <v>21</v>
      </c>
      <c r="AB7" s="372">
        <v>7</v>
      </c>
      <c r="AC7" s="373">
        <v>24</v>
      </c>
      <c r="AR7" s="360"/>
      <c r="AS7" s="360"/>
      <c r="AT7" s="360"/>
      <c r="AU7" s="360"/>
      <c r="AV7" s="360"/>
      <c r="AW7" s="360"/>
      <c r="AX7" s="360"/>
      <c r="AY7" s="360"/>
      <c r="AZ7" s="360"/>
      <c r="BA7" s="360"/>
      <c r="BB7" s="360"/>
      <c r="BC7" s="360"/>
      <c r="BD7" s="360"/>
      <c r="BE7" s="360"/>
      <c r="BF7" s="360"/>
      <c r="BG7" s="360"/>
      <c r="BH7" s="360"/>
    </row>
    <row r="8" spans="1:60" ht="15.75" thickBot="1" x14ac:dyDescent="0.3">
      <c r="A8" s="272"/>
      <c r="B8" s="792"/>
      <c r="C8" s="794" t="s">
        <v>616</v>
      </c>
      <c r="D8" s="800" t="s">
        <v>489</v>
      </c>
      <c r="E8" s="390">
        <f>'Pre-analyse'!DS37</f>
        <v>19</v>
      </c>
      <c r="F8" s="391">
        <f>'Pre-analyse'!BL37</f>
        <v>0</v>
      </c>
      <c r="G8" s="392">
        <f t="shared" si="0"/>
        <v>0</v>
      </c>
      <c r="H8" s="393">
        <f>'Pre-analyse'!BM37</f>
        <v>0</v>
      </c>
      <c r="I8" s="394">
        <f t="shared" si="1"/>
        <v>0</v>
      </c>
      <c r="J8" s="395">
        <f>'Pre-analyse'!BN37</f>
        <v>0</v>
      </c>
      <c r="K8" s="396">
        <f t="shared" si="2"/>
        <v>0</v>
      </c>
      <c r="L8" s="801">
        <f t="shared" si="3"/>
        <v>15</v>
      </c>
      <c r="M8" s="633">
        <f t="shared" si="4"/>
        <v>0</v>
      </c>
      <c r="N8" s="397">
        <f t="shared" si="5"/>
        <v>0</v>
      </c>
      <c r="O8" s="398">
        <f t="shared" si="6"/>
        <v>0</v>
      </c>
      <c r="P8" s="623"/>
      <c r="Q8" s="272"/>
      <c r="S8" s="387" t="s">
        <v>557</v>
      </c>
      <c r="T8" s="388" t="s">
        <v>558</v>
      </c>
      <c r="X8" s="369">
        <v>10</v>
      </c>
      <c r="Y8" s="369">
        <v>11</v>
      </c>
      <c r="Z8" s="370">
        <v>8</v>
      </c>
      <c r="AA8" s="376">
        <v>9</v>
      </c>
      <c r="AB8" s="372">
        <v>6</v>
      </c>
      <c r="AC8" s="373">
        <v>9</v>
      </c>
      <c r="AR8" s="360"/>
      <c r="AS8" s="360"/>
      <c r="AT8" s="360"/>
      <c r="AU8" s="360"/>
      <c r="AV8" s="360"/>
      <c r="AW8" s="360"/>
      <c r="AX8" s="360"/>
      <c r="AY8" s="360"/>
      <c r="AZ8" s="360"/>
      <c r="BA8" s="360"/>
      <c r="BB8" s="360"/>
      <c r="BC8" s="360"/>
      <c r="BD8" s="360"/>
      <c r="BE8" s="360"/>
      <c r="BF8" s="360"/>
      <c r="BG8" s="360"/>
      <c r="BH8" s="360"/>
    </row>
    <row r="9" spans="1:60" ht="15.75" thickBot="1" x14ac:dyDescent="0.3">
      <c r="A9" s="272"/>
      <c r="B9" s="792"/>
      <c r="C9" s="794" t="s">
        <v>615</v>
      </c>
      <c r="D9" s="800" t="s">
        <v>250</v>
      </c>
      <c r="E9" s="390">
        <f>'Pre-analyse'!DS22</f>
        <v>28</v>
      </c>
      <c r="F9" s="391">
        <f>'Pre-analyse'!BL22</f>
        <v>0</v>
      </c>
      <c r="G9" s="392">
        <f t="shared" si="0"/>
        <v>0</v>
      </c>
      <c r="H9" s="393">
        <f>'Pre-analyse'!BM22</f>
        <v>0</v>
      </c>
      <c r="I9" s="394">
        <f t="shared" si="1"/>
        <v>0</v>
      </c>
      <c r="J9" s="395">
        <f>'Pre-analyse'!BN22</f>
        <v>0</v>
      </c>
      <c r="K9" s="396">
        <f t="shared" si="2"/>
        <v>0</v>
      </c>
      <c r="L9" s="801">
        <f t="shared" si="3"/>
        <v>19</v>
      </c>
      <c r="M9" s="633">
        <f t="shared" si="4"/>
        <v>0</v>
      </c>
      <c r="N9" s="397">
        <f t="shared" si="5"/>
        <v>0</v>
      </c>
      <c r="O9" s="398">
        <f t="shared" si="6"/>
        <v>0</v>
      </c>
      <c r="P9" s="623"/>
      <c r="Q9" s="272"/>
      <c r="S9" s="387" t="s">
        <v>559</v>
      </c>
      <c r="T9" s="388" t="s">
        <v>560</v>
      </c>
      <c r="X9" s="369">
        <v>5</v>
      </c>
      <c r="Y9" s="369">
        <v>6</v>
      </c>
      <c r="Z9" s="370">
        <v>6</v>
      </c>
      <c r="AA9" s="376">
        <v>7</v>
      </c>
      <c r="AB9" s="372">
        <v>5</v>
      </c>
      <c r="AC9" s="373">
        <v>8</v>
      </c>
      <c r="AR9" s="360"/>
      <c r="AS9" s="360"/>
      <c r="AT9" s="360"/>
      <c r="AU9" s="360"/>
      <c r="AV9" s="360"/>
      <c r="AW9" s="360"/>
      <c r="AX9" s="360"/>
      <c r="AY9" s="360"/>
      <c r="AZ9" s="360"/>
      <c r="BA9" s="360"/>
      <c r="BB9" s="360"/>
      <c r="BC9" s="360"/>
      <c r="BD9" s="360"/>
      <c r="BE9" s="360"/>
      <c r="BF9" s="360"/>
      <c r="BG9" s="360"/>
      <c r="BH9" s="360"/>
    </row>
    <row r="10" spans="1:60" ht="15.75" thickBot="1" x14ac:dyDescent="0.3">
      <c r="A10" s="272"/>
      <c r="B10" s="792"/>
      <c r="C10" s="794" t="s">
        <v>618</v>
      </c>
      <c r="D10" s="800" t="s">
        <v>158</v>
      </c>
      <c r="E10" s="390">
        <f>'Pre-analyse'!DS72</f>
        <v>14</v>
      </c>
      <c r="F10" s="391">
        <f>'Pre-analyse'!BL72</f>
        <v>0</v>
      </c>
      <c r="G10" s="392">
        <f t="shared" si="0"/>
        <v>0</v>
      </c>
      <c r="H10" s="393">
        <f>'Pre-analyse'!BM72</f>
        <v>0</v>
      </c>
      <c r="I10" s="394">
        <f t="shared" si="1"/>
        <v>0</v>
      </c>
      <c r="J10" s="395">
        <f>'Pre-analyse'!BN72</f>
        <v>0</v>
      </c>
      <c r="K10" s="396">
        <f t="shared" si="2"/>
        <v>0</v>
      </c>
      <c r="L10" s="801">
        <f t="shared" si="3"/>
        <v>10</v>
      </c>
      <c r="M10" s="633">
        <f t="shared" si="4"/>
        <v>0</v>
      </c>
      <c r="N10" s="397">
        <f t="shared" si="5"/>
        <v>0</v>
      </c>
      <c r="O10" s="398">
        <f t="shared" si="6"/>
        <v>0</v>
      </c>
      <c r="P10" s="623"/>
      <c r="Q10" s="272"/>
      <c r="S10" s="399" t="s">
        <v>561</v>
      </c>
      <c r="T10" s="400" t="s">
        <v>562</v>
      </c>
      <c r="X10" s="369">
        <v>13.5</v>
      </c>
      <c r="Y10" s="369">
        <v>15</v>
      </c>
      <c r="Z10" s="370">
        <v>12.5</v>
      </c>
      <c r="AA10" s="376">
        <v>14</v>
      </c>
      <c r="AB10" s="372">
        <v>7</v>
      </c>
      <c r="AC10" s="373">
        <v>13</v>
      </c>
      <c r="AR10" s="360"/>
      <c r="AS10" s="360"/>
      <c r="AT10" s="360"/>
      <c r="AU10" s="360"/>
      <c r="AV10" s="360"/>
      <c r="AW10" s="360"/>
      <c r="AX10" s="360"/>
      <c r="AY10" s="360"/>
      <c r="AZ10" s="360"/>
      <c r="BA10" s="360"/>
      <c r="BB10" s="360"/>
      <c r="BC10" s="360"/>
      <c r="BD10" s="360"/>
      <c r="BE10" s="360"/>
      <c r="BF10" s="360"/>
      <c r="BG10" s="360"/>
      <c r="BH10" s="360"/>
    </row>
    <row r="11" spans="1:60" ht="15.75" thickBot="1" x14ac:dyDescent="0.3">
      <c r="A11" s="272"/>
      <c r="B11" s="792"/>
      <c r="C11" s="794" t="s">
        <v>619</v>
      </c>
      <c r="D11" s="800" t="s">
        <v>490</v>
      </c>
      <c r="E11" s="390">
        <f>'Pre-analyse'!DS80</f>
        <v>9</v>
      </c>
      <c r="F11" s="391">
        <f>'Pre-analyse'!BL80</f>
        <v>0</v>
      </c>
      <c r="G11" s="392">
        <f t="shared" si="0"/>
        <v>0</v>
      </c>
      <c r="H11" s="393">
        <f>'Pre-analyse'!BM80</f>
        <v>0</v>
      </c>
      <c r="I11" s="394">
        <f t="shared" si="1"/>
        <v>0</v>
      </c>
      <c r="J11" s="395">
        <f>'Pre-analyse'!BN80</f>
        <v>0</v>
      </c>
      <c r="K11" s="396">
        <f t="shared" si="2"/>
        <v>0</v>
      </c>
      <c r="L11" s="801">
        <f t="shared" si="3"/>
        <v>5</v>
      </c>
      <c r="M11" s="633">
        <f t="shared" si="4"/>
        <v>0</v>
      </c>
      <c r="N11" s="397">
        <f t="shared" si="5"/>
        <v>0</v>
      </c>
      <c r="O11" s="398">
        <f t="shared" si="6"/>
        <v>0</v>
      </c>
      <c r="P11" s="623"/>
      <c r="Q11" s="272"/>
      <c r="X11" s="369">
        <v>7.5</v>
      </c>
      <c r="Y11" s="369">
        <v>8</v>
      </c>
      <c r="Z11" s="370">
        <v>7.5</v>
      </c>
      <c r="AA11" s="376">
        <v>8</v>
      </c>
      <c r="AB11" s="372">
        <v>5</v>
      </c>
      <c r="AC11" s="373">
        <v>7</v>
      </c>
      <c r="AR11" s="360"/>
      <c r="AS11" s="360"/>
      <c r="AT11" s="360"/>
      <c r="AU11" s="360"/>
      <c r="AV11" s="360"/>
      <c r="AW11" s="360"/>
      <c r="AX11" s="360"/>
      <c r="AY11" s="360"/>
      <c r="AZ11" s="360"/>
      <c r="BA11" s="360"/>
      <c r="BB11" s="360"/>
      <c r="BC11" s="360"/>
      <c r="BD11" s="360"/>
      <c r="BE11" s="360"/>
      <c r="BF11" s="360"/>
      <c r="BG11" s="360"/>
      <c r="BH11" s="360"/>
    </row>
    <row r="12" spans="1:60" ht="30.75" thickBot="1" x14ac:dyDescent="0.3">
      <c r="A12" s="272"/>
      <c r="B12" s="792"/>
      <c r="C12" s="794" t="s">
        <v>620</v>
      </c>
      <c r="D12" s="800" t="s">
        <v>491</v>
      </c>
      <c r="E12" s="390">
        <f>'Pre-analyse'!DS56</f>
        <v>12</v>
      </c>
      <c r="F12" s="391">
        <f>'Pre-analyse'!BL56</f>
        <v>0</v>
      </c>
      <c r="G12" s="392">
        <f t="shared" si="0"/>
        <v>0</v>
      </c>
      <c r="H12" s="393">
        <f>'Pre-analyse'!BM56</f>
        <v>0</v>
      </c>
      <c r="I12" s="394">
        <f t="shared" si="1"/>
        <v>0</v>
      </c>
      <c r="J12" s="395">
        <f>'Pre-analyse'!BN56</f>
        <v>0</v>
      </c>
      <c r="K12" s="396">
        <f t="shared" si="2"/>
        <v>0</v>
      </c>
      <c r="L12" s="801">
        <f t="shared" si="3"/>
        <v>13.5</v>
      </c>
      <c r="M12" s="633">
        <f t="shared" si="4"/>
        <v>0</v>
      </c>
      <c r="N12" s="397">
        <f t="shared" si="5"/>
        <v>0</v>
      </c>
      <c r="O12" s="398">
        <f t="shared" si="6"/>
        <v>0</v>
      </c>
      <c r="P12" s="623"/>
      <c r="Q12" s="272"/>
      <c r="S12" s="1274" t="s">
        <v>487</v>
      </c>
      <c r="T12" s="1275"/>
      <c r="X12" s="369">
        <v>10</v>
      </c>
      <c r="Y12" s="369" t="s">
        <v>563</v>
      </c>
      <c r="Z12" s="370">
        <v>10</v>
      </c>
      <c r="AA12" s="376" t="s">
        <v>339</v>
      </c>
      <c r="AB12" s="372">
        <v>5</v>
      </c>
      <c r="AC12" s="373">
        <v>10</v>
      </c>
      <c r="AR12" s="360"/>
      <c r="AS12" s="360"/>
      <c r="AT12" s="360"/>
      <c r="AU12" s="360"/>
      <c r="AV12" s="360"/>
      <c r="AW12" s="360"/>
      <c r="AX12" s="360"/>
      <c r="AY12" s="360"/>
      <c r="AZ12" s="360"/>
      <c r="BA12" s="360"/>
      <c r="BB12" s="360"/>
      <c r="BC12" s="360"/>
      <c r="BD12" s="360"/>
      <c r="BE12" s="360"/>
      <c r="BF12" s="360"/>
      <c r="BG12" s="360"/>
      <c r="BH12" s="360"/>
    </row>
    <row r="13" spans="1:60" ht="15.75" customHeight="1" thickBot="1" x14ac:dyDescent="0.3">
      <c r="A13" s="272"/>
      <c r="B13" s="792"/>
      <c r="C13" s="794" t="s">
        <v>621</v>
      </c>
      <c r="D13" s="800" t="s">
        <v>492</v>
      </c>
      <c r="E13" s="390">
        <f>'Pre-analyse'!DS86</f>
        <v>6</v>
      </c>
      <c r="F13" s="391">
        <f>'Pre-analyse'!BL86</f>
        <v>0</v>
      </c>
      <c r="G13" s="392">
        <f t="shared" si="0"/>
        <v>0</v>
      </c>
      <c r="H13" s="393">
        <f>'Pre-analyse'!BM86</f>
        <v>0</v>
      </c>
      <c r="I13" s="394">
        <f t="shared" si="1"/>
        <v>0</v>
      </c>
      <c r="J13" s="395">
        <f>'Pre-analyse'!BN86</f>
        <v>0</v>
      </c>
      <c r="K13" s="396">
        <f t="shared" si="2"/>
        <v>0</v>
      </c>
      <c r="L13" s="801">
        <f t="shared" si="3"/>
        <v>7.5</v>
      </c>
      <c r="M13" s="633">
        <f t="shared" si="4"/>
        <v>0</v>
      </c>
      <c r="N13" s="397">
        <f t="shared" si="5"/>
        <v>0</v>
      </c>
      <c r="O13" s="398">
        <f t="shared" si="6"/>
        <v>0</v>
      </c>
      <c r="P13" s="623"/>
      <c r="Q13" s="272"/>
      <c r="S13" s="401"/>
      <c r="T13" s="402" t="s">
        <v>555</v>
      </c>
      <c r="X13" s="369">
        <v>8</v>
      </c>
      <c r="Y13" s="369">
        <v>9</v>
      </c>
      <c r="Z13" s="370">
        <v>10</v>
      </c>
      <c r="AA13" s="376">
        <v>11</v>
      </c>
      <c r="AB13" s="372">
        <v>7</v>
      </c>
      <c r="AC13" s="373">
        <v>12</v>
      </c>
      <c r="AR13" s="360"/>
      <c r="AS13" s="360"/>
      <c r="AT13" s="360"/>
      <c r="AU13" s="360"/>
      <c r="AV13" s="360"/>
      <c r="AW13" s="360"/>
      <c r="AX13" s="360"/>
      <c r="AY13" s="360"/>
      <c r="AZ13" s="360"/>
      <c r="BA13" s="360"/>
      <c r="BB13" s="360"/>
      <c r="BC13" s="360"/>
      <c r="BD13" s="360"/>
      <c r="BE13" s="360"/>
      <c r="BF13" s="360"/>
      <c r="BG13" s="360"/>
      <c r="BH13" s="360"/>
    </row>
    <row r="14" spans="1:60" ht="15.75" thickBot="1" x14ac:dyDescent="0.3">
      <c r="A14" s="272"/>
      <c r="B14" s="792"/>
      <c r="C14" s="794" t="s">
        <v>617</v>
      </c>
      <c r="D14" s="800" t="s">
        <v>493</v>
      </c>
      <c r="E14" s="390">
        <f>'Pre-analyse'!DS43</f>
        <v>10</v>
      </c>
      <c r="F14" s="391">
        <f>'Pre-analyse'!BL43</f>
        <v>0</v>
      </c>
      <c r="G14" s="392">
        <f>IF(L14=T21,0,F14/$E14)</f>
        <v>0</v>
      </c>
      <c r="H14" s="393">
        <f>'Pre-analyse'!BM43</f>
        <v>0</v>
      </c>
      <c r="I14" s="394">
        <f>IF(L14=T21,0,H14/$E14)</f>
        <v>0</v>
      </c>
      <c r="J14" s="395">
        <f>'Pre-analyse'!BN43</f>
        <v>0</v>
      </c>
      <c r="K14" s="396">
        <f>IF(L14=T21,0,J14/$E14)</f>
        <v>0</v>
      </c>
      <c r="L14" s="801">
        <f t="shared" si="3"/>
        <v>10</v>
      </c>
      <c r="M14" s="633">
        <f>IF(L14=T21,0,G14*($L14/100))</f>
        <v>0</v>
      </c>
      <c r="N14" s="397">
        <f>IF(L14=T21,0,I14*($L14/100))</f>
        <v>0</v>
      </c>
      <c r="O14" s="398">
        <f>IF(L14=T21,0,K14*($L14/100))</f>
        <v>0</v>
      </c>
      <c r="P14" s="623"/>
      <c r="Q14" s="272"/>
      <c r="S14" s="403">
        <v>12</v>
      </c>
      <c r="T14" s="404">
        <v>13</v>
      </c>
      <c r="U14" s="377" t="s">
        <v>613</v>
      </c>
      <c r="X14" s="369">
        <v>10</v>
      </c>
      <c r="Y14" s="369">
        <v>10</v>
      </c>
      <c r="Z14" s="370">
        <v>10</v>
      </c>
      <c r="AA14" s="376">
        <v>10</v>
      </c>
      <c r="AB14" s="405">
        <v>10</v>
      </c>
      <c r="AC14" s="406">
        <v>10</v>
      </c>
      <c r="AR14" s="360"/>
      <c r="AS14" s="360"/>
      <c r="AT14" s="360"/>
      <c r="AU14" s="360"/>
      <c r="AV14" s="360"/>
      <c r="AW14" s="360"/>
      <c r="AX14" s="360"/>
      <c r="AY14" s="360"/>
      <c r="AZ14" s="360"/>
      <c r="BA14" s="360"/>
      <c r="BB14" s="360"/>
      <c r="BC14" s="360"/>
      <c r="BD14" s="360"/>
      <c r="BE14" s="360"/>
      <c r="BF14" s="360"/>
      <c r="BG14" s="360"/>
      <c r="BH14" s="360"/>
    </row>
    <row r="15" spans="1:60" x14ac:dyDescent="0.25">
      <c r="A15" s="272"/>
      <c r="B15" s="792"/>
      <c r="C15" s="794" t="s">
        <v>622</v>
      </c>
      <c r="D15" s="800" t="s">
        <v>494</v>
      </c>
      <c r="E15" s="390">
        <f>'Pre-analyse'!DS64</f>
        <v>12</v>
      </c>
      <c r="F15" s="391">
        <f>'Pre-analyse'!BL64</f>
        <v>0</v>
      </c>
      <c r="G15" s="392">
        <f t="shared" si="0"/>
        <v>0</v>
      </c>
      <c r="H15" s="393">
        <f>'Pre-analyse'!BM64</f>
        <v>0</v>
      </c>
      <c r="I15" s="394">
        <f t="shared" si="1"/>
        <v>0</v>
      </c>
      <c r="J15" s="395">
        <f>'Pre-analyse'!BN64</f>
        <v>0</v>
      </c>
      <c r="K15" s="396">
        <f t="shared" si="2"/>
        <v>0</v>
      </c>
      <c r="L15" s="801">
        <f t="shared" si="3"/>
        <v>8</v>
      </c>
      <c r="M15" s="633">
        <f t="shared" si="4"/>
        <v>0</v>
      </c>
      <c r="N15" s="397">
        <f t="shared" si="5"/>
        <v>0</v>
      </c>
      <c r="O15" s="398">
        <f t="shared" si="6"/>
        <v>0</v>
      </c>
      <c r="P15" s="623"/>
      <c r="Q15" s="272"/>
      <c r="S15" s="407">
        <v>15</v>
      </c>
      <c r="T15" s="408">
        <v>17</v>
      </c>
      <c r="U15" s="389" t="s">
        <v>616</v>
      </c>
      <c r="AR15" s="360"/>
      <c r="AS15" s="360"/>
      <c r="AT15" s="360"/>
      <c r="AU15" s="360"/>
      <c r="AV15" s="360"/>
      <c r="AW15" s="360"/>
      <c r="AX15" s="360"/>
      <c r="AY15" s="360"/>
      <c r="AZ15" s="360"/>
      <c r="BA15" s="360"/>
      <c r="BB15" s="360"/>
      <c r="BC15" s="360"/>
      <c r="BD15" s="360"/>
      <c r="BE15" s="360"/>
      <c r="BF15" s="360"/>
      <c r="BG15" s="360"/>
      <c r="BH15" s="360"/>
    </row>
    <row r="16" spans="1:60" ht="15.75" thickBot="1" x14ac:dyDescent="0.3">
      <c r="A16" s="272"/>
      <c r="B16" s="792"/>
      <c r="C16" s="795" t="s">
        <v>614</v>
      </c>
      <c r="D16" s="802" t="s">
        <v>476</v>
      </c>
      <c r="E16" s="410">
        <f>'Pre-analyse'!DS98</f>
        <v>10</v>
      </c>
      <c r="F16" s="411">
        <f>'Pre-analyse'!BL98</f>
        <v>0</v>
      </c>
      <c r="G16" s="412">
        <f t="shared" si="0"/>
        <v>0</v>
      </c>
      <c r="H16" s="413">
        <f>'Pre-analyse'!BM98</f>
        <v>0</v>
      </c>
      <c r="I16" s="414">
        <f t="shared" si="1"/>
        <v>0</v>
      </c>
      <c r="J16" s="415">
        <f>'Pre-analyse'!BN98</f>
        <v>0</v>
      </c>
      <c r="K16" s="416">
        <f t="shared" si="2"/>
        <v>0</v>
      </c>
      <c r="L16" s="803">
        <f t="shared" si="3"/>
        <v>10</v>
      </c>
      <c r="M16" s="634">
        <f t="shared" si="4"/>
        <v>0</v>
      </c>
      <c r="N16" s="417">
        <f t="shared" si="5"/>
        <v>0</v>
      </c>
      <c r="O16" s="418">
        <f t="shared" si="6"/>
        <v>0</v>
      </c>
      <c r="P16" s="623"/>
      <c r="Q16" s="272"/>
      <c r="S16" s="407">
        <v>19</v>
      </c>
      <c r="T16" s="408">
        <v>21</v>
      </c>
      <c r="U16" s="389" t="s">
        <v>615</v>
      </c>
      <c r="AR16" s="360"/>
      <c r="AS16" s="360"/>
      <c r="AT16" s="360"/>
      <c r="AU16" s="360"/>
      <c r="AV16" s="360"/>
      <c r="AW16" s="360"/>
      <c r="AX16" s="360"/>
      <c r="AY16" s="360"/>
      <c r="AZ16" s="360"/>
      <c r="BA16" s="360"/>
      <c r="BB16" s="360"/>
      <c r="BC16" s="360"/>
      <c r="BD16" s="360"/>
      <c r="BE16" s="360"/>
      <c r="BF16" s="360"/>
      <c r="BG16" s="360"/>
      <c r="BH16" s="360"/>
    </row>
    <row r="17" spans="1:64" ht="15.75" thickBot="1" x14ac:dyDescent="0.3">
      <c r="A17" s="272"/>
      <c r="B17" s="792"/>
      <c r="C17" s="958" t="s">
        <v>591</v>
      </c>
      <c r="D17" s="959"/>
      <c r="E17" s="960">
        <f>SUM(E7:E16)</f>
        <v>138</v>
      </c>
      <c r="F17" s="960">
        <f t="shared" ref="F17:J17" si="7">SUM(F7:F16)</f>
        <v>0</v>
      </c>
      <c r="G17" s="960"/>
      <c r="H17" s="960">
        <f t="shared" si="7"/>
        <v>0</v>
      </c>
      <c r="I17" s="960"/>
      <c r="J17" s="960">
        <f t="shared" si="7"/>
        <v>0</v>
      </c>
      <c r="K17" s="960"/>
      <c r="L17" s="960"/>
      <c r="M17" s="804">
        <f>IF(SUM(M7:M16)&gt;1,1,SUM(M7:M16))</f>
        <v>0</v>
      </c>
      <c r="N17" s="804">
        <f>IF(SUM(N7:N16)&gt;1,1,SUM(N7:N16))</f>
        <v>0</v>
      </c>
      <c r="O17" s="804">
        <f>IF(SUM(O7:O16)&gt;1,1,SUM(O7:O16))</f>
        <v>0</v>
      </c>
      <c r="P17" s="623"/>
      <c r="Q17" s="272"/>
      <c r="S17" s="407">
        <v>10</v>
      </c>
      <c r="T17" s="408">
        <v>11</v>
      </c>
      <c r="U17" s="389" t="s">
        <v>618</v>
      </c>
      <c r="AR17" s="360"/>
      <c r="AS17" s="360"/>
      <c r="AT17" s="360"/>
      <c r="AU17" s="360"/>
      <c r="AV17" s="360"/>
      <c r="AW17" s="360"/>
      <c r="AX17" s="360"/>
      <c r="AY17" s="360"/>
      <c r="AZ17" s="360"/>
      <c r="BA17" s="360"/>
      <c r="BB17" s="360"/>
      <c r="BC17" s="360"/>
      <c r="BD17" s="360"/>
      <c r="BE17" s="360"/>
      <c r="BF17" s="360"/>
      <c r="BG17" s="360"/>
      <c r="BH17" s="360"/>
    </row>
    <row r="18" spans="1:64" ht="15.75" customHeight="1" thickBot="1" x14ac:dyDescent="0.3">
      <c r="A18" s="272"/>
      <c r="B18" s="962"/>
      <c r="C18" s="1291" t="s">
        <v>495</v>
      </c>
      <c r="D18" s="1292"/>
      <c r="E18" s="1292"/>
      <c r="F18" s="1292"/>
      <c r="G18" s="1292"/>
      <c r="H18" s="1292"/>
      <c r="I18" s="1292"/>
      <c r="J18" s="961"/>
      <c r="K18" s="1306" t="s">
        <v>805</v>
      </c>
      <c r="L18" s="1306"/>
      <c r="M18" s="957" t="str">
        <f>IF(M17&lt;0.3,"Fail",IF(M17&lt;0.45,Resultat!S6,IF(M17&lt;0.55,Resultat!S7,IF(M17&lt;0.7,Resultat!S8,(IF(M17&lt;0.85,Resultat!S9,Resultat!S10))))))</f>
        <v>Fail</v>
      </c>
      <c r="N18" s="957" t="str">
        <f>IF(N17&lt;0.3,"Fail",IF(N17&lt;0.45,Resultat!S6,IF(N17&lt;0.55,Resultat!S7,IF(N17&lt;0.7,Resultat!S8,(IF(N17&lt;0.85,Resultat!S9,Resultat!S10))))))</f>
        <v>Fail</v>
      </c>
      <c r="O18" s="957" t="str">
        <f>IF(O17&lt;0.3,"Fail",IF(O17&lt;0.45,Resultat!S6,IF(O17&lt;0.55,Resultat!S7,IF(O17&lt;0.7,Resultat!S8,(IF(O17&lt;0.85,Resultat!S9,Resultat!S10))))))</f>
        <v>Fail</v>
      </c>
      <c r="P18" s="623"/>
      <c r="Q18" s="272"/>
      <c r="S18" s="407">
        <v>5</v>
      </c>
      <c r="T18" s="408">
        <v>6</v>
      </c>
      <c r="U18" s="389" t="s">
        <v>619</v>
      </c>
      <c r="AR18" s="360"/>
      <c r="AS18" s="360"/>
      <c r="AT18" s="360"/>
      <c r="AU18" s="360"/>
      <c r="AV18" s="360"/>
      <c r="AW18" s="360"/>
      <c r="AX18" s="360"/>
      <c r="AY18" s="360"/>
      <c r="AZ18" s="360"/>
      <c r="BA18" s="360"/>
      <c r="BB18" s="360"/>
      <c r="BC18" s="360"/>
      <c r="BD18" s="360"/>
      <c r="BE18" s="360"/>
      <c r="BF18" s="360"/>
      <c r="BG18" s="360"/>
      <c r="BH18" s="360"/>
    </row>
    <row r="19" spans="1:64" ht="15.75" customHeight="1" thickBot="1" x14ac:dyDescent="0.3">
      <c r="A19" s="272"/>
      <c r="B19" s="792"/>
      <c r="C19" s="624"/>
      <c r="D19" s="624"/>
      <c r="E19" s="624"/>
      <c r="F19" s="624"/>
      <c r="G19" s="624"/>
      <c r="H19" s="624"/>
      <c r="I19" s="624"/>
      <c r="J19" s="624"/>
      <c r="K19" s="1285" t="s">
        <v>796</v>
      </c>
      <c r="L19" s="1285"/>
      <c r="M19" s="955" t="str">
        <f>AJ39</f>
        <v>Fail</v>
      </c>
      <c r="N19" s="953" t="str">
        <f>AJ58</f>
        <v>Fail</v>
      </c>
      <c r="O19" s="956" t="str">
        <f>AJ77</f>
        <v>Fail</v>
      </c>
      <c r="P19" s="623"/>
      <c r="Q19" s="272"/>
      <c r="S19" s="407">
        <v>13.5</v>
      </c>
      <c r="T19" s="408">
        <v>15</v>
      </c>
      <c r="U19" s="389" t="s">
        <v>620</v>
      </c>
      <c r="AR19" s="360"/>
      <c r="AS19" s="360"/>
      <c r="AT19" s="360"/>
      <c r="AU19" s="360"/>
      <c r="AV19" s="360"/>
      <c r="AW19" s="360"/>
      <c r="AX19" s="360"/>
      <c r="AY19" s="360"/>
      <c r="AZ19" s="360"/>
      <c r="BA19" s="360"/>
      <c r="BB19" s="360"/>
      <c r="BC19" s="360"/>
      <c r="BD19" s="360"/>
      <c r="BE19" s="360"/>
      <c r="BF19" s="360"/>
      <c r="BG19" s="360"/>
      <c r="BH19" s="360"/>
    </row>
    <row r="20" spans="1:64" ht="15.75" thickBot="1" x14ac:dyDescent="0.3">
      <c r="A20" s="272"/>
      <c r="B20" s="792"/>
      <c r="C20" s="624"/>
      <c r="D20" s="624"/>
      <c r="E20" s="624"/>
      <c r="F20" s="624"/>
      <c r="G20" s="624"/>
      <c r="H20" s="624"/>
      <c r="I20" s="624"/>
      <c r="J20" s="624"/>
      <c r="K20" s="624"/>
      <c r="L20" s="624"/>
      <c r="M20" s="624"/>
      <c r="N20" s="625"/>
      <c r="O20" s="624"/>
      <c r="P20" s="623"/>
      <c r="Q20" s="272"/>
      <c r="S20" s="407">
        <v>7.5</v>
      </c>
      <c r="T20" s="408">
        <v>8</v>
      </c>
      <c r="U20" s="389" t="s">
        <v>621</v>
      </c>
      <c r="AR20" s="360"/>
      <c r="AS20" s="360"/>
      <c r="AT20" s="360"/>
      <c r="AU20" s="360"/>
      <c r="AV20" s="360"/>
      <c r="AW20" s="360"/>
      <c r="AX20" s="360"/>
      <c r="AY20" s="360"/>
      <c r="AZ20" s="360"/>
      <c r="BA20" s="360"/>
      <c r="BB20" s="360"/>
      <c r="BC20" s="360"/>
      <c r="BD20" s="360"/>
      <c r="BE20" s="360"/>
      <c r="BF20" s="360"/>
      <c r="BG20" s="360"/>
      <c r="BH20" s="360"/>
      <c r="BK20" s="360"/>
      <c r="BL20" s="360"/>
    </row>
    <row r="21" spans="1:64" ht="16.5" customHeight="1" thickBot="1" x14ac:dyDescent="0.3">
      <c r="A21" s="272"/>
      <c r="B21" s="792"/>
      <c r="C21" s="1258" t="s">
        <v>747</v>
      </c>
      <c r="D21" s="1259"/>
      <c r="E21" s="1259"/>
      <c r="F21" s="1259"/>
      <c r="G21" s="1259"/>
      <c r="H21" s="1259"/>
      <c r="I21" s="1260"/>
      <c r="J21" s="624"/>
      <c r="K21" s="1246" t="s">
        <v>806</v>
      </c>
      <c r="L21" s="1247"/>
      <c r="M21" s="1247"/>
      <c r="N21" s="1247"/>
      <c r="O21" s="1248"/>
      <c r="P21" s="623"/>
      <c r="Q21" s="272"/>
      <c r="S21" s="407">
        <v>10</v>
      </c>
      <c r="T21" s="408" t="s">
        <v>563</v>
      </c>
      <c r="U21" s="389" t="s">
        <v>617</v>
      </c>
      <c r="X21" s="1258" t="s">
        <v>747</v>
      </c>
      <c r="Y21" s="1259"/>
      <c r="Z21" s="1259"/>
      <c r="AA21" s="1259"/>
      <c r="AB21" s="1259"/>
      <c r="AC21" s="1259"/>
      <c r="AD21" s="1260"/>
      <c r="AR21" s="360"/>
      <c r="AS21" s="360"/>
      <c r="AT21" s="360"/>
      <c r="AU21" s="360"/>
      <c r="AV21" s="360"/>
      <c r="AW21" s="360"/>
      <c r="AX21" s="360"/>
      <c r="AY21" s="360"/>
      <c r="AZ21" s="360"/>
      <c r="BA21" s="360"/>
      <c r="BB21" s="360"/>
      <c r="BC21" s="360"/>
      <c r="BD21" s="360"/>
      <c r="BE21" s="360"/>
      <c r="BF21" s="360"/>
      <c r="BG21" s="360"/>
      <c r="BH21" s="360"/>
      <c r="BI21" s="358"/>
      <c r="BJ21" s="358"/>
    </row>
    <row r="22" spans="1:64" x14ac:dyDescent="0.25">
      <c r="A22" s="272"/>
      <c r="B22" s="792"/>
      <c r="C22" s="1255"/>
      <c r="D22" s="826" t="s">
        <v>547</v>
      </c>
      <c r="E22" s="1261" t="s">
        <v>549</v>
      </c>
      <c r="F22" s="1243" t="s">
        <v>553</v>
      </c>
      <c r="G22" s="1243" t="s">
        <v>564</v>
      </c>
      <c r="H22" s="1243" t="s">
        <v>559</v>
      </c>
      <c r="I22" s="1243" t="s">
        <v>565</v>
      </c>
      <c r="J22" s="624"/>
      <c r="K22" s="1249"/>
      <c r="L22" s="1250"/>
      <c r="M22" s="1250"/>
      <c r="N22" s="1250"/>
      <c r="O22" s="1251"/>
      <c r="P22" s="623"/>
      <c r="Q22" s="272"/>
      <c r="S22" s="407">
        <v>8</v>
      </c>
      <c r="T22" s="408">
        <v>9</v>
      </c>
      <c r="U22" s="389" t="s">
        <v>622</v>
      </c>
      <c r="X22" s="1255"/>
      <c r="Y22" s="925" t="s">
        <v>547</v>
      </c>
      <c r="Z22" s="1261" t="s">
        <v>549</v>
      </c>
      <c r="AA22" s="1243" t="s">
        <v>553</v>
      </c>
      <c r="AB22" s="1243" t="s">
        <v>564</v>
      </c>
      <c r="AC22" s="1243" t="s">
        <v>559</v>
      </c>
      <c r="AD22" s="1243" t="s">
        <v>561</v>
      </c>
      <c r="AR22" s="360"/>
      <c r="AS22" s="360"/>
      <c r="AT22" s="360"/>
      <c r="AU22" s="360"/>
      <c r="AV22" s="360"/>
      <c r="AW22" s="360"/>
      <c r="AX22" s="360"/>
      <c r="AY22" s="360"/>
      <c r="AZ22" s="360"/>
      <c r="BA22" s="360"/>
      <c r="BB22" s="360"/>
      <c r="BC22" s="360"/>
      <c r="BD22" s="360"/>
      <c r="BE22" s="360"/>
      <c r="BF22" s="360"/>
      <c r="BG22" s="360"/>
      <c r="BH22" s="360"/>
    </row>
    <row r="23" spans="1:64" s="419" customFormat="1" ht="15.75" customHeight="1" thickBot="1" x14ac:dyDescent="0.3">
      <c r="A23" s="272"/>
      <c r="B23" s="792"/>
      <c r="C23" s="1256"/>
      <c r="D23" s="806"/>
      <c r="E23" s="1262"/>
      <c r="F23" s="1244"/>
      <c r="G23" s="1244"/>
      <c r="H23" s="1244"/>
      <c r="I23" s="1244"/>
      <c r="J23" s="420"/>
      <c r="K23" s="1249"/>
      <c r="L23" s="1250"/>
      <c r="M23" s="1250"/>
      <c r="N23" s="1250"/>
      <c r="O23" s="1251"/>
      <c r="P23" s="626"/>
      <c r="Q23" s="272"/>
      <c r="S23" s="421">
        <v>10</v>
      </c>
      <c r="T23" s="422">
        <v>10</v>
      </c>
      <c r="U23" s="409" t="s">
        <v>614</v>
      </c>
      <c r="X23" s="1256"/>
      <c r="Y23" s="919"/>
      <c r="Z23" s="1262"/>
      <c r="AA23" s="1244"/>
      <c r="AB23" s="1244"/>
      <c r="AC23" s="1244"/>
      <c r="AD23" s="1244"/>
      <c r="AR23" s="360"/>
      <c r="AS23" s="360"/>
      <c r="AT23" s="360"/>
      <c r="AU23" s="360"/>
      <c r="AV23" s="360"/>
      <c r="AW23" s="360"/>
      <c r="AX23" s="360"/>
      <c r="AY23" s="360"/>
      <c r="AZ23" s="360"/>
      <c r="BA23" s="360"/>
      <c r="BB23" s="360"/>
      <c r="BC23" s="360"/>
      <c r="BD23" s="360"/>
      <c r="BE23" s="360"/>
      <c r="BF23" s="360"/>
      <c r="BG23" s="360"/>
      <c r="BH23" s="360"/>
    </row>
    <row r="24" spans="1:64" ht="25.5" customHeight="1" x14ac:dyDescent="0.25">
      <c r="A24" s="272"/>
      <c r="B24" s="792"/>
      <c r="C24" s="1256"/>
      <c r="D24" s="806" t="s">
        <v>566</v>
      </c>
      <c r="E24" s="1262"/>
      <c r="F24" s="1244"/>
      <c r="G24" s="1244"/>
      <c r="H24" s="1244"/>
      <c r="I24" s="1244"/>
      <c r="J24" s="624"/>
      <c r="K24" s="1249"/>
      <c r="L24" s="1250"/>
      <c r="M24" s="1250"/>
      <c r="N24" s="1250"/>
      <c r="O24" s="1251"/>
      <c r="P24" s="623"/>
      <c r="Q24" s="272"/>
      <c r="X24" s="1256"/>
      <c r="Y24" s="919" t="s">
        <v>566</v>
      </c>
      <c r="Z24" s="1262"/>
      <c r="AA24" s="1244"/>
      <c r="AB24" s="1244"/>
      <c r="AC24" s="1244"/>
      <c r="AD24" s="1244"/>
      <c r="AR24" s="360"/>
      <c r="AS24" s="360"/>
      <c r="AT24" s="360"/>
      <c r="AU24" s="360"/>
      <c r="AV24" s="360"/>
      <c r="AW24" s="360"/>
      <c r="AX24" s="360"/>
      <c r="AY24" s="360"/>
      <c r="AZ24" s="360"/>
      <c r="BA24" s="360"/>
      <c r="BB24" s="360"/>
      <c r="BC24" s="360"/>
      <c r="BD24" s="360"/>
      <c r="BE24" s="360"/>
      <c r="BF24" s="360"/>
      <c r="BG24" s="360"/>
      <c r="BH24" s="360"/>
    </row>
    <row r="25" spans="1:64" ht="15.75" thickBot="1" x14ac:dyDescent="0.3">
      <c r="A25" s="272"/>
      <c r="B25" s="792"/>
      <c r="C25" s="1257"/>
      <c r="D25" s="807"/>
      <c r="E25" s="1263"/>
      <c r="F25" s="1245"/>
      <c r="G25" s="1245"/>
      <c r="H25" s="1245"/>
      <c r="I25" s="1245"/>
      <c r="J25" s="624"/>
      <c r="K25" s="1249"/>
      <c r="L25" s="1250"/>
      <c r="M25" s="1250"/>
      <c r="N25" s="1250"/>
      <c r="O25" s="1251"/>
      <c r="P25" s="623"/>
      <c r="Q25" s="272"/>
      <c r="X25" s="1257"/>
      <c r="Y25" s="920"/>
      <c r="Z25" s="1263"/>
      <c r="AA25" s="1245"/>
      <c r="AB25" s="1245"/>
      <c r="AC25" s="1245"/>
      <c r="AD25" s="1245"/>
    </row>
    <row r="26" spans="1:64" x14ac:dyDescent="0.25">
      <c r="A26" s="272"/>
      <c r="B26" s="792"/>
      <c r="C26" s="808" t="s">
        <v>255</v>
      </c>
      <c r="D26" s="809" t="s">
        <v>567</v>
      </c>
      <c r="E26" s="810">
        <f>'Pre-analyse'!BH44</f>
        <v>0</v>
      </c>
      <c r="F26" s="811">
        <f>'Pre-analyse'!BH44</f>
        <v>0</v>
      </c>
      <c r="G26" s="811">
        <f>'Pre-analyse'!BH44</f>
        <v>0</v>
      </c>
      <c r="H26" s="811">
        <f>'Pre-analyse'!BH44</f>
        <v>0</v>
      </c>
      <c r="I26" s="812">
        <f>'Pre-analyse'!BH44</f>
        <v>0</v>
      </c>
      <c r="J26" s="624"/>
      <c r="K26" s="1249"/>
      <c r="L26" s="1250"/>
      <c r="M26" s="1250"/>
      <c r="N26" s="1250"/>
      <c r="O26" s="1251"/>
      <c r="P26" s="628"/>
      <c r="Q26" s="272"/>
      <c r="R26" s="604"/>
      <c r="S26" s="360"/>
      <c r="T26" s="360"/>
      <c r="X26" s="921" t="s">
        <v>255</v>
      </c>
      <c r="Y26" s="922" t="s">
        <v>567</v>
      </c>
      <c r="Z26" s="886">
        <f>IF(OR(E26=E85,E26&gt;E85),1,0)</f>
        <v>0</v>
      </c>
      <c r="AA26" s="889">
        <f t="shared" ref="AA26:AA28" si="8">IF(OR(F26=F85,F26&gt;F85),1,0)</f>
        <v>0</v>
      </c>
      <c r="AB26" s="889">
        <f t="shared" ref="AB26:AB32" si="9">IF(OR(G26=G85,G26&gt;G85),1,0)</f>
        <v>0</v>
      </c>
      <c r="AC26" s="883">
        <f t="shared" ref="AC26:AD26" si="10">IF(OR(H26=H85,H26&gt;H85),1,0)</f>
        <v>0</v>
      </c>
      <c r="AD26" s="887">
        <f t="shared" si="10"/>
        <v>0</v>
      </c>
    </row>
    <row r="27" spans="1:64" x14ac:dyDescent="0.25">
      <c r="A27" s="272"/>
      <c r="B27" s="792"/>
      <c r="C27" s="813" t="s">
        <v>198</v>
      </c>
      <c r="D27" s="814" t="s">
        <v>568</v>
      </c>
      <c r="E27" s="815">
        <f>'Pre-analyse'!BK51</f>
        <v>0</v>
      </c>
      <c r="F27" s="816">
        <f>'Pre-analyse'!BK51</f>
        <v>0</v>
      </c>
      <c r="G27" s="816">
        <f>'Pre-analyse'!BK51</f>
        <v>0</v>
      </c>
      <c r="H27" s="816">
        <f>'Pre-analyse'!BK51</f>
        <v>0</v>
      </c>
      <c r="I27" s="817">
        <f>'Pre-analyse'!BK51</f>
        <v>0</v>
      </c>
      <c r="J27" s="624"/>
      <c r="K27" s="1249"/>
      <c r="L27" s="1250"/>
      <c r="M27" s="1250"/>
      <c r="N27" s="1250"/>
      <c r="O27" s="1251"/>
      <c r="P27" s="628"/>
      <c r="Q27" s="272"/>
      <c r="R27" s="604"/>
      <c r="S27" s="360"/>
      <c r="T27" s="360"/>
      <c r="X27" s="923" t="s">
        <v>198</v>
      </c>
      <c r="Y27" s="924" t="s">
        <v>568</v>
      </c>
      <c r="Z27" s="888">
        <f>IF(E27="x",1,0)</f>
        <v>0</v>
      </c>
      <c r="AA27" s="889">
        <f t="shared" ref="AA27:AD27" si="11">IF(F27="x",1,0)</f>
        <v>0</v>
      </c>
      <c r="AB27" s="889">
        <f t="shared" si="11"/>
        <v>0</v>
      </c>
      <c r="AC27" s="889">
        <f t="shared" si="11"/>
        <v>0</v>
      </c>
      <c r="AD27" s="890">
        <f t="shared" si="11"/>
        <v>0</v>
      </c>
    </row>
    <row r="28" spans="1:64" x14ac:dyDescent="0.25">
      <c r="A28" s="272"/>
      <c r="B28" s="792"/>
      <c r="C28" s="813" t="s">
        <v>100</v>
      </c>
      <c r="D28" s="814" t="s">
        <v>569</v>
      </c>
      <c r="E28" s="815">
        <f>'Pre-analyse'!BH32</f>
        <v>0</v>
      </c>
      <c r="F28" s="816">
        <f>'Pre-analyse'!BH32</f>
        <v>0</v>
      </c>
      <c r="G28" s="816">
        <f>'Pre-analyse'!BH32</f>
        <v>0</v>
      </c>
      <c r="H28" s="816">
        <f>'Pre-analyse'!BH32</f>
        <v>0</v>
      </c>
      <c r="I28" s="817">
        <f>'Pre-analyse'!BH32</f>
        <v>0</v>
      </c>
      <c r="J28" s="624"/>
      <c r="K28" s="1252"/>
      <c r="L28" s="1253"/>
      <c r="M28" s="1253"/>
      <c r="N28" s="1253"/>
      <c r="O28" s="1254"/>
      <c r="P28" s="628"/>
      <c r="Q28" s="272"/>
      <c r="R28" s="604"/>
      <c r="S28" s="360"/>
      <c r="T28" s="360"/>
      <c r="X28" s="923" t="s">
        <v>100</v>
      </c>
      <c r="Y28" s="924" t="s">
        <v>569</v>
      </c>
      <c r="Z28" s="888">
        <f t="shared" ref="Z28" si="12">IF(OR(E28=E87,E28&gt;E87),1,0)</f>
        <v>0</v>
      </c>
      <c r="AA28" s="889">
        <f t="shared" si="8"/>
        <v>0</v>
      </c>
      <c r="AB28" s="889">
        <f t="shared" si="9"/>
        <v>0</v>
      </c>
      <c r="AC28" s="889">
        <f t="shared" ref="AC28" si="13">IF(OR(H28=H87,H28&gt;H87),1,0)</f>
        <v>0</v>
      </c>
      <c r="AD28" s="890">
        <f t="shared" ref="AD28" si="14">IF(OR(I28=I87,I28&gt;I87),1,0)</f>
        <v>0</v>
      </c>
    </row>
    <row r="29" spans="1:64" x14ac:dyDescent="0.25">
      <c r="A29" s="272"/>
      <c r="B29" s="792"/>
      <c r="C29" s="813" t="s">
        <v>178</v>
      </c>
      <c r="D29" s="814" t="s">
        <v>570</v>
      </c>
      <c r="E29" s="818"/>
      <c r="F29" s="816">
        <f>'Pre-analyse'!BH50</f>
        <v>0</v>
      </c>
      <c r="G29" s="816">
        <f>'Pre-analyse'!BH50</f>
        <v>0</v>
      </c>
      <c r="H29" s="816">
        <f>'Pre-analyse'!BH50</f>
        <v>0</v>
      </c>
      <c r="I29" s="817">
        <f>'Pre-analyse'!BH50</f>
        <v>0</v>
      </c>
      <c r="J29" s="624"/>
      <c r="K29" s="627"/>
      <c r="L29" s="627"/>
      <c r="M29" s="627"/>
      <c r="N29" s="627"/>
      <c r="O29" s="627"/>
      <c r="P29" s="628"/>
      <c r="Q29" s="272"/>
      <c r="R29" s="604"/>
      <c r="S29" s="360" t="s">
        <v>497</v>
      </c>
      <c r="T29" s="360"/>
      <c r="X29" s="923" t="s">
        <v>178</v>
      </c>
      <c r="Y29" s="924" t="s">
        <v>570</v>
      </c>
      <c r="Z29" s="939">
        <f>IF(Z26+Z27+Z28=3,1,0)</f>
        <v>0</v>
      </c>
      <c r="AA29" s="889">
        <f t="shared" ref="AA29" si="15">IF(OR(F29=F88,F29&gt;F88),1,0)</f>
        <v>0</v>
      </c>
      <c r="AB29" s="889">
        <f t="shared" si="9"/>
        <v>0</v>
      </c>
      <c r="AC29" s="889">
        <f t="shared" ref="AC29" si="16">IF(OR(H29=H88,H29&gt;H88),1,0)</f>
        <v>0</v>
      </c>
      <c r="AD29" s="890">
        <f t="shared" ref="AD29" si="17">IF(OR(I29=I88,I29&gt;I88),1,0)</f>
        <v>0</v>
      </c>
    </row>
    <row r="30" spans="1:64" x14ac:dyDescent="0.25">
      <c r="A30" s="272"/>
      <c r="B30" s="792"/>
      <c r="C30" s="813" t="s">
        <v>73</v>
      </c>
      <c r="D30" s="814" t="s">
        <v>423</v>
      </c>
      <c r="E30" s="818"/>
      <c r="F30" s="819"/>
      <c r="G30" s="816">
        <f>'Pre-analyse'!BH36</f>
        <v>0</v>
      </c>
      <c r="H30" s="816">
        <f>'Pre-analyse'!BH36</f>
        <v>0</v>
      </c>
      <c r="I30" s="817">
        <f>'Pre-analyse'!BH36</f>
        <v>0</v>
      </c>
      <c r="J30" s="624" t="str">
        <f>IF(U31="Nei",S32,"")</f>
        <v/>
      </c>
      <c r="P30" s="628"/>
      <c r="Q30" s="272"/>
      <c r="R30" s="604"/>
      <c r="S30" s="831" t="s">
        <v>703</v>
      </c>
      <c r="T30" s="831" t="s">
        <v>765</v>
      </c>
      <c r="U30" s="358" t="s">
        <v>766</v>
      </c>
      <c r="X30" s="923" t="s">
        <v>73</v>
      </c>
      <c r="Y30" s="924" t="s">
        <v>423</v>
      </c>
      <c r="Z30" s="939">
        <f>IF(Z26+Z27+Z28=3,1,0)</f>
        <v>0</v>
      </c>
      <c r="AA30" s="940">
        <f>IF(AA26+AA27+AA28+AA29=4,1,0)</f>
        <v>0</v>
      </c>
      <c r="AB30" s="889">
        <f t="shared" si="9"/>
        <v>0</v>
      </c>
      <c r="AC30" s="889">
        <f t="shared" ref="AC30:AC33" si="18">IF(OR(H30=H89,H30&gt;H89),1,0)</f>
        <v>0</v>
      </c>
      <c r="AD30" s="890">
        <f t="shared" ref="AD30:AD33" si="19">IF(OR(I30=I89,I30&gt;I89),1,0)</f>
        <v>0</v>
      </c>
    </row>
    <row r="31" spans="1:64" x14ac:dyDescent="0.25">
      <c r="A31" s="272"/>
      <c r="B31" s="792"/>
      <c r="C31" s="813" t="s">
        <v>205</v>
      </c>
      <c r="D31" s="814" t="s">
        <v>443</v>
      </c>
      <c r="E31" s="818"/>
      <c r="F31" s="819"/>
      <c r="G31" s="816">
        <f>'Pre-analyse'!BH37</f>
        <v>0</v>
      </c>
      <c r="H31" s="816">
        <f>'Pre-analyse'!BH37</f>
        <v>0</v>
      </c>
      <c r="I31" s="817">
        <f>'Pre-analyse'!BH37</f>
        <v>0</v>
      </c>
      <c r="J31" s="624"/>
      <c r="P31" s="628"/>
      <c r="Q31" s="272"/>
      <c r="R31" s="604"/>
      <c r="S31" s="830" t="str">
        <f>'Prosjektdetaljer '!K6</f>
        <v>Utdanning</v>
      </c>
      <c r="T31" s="360">
        <f>'Prosjektdetaljer '!K19</f>
        <v>0</v>
      </c>
      <c r="U31" s="358" t="str">
        <f>IF(AND(S31=S29,T31&lt;500),"Nei","Ja")</f>
        <v>Ja</v>
      </c>
      <c r="X31" s="923" t="s">
        <v>205</v>
      </c>
      <c r="Y31" s="924" t="s">
        <v>443</v>
      </c>
      <c r="Z31" s="939">
        <f>IF(Z26+Z27+Z28=3,1,0)</f>
        <v>0</v>
      </c>
      <c r="AA31" s="940">
        <f t="shared" ref="AA31:AA38" si="20">IF(AA27+AA28+AA29+AA30=4,1,0)</f>
        <v>0</v>
      </c>
      <c r="AB31" s="889">
        <f t="shared" si="9"/>
        <v>0</v>
      </c>
      <c r="AC31" s="889">
        <f t="shared" si="18"/>
        <v>0</v>
      </c>
      <c r="AD31" s="890">
        <f t="shared" si="19"/>
        <v>0</v>
      </c>
    </row>
    <row r="32" spans="1:64" ht="15.75" customHeight="1" x14ac:dyDescent="0.25">
      <c r="A32" s="272"/>
      <c r="B32" s="792"/>
      <c r="C32" s="813" t="s">
        <v>447</v>
      </c>
      <c r="D32" s="814" t="s">
        <v>425</v>
      </c>
      <c r="E32" s="818"/>
      <c r="F32" s="819"/>
      <c r="G32" s="816">
        <f>'Pre-analyse'!BH30</f>
        <v>0</v>
      </c>
      <c r="H32" s="816">
        <f>'Pre-analyse'!BH30</f>
        <v>0</v>
      </c>
      <c r="I32" s="817">
        <f>'Pre-analyse'!BH30</f>
        <v>0</v>
      </c>
      <c r="J32" s="624"/>
      <c r="K32" s="1264" t="s">
        <v>483</v>
      </c>
      <c r="L32" s="1265"/>
      <c r="M32" s="1265"/>
      <c r="N32" s="1265"/>
      <c r="O32" s="1266"/>
      <c r="P32" s="628"/>
      <c r="Q32" s="272"/>
      <c r="R32" s="604"/>
      <c r="S32" s="784" t="s">
        <v>764</v>
      </c>
      <c r="T32" s="748"/>
      <c r="X32" s="923" t="s">
        <v>447</v>
      </c>
      <c r="Y32" s="924" t="s">
        <v>425</v>
      </c>
      <c r="Z32" s="939">
        <f>IF(Z26+Z27+Z28=3,1,0)</f>
        <v>0</v>
      </c>
      <c r="AA32" s="940">
        <f t="shared" si="20"/>
        <v>0</v>
      </c>
      <c r="AB32" s="889">
        <f t="shared" si="9"/>
        <v>0</v>
      </c>
      <c r="AC32" s="889">
        <f t="shared" si="18"/>
        <v>0</v>
      </c>
      <c r="AD32" s="890">
        <f t="shared" si="19"/>
        <v>0</v>
      </c>
    </row>
    <row r="33" spans="1:56" x14ac:dyDescent="0.25">
      <c r="A33" s="272"/>
      <c r="B33" s="792"/>
      <c r="C33" s="813" t="s">
        <v>226</v>
      </c>
      <c r="D33" s="814" t="s">
        <v>225</v>
      </c>
      <c r="E33" s="818"/>
      <c r="F33" s="819"/>
      <c r="G33" s="816">
        <f>'Pre-analyse'!BH13</f>
        <v>0</v>
      </c>
      <c r="H33" s="816">
        <f>'Pre-analyse'!BH13</f>
        <v>0</v>
      </c>
      <c r="I33" s="817">
        <f>'Pre-analyse'!BH13</f>
        <v>0</v>
      </c>
      <c r="J33" s="624"/>
      <c r="K33" s="1267"/>
      <c r="L33" s="1268"/>
      <c r="M33" s="1268"/>
      <c r="N33" s="1268"/>
      <c r="O33" s="1269"/>
      <c r="P33" s="628"/>
      <c r="Q33" s="272"/>
      <c r="R33" s="604"/>
      <c r="S33" s="360"/>
      <c r="T33" s="360"/>
      <c r="X33" s="923" t="s">
        <v>226</v>
      </c>
      <c r="Y33" s="924" t="s">
        <v>225</v>
      </c>
      <c r="Z33" s="939">
        <f>IF(Z26+Z27+Z28=3,1,0)</f>
        <v>0</v>
      </c>
      <c r="AA33" s="940">
        <f t="shared" si="20"/>
        <v>0</v>
      </c>
      <c r="AB33" s="889">
        <f t="shared" ref="AB33" si="21">IF(OR(G33=G92,G33&gt;G92),1,0)</f>
        <v>0</v>
      </c>
      <c r="AC33" s="889">
        <f t="shared" si="18"/>
        <v>0</v>
      </c>
      <c r="AD33" s="890">
        <f t="shared" si="19"/>
        <v>0</v>
      </c>
    </row>
    <row r="34" spans="1:56" ht="15.75" thickBot="1" x14ac:dyDescent="0.3">
      <c r="A34" s="272"/>
      <c r="B34" s="792"/>
      <c r="C34" s="813" t="s">
        <v>247</v>
      </c>
      <c r="D34" s="814" t="s">
        <v>571</v>
      </c>
      <c r="E34" s="818"/>
      <c r="F34" s="819"/>
      <c r="G34" s="819"/>
      <c r="H34" s="816">
        <f>'Pre-analyse'!BH9</f>
        <v>0</v>
      </c>
      <c r="I34" s="817">
        <f>'Pre-analyse'!BH9</f>
        <v>0</v>
      </c>
      <c r="J34" s="624"/>
      <c r="K34" s="1267"/>
      <c r="L34" s="1268"/>
      <c r="M34" s="1268"/>
      <c r="N34" s="1268"/>
      <c r="O34" s="1269"/>
      <c r="P34" s="623"/>
      <c r="Q34" s="272"/>
      <c r="X34" s="923" t="s">
        <v>247</v>
      </c>
      <c r="Y34" s="924" t="s">
        <v>571</v>
      </c>
      <c r="Z34" s="939">
        <f>IF(Z26+Z27+Z28=3,1,0)</f>
        <v>0</v>
      </c>
      <c r="AA34" s="940">
        <f t="shared" si="20"/>
        <v>0</v>
      </c>
      <c r="AB34" s="940">
        <f>IF(AB26+AB27+AB28+AB30+AB29+AB31+AB32+AB33=8,1,0)</f>
        <v>0</v>
      </c>
      <c r="AC34" s="889">
        <f t="shared" ref="AC34:AC38" si="22">IF(OR(H34=H93,H34&gt;H93),1,0)</f>
        <v>0</v>
      </c>
      <c r="AD34" s="890">
        <f t="shared" ref="AD34:AD38" si="23">IF(OR(I34=I93,I34&gt;I93),1,0)</f>
        <v>0</v>
      </c>
    </row>
    <row r="35" spans="1:56" ht="15.75" thickBot="1" x14ac:dyDescent="0.3">
      <c r="A35" s="272"/>
      <c r="B35" s="792"/>
      <c r="C35" s="813" t="s">
        <v>592</v>
      </c>
      <c r="D35" s="814" t="s">
        <v>431</v>
      </c>
      <c r="E35" s="818"/>
      <c r="F35" s="819"/>
      <c r="G35" s="819"/>
      <c r="H35" s="816">
        <f>'Pre-analyse'!BH15</f>
        <v>0</v>
      </c>
      <c r="I35" s="817">
        <f>'Pre-analyse'!BH15</f>
        <v>0</v>
      </c>
      <c r="J35" s="624"/>
      <c r="K35" s="1270"/>
      <c r="L35" s="1271"/>
      <c r="M35" s="1271"/>
      <c r="N35" s="1271"/>
      <c r="O35" s="1272"/>
      <c r="P35" s="623"/>
      <c r="Q35" s="272"/>
      <c r="S35" s="963" t="s">
        <v>800</v>
      </c>
      <c r="T35" s="970" t="s">
        <v>791</v>
      </c>
      <c r="U35" s="952"/>
      <c r="X35" s="923" t="s">
        <v>592</v>
      </c>
      <c r="Y35" s="924" t="s">
        <v>431</v>
      </c>
      <c r="Z35" s="939">
        <f>IF(Z26+Z27+Z28=3,1,0)</f>
        <v>0</v>
      </c>
      <c r="AA35" s="940">
        <f t="shared" si="20"/>
        <v>0</v>
      </c>
      <c r="AB35" s="940">
        <f t="shared" ref="AB35:AB38" si="24">IF(AB27+AB28+AB29+AB31+AB30+AB32+AB33+AB34=8,1,0)</f>
        <v>0</v>
      </c>
      <c r="AC35" s="889">
        <f t="shared" si="22"/>
        <v>0</v>
      </c>
      <c r="AD35" s="890">
        <f t="shared" si="23"/>
        <v>0</v>
      </c>
    </row>
    <row r="36" spans="1:56" x14ac:dyDescent="0.25">
      <c r="A36" s="272"/>
      <c r="B36" s="792"/>
      <c r="C36" s="813" t="s">
        <v>176</v>
      </c>
      <c r="D36" s="814" t="s">
        <v>572</v>
      </c>
      <c r="E36" s="818"/>
      <c r="F36" s="819"/>
      <c r="G36" s="819"/>
      <c r="H36" s="816">
        <f>'Pre-analyse'!BH49</f>
        <v>0</v>
      </c>
      <c r="I36" s="817">
        <f>'Pre-analyse'!BH49</f>
        <v>0</v>
      </c>
      <c r="J36" s="624"/>
      <c r="K36" s="1270"/>
      <c r="L36" s="1271"/>
      <c r="M36" s="1271"/>
      <c r="N36" s="1271"/>
      <c r="O36" s="1272"/>
      <c r="P36" s="623"/>
      <c r="Q36" s="272"/>
      <c r="S36" s="964" t="str">
        <f>S3</f>
        <v>Fail</v>
      </c>
      <c r="T36" s="971">
        <v>1</v>
      </c>
      <c r="U36" s="967" t="str">
        <f>S36</f>
        <v>Fail</v>
      </c>
      <c r="X36" s="923" t="s">
        <v>176</v>
      </c>
      <c r="Y36" s="924" t="s">
        <v>572</v>
      </c>
      <c r="Z36" s="939">
        <f>IF(Z26+Z27+Z28=3,1,0)</f>
        <v>0</v>
      </c>
      <c r="AA36" s="940">
        <f t="shared" si="20"/>
        <v>0</v>
      </c>
      <c r="AB36" s="940">
        <f t="shared" si="24"/>
        <v>0</v>
      </c>
      <c r="AC36" s="889">
        <f t="shared" si="22"/>
        <v>0</v>
      </c>
      <c r="AD36" s="890">
        <f t="shared" si="23"/>
        <v>0</v>
      </c>
    </row>
    <row r="37" spans="1:56" ht="15.75" thickBot="1" x14ac:dyDescent="0.3">
      <c r="A37" s="272"/>
      <c r="B37" s="792"/>
      <c r="C37" s="813" t="s">
        <v>249</v>
      </c>
      <c r="D37" s="814" t="s">
        <v>428</v>
      </c>
      <c r="E37" s="818"/>
      <c r="F37" s="819"/>
      <c r="G37" s="819"/>
      <c r="H37" s="816">
        <f>'Pre-analyse'!BH18</f>
        <v>0</v>
      </c>
      <c r="I37" s="817">
        <f>'Pre-analyse'!BH18</f>
        <v>0</v>
      </c>
      <c r="J37" s="624"/>
      <c r="K37" s="1270"/>
      <c r="L37" s="1271"/>
      <c r="M37" s="1271"/>
      <c r="N37" s="1271"/>
      <c r="O37" s="1272"/>
      <c r="P37" s="623"/>
      <c r="Q37" s="272"/>
      <c r="S37" s="965" t="str">
        <f>S6</f>
        <v>Pass</v>
      </c>
      <c r="T37" s="972">
        <v>2</v>
      </c>
      <c r="U37" s="968" t="str">
        <f t="shared" ref="U37:U41" si="25">S37</f>
        <v>Pass</v>
      </c>
      <c r="X37" s="923" t="s">
        <v>249</v>
      </c>
      <c r="Y37" s="924" t="s">
        <v>428</v>
      </c>
      <c r="Z37" s="939">
        <f>IF(Z26+Z27+Z28=3,1,0)</f>
        <v>0</v>
      </c>
      <c r="AA37" s="940">
        <f t="shared" si="20"/>
        <v>0</v>
      </c>
      <c r="AB37" s="940">
        <f t="shared" si="24"/>
        <v>0</v>
      </c>
      <c r="AC37" s="889">
        <f t="shared" si="22"/>
        <v>0</v>
      </c>
      <c r="AD37" s="890">
        <f t="shared" si="23"/>
        <v>0</v>
      </c>
    </row>
    <row r="38" spans="1:56" ht="15.75" thickBot="1" x14ac:dyDescent="0.3">
      <c r="A38" s="272"/>
      <c r="B38" s="792"/>
      <c r="C38" s="820" t="s">
        <v>109</v>
      </c>
      <c r="D38" s="821" t="s">
        <v>108</v>
      </c>
      <c r="E38" s="822"/>
      <c r="F38" s="823"/>
      <c r="G38" s="823"/>
      <c r="H38" s="824">
        <f>'Pre-analyse'!BH83</f>
        <v>0</v>
      </c>
      <c r="I38" s="825">
        <f>'Pre-analyse'!BH83</f>
        <v>0</v>
      </c>
      <c r="J38" s="624"/>
      <c r="K38" s="1270"/>
      <c r="L38" s="1271"/>
      <c r="M38" s="1271"/>
      <c r="N38" s="1271"/>
      <c r="O38" s="1272"/>
      <c r="P38" s="623"/>
      <c r="Q38" s="272"/>
      <c r="S38" s="965" t="str">
        <f t="shared" ref="S38:S41" si="26">S7</f>
        <v>Good</v>
      </c>
      <c r="T38" s="972">
        <v>3</v>
      </c>
      <c r="U38" s="968" t="str">
        <f t="shared" si="25"/>
        <v>Good</v>
      </c>
      <c r="X38" s="941" t="s">
        <v>109</v>
      </c>
      <c r="Y38" s="942" t="s">
        <v>108</v>
      </c>
      <c r="Z38" s="943">
        <f>IF(Z26+Z27+Z28=3,1,0)</f>
        <v>0</v>
      </c>
      <c r="AA38" s="940">
        <f t="shared" si="20"/>
        <v>0</v>
      </c>
      <c r="AB38" s="940">
        <f t="shared" si="24"/>
        <v>0</v>
      </c>
      <c r="AC38" s="944">
        <f t="shared" si="22"/>
        <v>0</v>
      </c>
      <c r="AD38" s="945">
        <f t="shared" si="23"/>
        <v>0</v>
      </c>
      <c r="AF38" s="975" t="s">
        <v>799</v>
      </c>
      <c r="AG38" s="976" t="s">
        <v>801</v>
      </c>
      <c r="AH38" s="975" t="s">
        <v>802</v>
      </c>
      <c r="AI38" s="978" t="s">
        <v>803</v>
      </c>
      <c r="AJ38" s="979" t="s">
        <v>804</v>
      </c>
    </row>
    <row r="39" spans="1:56" ht="15.75" thickBot="1" x14ac:dyDescent="0.3">
      <c r="A39" s="272"/>
      <c r="B39" s="792"/>
      <c r="C39" s="805"/>
      <c r="D39" s="805"/>
      <c r="E39" s="805"/>
      <c r="F39" s="805"/>
      <c r="G39" s="805"/>
      <c r="H39" s="805"/>
      <c r="I39" s="805"/>
      <c r="J39" s="624"/>
      <c r="K39" s="1270"/>
      <c r="L39" s="1271"/>
      <c r="M39" s="1271"/>
      <c r="N39" s="1271"/>
      <c r="O39" s="1272"/>
      <c r="P39" s="628"/>
      <c r="Q39" s="272"/>
      <c r="R39" s="604"/>
      <c r="S39" s="965" t="str">
        <f t="shared" si="26"/>
        <v>Very good</v>
      </c>
      <c r="T39" s="972">
        <v>4</v>
      </c>
      <c r="U39" s="968" t="str">
        <f t="shared" si="25"/>
        <v>Very good</v>
      </c>
      <c r="X39" s="946" t="s">
        <v>797</v>
      </c>
      <c r="Y39" s="947"/>
      <c r="Z39" s="948">
        <f>SUM(Z26:Z38)</f>
        <v>0</v>
      </c>
      <c r="AA39" s="948">
        <f t="shared" ref="AA39:AD39" si="27">SUM(AA26:AA38)</f>
        <v>0</v>
      </c>
      <c r="AB39" s="948">
        <f t="shared" si="27"/>
        <v>0</v>
      </c>
      <c r="AC39" s="948">
        <f t="shared" si="27"/>
        <v>0</v>
      </c>
      <c r="AD39" s="949">
        <f t="shared" si="27"/>
        <v>0</v>
      </c>
      <c r="AE39" s="974">
        <v>13</v>
      </c>
      <c r="AF39" s="977" t="str">
        <f>IF(AD39=AE39,AD22,IF(AC39=AE39,AC22,IF(AB39=AE39,AB22,IF(AA39=AE39,AA22,IF(Z39=AE39,Z22,$S$3)))))</f>
        <v>Fail</v>
      </c>
      <c r="AG39" s="976">
        <f>VLOOKUP(AF39,$S$36:$T$41,2,FALSE)</f>
        <v>1</v>
      </c>
      <c r="AH39" s="975">
        <f>VLOOKUP(M18,$S$36:$T$41,2,FALSE)</f>
        <v>1</v>
      </c>
      <c r="AI39" s="978">
        <f>MIN(AG39,AH39)</f>
        <v>1</v>
      </c>
      <c r="AJ39" s="954" t="str">
        <f>VLOOKUP(AI39,$T$36:$U$41,2,FALSE)</f>
        <v>Fail</v>
      </c>
      <c r="BD39" s="358"/>
    </row>
    <row r="40" spans="1:56" ht="16.5" customHeight="1" thickBot="1" x14ac:dyDescent="0.3">
      <c r="A40" s="272"/>
      <c r="B40" s="792"/>
      <c r="C40" s="1293" t="s">
        <v>748</v>
      </c>
      <c r="D40" s="1294"/>
      <c r="E40" s="1294"/>
      <c r="F40" s="1294"/>
      <c r="G40" s="1294"/>
      <c r="H40" s="1294"/>
      <c r="I40" s="1295"/>
      <c r="J40" s="624"/>
      <c r="K40" s="1307"/>
      <c r="L40" s="1308"/>
      <c r="M40" s="1308"/>
      <c r="N40" s="1308"/>
      <c r="O40" s="1309"/>
      <c r="P40" s="623"/>
      <c r="Q40" s="272"/>
      <c r="S40" s="965" t="str">
        <f t="shared" si="26"/>
        <v>Excellent</v>
      </c>
      <c r="T40" s="972">
        <v>5</v>
      </c>
      <c r="U40" s="968" t="str">
        <f t="shared" si="25"/>
        <v>Excellent</v>
      </c>
      <c r="X40" s="1258" t="s">
        <v>747</v>
      </c>
      <c r="Y40" s="1259"/>
      <c r="Z40" s="1259"/>
      <c r="AA40" s="1259"/>
      <c r="AB40" s="1259"/>
      <c r="AC40" s="1259"/>
      <c r="AD40" s="1260"/>
      <c r="BD40" s="358"/>
    </row>
    <row r="41" spans="1:56" ht="15.75" thickBot="1" x14ac:dyDescent="0.3">
      <c r="A41" s="272"/>
      <c r="B41" s="792"/>
      <c r="C41" s="1255"/>
      <c r="D41" s="826" t="s">
        <v>547</v>
      </c>
      <c r="E41" s="1261" t="s">
        <v>549</v>
      </c>
      <c r="F41" s="1243" t="s">
        <v>553</v>
      </c>
      <c r="G41" s="1243" t="s">
        <v>564</v>
      </c>
      <c r="H41" s="1243" t="s">
        <v>559</v>
      </c>
      <c r="I41" s="1243" t="s">
        <v>565</v>
      </c>
      <c r="J41" s="624"/>
      <c r="K41" s="624"/>
      <c r="L41" s="624"/>
      <c r="M41" s="624"/>
      <c r="N41" s="624"/>
      <c r="O41" s="624"/>
      <c r="P41" s="623"/>
      <c r="Q41" s="272"/>
      <c r="S41" s="966" t="str">
        <f t="shared" si="26"/>
        <v>Outstanding*</v>
      </c>
      <c r="T41" s="973">
        <v>6</v>
      </c>
      <c r="U41" s="969" t="str">
        <f t="shared" si="25"/>
        <v>Outstanding*</v>
      </c>
      <c r="X41" s="1255"/>
      <c r="Y41" s="925" t="s">
        <v>547</v>
      </c>
      <c r="Z41" s="1261" t="s">
        <v>549</v>
      </c>
      <c r="AA41" s="1243" t="s">
        <v>553</v>
      </c>
      <c r="AB41" s="1243" t="s">
        <v>564</v>
      </c>
      <c r="AC41" s="1243" t="s">
        <v>559</v>
      </c>
      <c r="AD41" s="1243" t="s">
        <v>561</v>
      </c>
      <c r="BD41" s="358"/>
    </row>
    <row r="42" spans="1:56" x14ac:dyDescent="0.25">
      <c r="A42" s="272"/>
      <c r="B42" s="792"/>
      <c r="C42" s="1256"/>
      <c r="D42" s="806"/>
      <c r="E42" s="1262"/>
      <c r="F42" s="1244"/>
      <c r="G42" s="1244"/>
      <c r="H42" s="1244"/>
      <c r="I42" s="1244"/>
      <c r="J42" s="624"/>
      <c r="K42" s="624"/>
      <c r="L42" s="624"/>
      <c r="M42" s="624"/>
      <c r="N42" s="624"/>
      <c r="O42" s="624"/>
      <c r="P42" s="623"/>
      <c r="Q42" s="272"/>
      <c r="X42" s="1256"/>
      <c r="Y42" s="919"/>
      <c r="Z42" s="1262"/>
      <c r="AA42" s="1244"/>
      <c r="AB42" s="1244"/>
      <c r="AC42" s="1244"/>
      <c r="AD42" s="1244"/>
      <c r="BD42" s="358"/>
    </row>
    <row r="43" spans="1:56" x14ac:dyDescent="0.25">
      <c r="A43" s="272"/>
      <c r="B43" s="792"/>
      <c r="C43" s="1256"/>
      <c r="D43" s="806" t="s">
        <v>566</v>
      </c>
      <c r="E43" s="1262"/>
      <c r="F43" s="1244"/>
      <c r="G43" s="1244"/>
      <c r="H43" s="1244"/>
      <c r="I43" s="1244"/>
      <c r="J43" s="624"/>
      <c r="K43" s="624"/>
      <c r="L43" s="624"/>
      <c r="M43" s="624"/>
      <c r="N43" s="624"/>
      <c r="O43" s="624"/>
      <c r="P43" s="623"/>
      <c r="Q43" s="272"/>
      <c r="T43" s="360"/>
      <c r="U43" s="360"/>
      <c r="X43" s="1256"/>
      <c r="Y43" s="919" t="s">
        <v>566</v>
      </c>
      <c r="Z43" s="1262"/>
      <c r="AA43" s="1244"/>
      <c r="AB43" s="1244"/>
      <c r="AC43" s="1244"/>
      <c r="AD43" s="1244"/>
      <c r="BD43" s="358"/>
    </row>
    <row r="44" spans="1:56" ht="15.75" thickBot="1" x14ac:dyDescent="0.3">
      <c r="A44" s="272"/>
      <c r="B44" s="792"/>
      <c r="C44" s="1257"/>
      <c r="D44" s="807"/>
      <c r="E44" s="1263"/>
      <c r="F44" s="1245"/>
      <c r="G44" s="1245"/>
      <c r="H44" s="1245"/>
      <c r="I44" s="1245"/>
      <c r="J44" s="624"/>
      <c r="K44" s="624"/>
      <c r="L44" s="624"/>
      <c r="M44" s="624"/>
      <c r="N44" s="624"/>
      <c r="O44" s="624"/>
      <c r="P44" s="623"/>
      <c r="Q44" s="272"/>
      <c r="T44" s="360"/>
      <c r="U44" s="360"/>
      <c r="X44" s="1257"/>
      <c r="Y44" s="920"/>
      <c r="Z44" s="1263"/>
      <c r="AA44" s="1245"/>
      <c r="AB44" s="1245"/>
      <c r="AC44" s="1245"/>
      <c r="AD44" s="1245"/>
      <c r="BD44" s="1273"/>
    </row>
    <row r="45" spans="1:56" x14ac:dyDescent="0.25">
      <c r="A45" s="272"/>
      <c r="B45" s="792"/>
      <c r="C45" s="808" t="s">
        <v>255</v>
      </c>
      <c r="D45" s="809" t="s">
        <v>567</v>
      </c>
      <c r="E45" s="810">
        <f>'Pre-analyse'!BI44</f>
        <v>0</v>
      </c>
      <c r="F45" s="811">
        <f>'Pre-analyse'!BI44</f>
        <v>0</v>
      </c>
      <c r="G45" s="811">
        <f>'Pre-analyse'!BI44</f>
        <v>0</v>
      </c>
      <c r="H45" s="811">
        <f>'Pre-analyse'!BI44</f>
        <v>0</v>
      </c>
      <c r="I45" s="812">
        <f>'Pre-analyse'!BI44</f>
        <v>0</v>
      </c>
      <c r="J45" s="624"/>
      <c r="K45" s="624"/>
      <c r="L45" s="624"/>
      <c r="M45" s="624"/>
      <c r="N45" s="624"/>
      <c r="O45" s="624"/>
      <c r="P45" s="623"/>
      <c r="Q45" s="272"/>
      <c r="T45" s="360"/>
      <c r="U45" s="360"/>
      <c r="X45" s="921" t="s">
        <v>255</v>
      </c>
      <c r="Y45" s="922" t="s">
        <v>567</v>
      </c>
      <c r="Z45" s="886">
        <f>IF(OR(E45=E85,E45&gt;E85),1,0)</f>
        <v>0</v>
      </c>
      <c r="AA45" s="883">
        <f t="shared" ref="AA45:AD45" si="28">IF(OR(F45=F85,F45&gt;F85),1,0)</f>
        <v>0</v>
      </c>
      <c r="AB45" s="883">
        <f t="shared" si="28"/>
        <v>0</v>
      </c>
      <c r="AC45" s="883">
        <f t="shared" si="28"/>
        <v>0</v>
      </c>
      <c r="AD45" s="887">
        <f t="shared" si="28"/>
        <v>0</v>
      </c>
      <c r="BD45" s="1273"/>
    </row>
    <row r="46" spans="1:56" x14ac:dyDescent="0.25">
      <c r="A46" s="272"/>
      <c r="B46" s="792"/>
      <c r="C46" s="813" t="s">
        <v>198</v>
      </c>
      <c r="D46" s="814" t="s">
        <v>568</v>
      </c>
      <c r="E46" s="815">
        <f>'Pre-analyse'!BK51</f>
        <v>0</v>
      </c>
      <c r="F46" s="816">
        <f>'Pre-analyse'!BK51</f>
        <v>0</v>
      </c>
      <c r="G46" s="816">
        <f>'Pre-analyse'!BK51</f>
        <v>0</v>
      </c>
      <c r="H46" s="816">
        <f>'Pre-analyse'!BK51</f>
        <v>0</v>
      </c>
      <c r="I46" s="817">
        <f>'Pre-analyse'!BK51</f>
        <v>0</v>
      </c>
      <c r="J46" s="624"/>
      <c r="K46" s="624"/>
      <c r="L46" s="624"/>
      <c r="M46" s="624"/>
      <c r="N46" s="624"/>
      <c r="O46" s="624"/>
      <c r="P46" s="623"/>
      <c r="Q46" s="272"/>
      <c r="T46" s="360"/>
      <c r="U46" s="360"/>
      <c r="X46" s="923" t="s">
        <v>198</v>
      </c>
      <c r="Y46" s="924" t="s">
        <v>568</v>
      </c>
      <c r="Z46" s="888">
        <f>IF(E46="x",1,0)</f>
        <v>0</v>
      </c>
      <c r="AA46" s="889">
        <f t="shared" ref="AA46:AD46" si="29">IF(F46="x",1,0)</f>
        <v>0</v>
      </c>
      <c r="AB46" s="889">
        <f t="shared" si="29"/>
        <v>0</v>
      </c>
      <c r="AC46" s="889">
        <f t="shared" si="29"/>
        <v>0</v>
      </c>
      <c r="AD46" s="890">
        <f t="shared" si="29"/>
        <v>0</v>
      </c>
      <c r="BD46" s="1273"/>
    </row>
    <row r="47" spans="1:56" x14ac:dyDescent="0.25">
      <c r="A47" s="272"/>
      <c r="B47" s="792"/>
      <c r="C47" s="813" t="s">
        <v>100</v>
      </c>
      <c r="D47" s="814" t="s">
        <v>569</v>
      </c>
      <c r="E47" s="815">
        <f>'Pre-analyse'!BI32</f>
        <v>0</v>
      </c>
      <c r="F47" s="816">
        <f>'Pre-analyse'!BI32</f>
        <v>0</v>
      </c>
      <c r="G47" s="816">
        <f>'Pre-analyse'!BI32</f>
        <v>0</v>
      </c>
      <c r="H47" s="816">
        <f>'Pre-analyse'!BI32</f>
        <v>0</v>
      </c>
      <c r="I47" s="817">
        <f>'Pre-analyse'!BI32</f>
        <v>0</v>
      </c>
      <c r="J47" s="624"/>
      <c r="K47" s="624"/>
      <c r="L47" s="624"/>
      <c r="M47" s="624"/>
      <c r="N47" s="624"/>
      <c r="O47" s="624"/>
      <c r="P47" s="623"/>
      <c r="Q47" s="272"/>
      <c r="T47" s="360"/>
      <c r="U47" s="360"/>
      <c r="X47" s="923" t="s">
        <v>100</v>
      </c>
      <c r="Y47" s="924" t="s">
        <v>569</v>
      </c>
      <c r="Z47" s="888">
        <f>IF(OR(E47=E87,E47&gt;E87),1,0)</f>
        <v>0</v>
      </c>
      <c r="AA47" s="889">
        <f t="shared" ref="AA47:AD48" si="30">IF(OR(F47=F87,F47&gt;F87),1,0)</f>
        <v>0</v>
      </c>
      <c r="AB47" s="889">
        <f t="shared" si="30"/>
        <v>0</v>
      </c>
      <c r="AC47" s="889">
        <f t="shared" si="30"/>
        <v>0</v>
      </c>
      <c r="AD47" s="890">
        <f t="shared" si="30"/>
        <v>0</v>
      </c>
      <c r="BD47" s="1273"/>
    </row>
    <row r="48" spans="1:56" x14ac:dyDescent="0.25">
      <c r="A48" s="272"/>
      <c r="B48" s="792"/>
      <c r="C48" s="813" t="s">
        <v>178</v>
      </c>
      <c r="D48" s="814" t="s">
        <v>570</v>
      </c>
      <c r="E48" s="818"/>
      <c r="F48" s="816">
        <f>'Pre-analyse'!BI50</f>
        <v>0</v>
      </c>
      <c r="G48" s="816">
        <f>'Pre-analyse'!BI50</f>
        <v>0</v>
      </c>
      <c r="H48" s="816">
        <f>'Pre-analyse'!BI50</f>
        <v>0</v>
      </c>
      <c r="I48" s="817">
        <f>'Pre-analyse'!BI50</f>
        <v>0</v>
      </c>
      <c r="J48" s="624"/>
      <c r="K48" s="624"/>
      <c r="L48" s="624"/>
      <c r="M48" s="624"/>
      <c r="N48" s="624"/>
      <c r="O48" s="624"/>
      <c r="P48" s="623"/>
      <c r="Q48" s="272"/>
      <c r="T48" s="360"/>
      <c r="U48" s="360"/>
      <c r="X48" s="923" t="s">
        <v>178</v>
      </c>
      <c r="Y48" s="924" t="s">
        <v>570</v>
      </c>
      <c r="Z48" s="939">
        <f>IF(Z45+Z46+Z47=3,1,0)</f>
        <v>0</v>
      </c>
      <c r="AA48" s="889">
        <f t="shared" si="30"/>
        <v>0</v>
      </c>
      <c r="AB48" s="889">
        <f t="shared" ref="AB48:AB49" si="31">IF(OR(G48=G88,G48&gt;G88),1,0)</f>
        <v>0</v>
      </c>
      <c r="AC48" s="889">
        <f t="shared" ref="AC48:AC49" si="32">IF(OR(H48=H88,H48&gt;H88),1,0)</f>
        <v>0</v>
      </c>
      <c r="AD48" s="890">
        <f t="shared" ref="AD48:AD49" si="33">IF(OR(I48=I88,I48&gt;I88),1,0)</f>
        <v>0</v>
      </c>
      <c r="BD48" s="1273"/>
    </row>
    <row r="49" spans="1:56" x14ac:dyDescent="0.25">
      <c r="A49" s="272"/>
      <c r="B49" s="792"/>
      <c r="C49" s="813" t="s">
        <v>73</v>
      </c>
      <c r="D49" s="814" t="s">
        <v>423</v>
      </c>
      <c r="E49" s="818"/>
      <c r="F49" s="819"/>
      <c r="G49" s="816">
        <f>'Pre-analyse'!BI36</f>
        <v>0</v>
      </c>
      <c r="H49" s="816">
        <f>'Pre-analyse'!BI36</f>
        <v>0</v>
      </c>
      <c r="I49" s="817">
        <f>'Pre-analyse'!BI36</f>
        <v>0</v>
      </c>
      <c r="J49" s="624" t="str">
        <f>IF(U31="Nei",S32,"")</f>
        <v/>
      </c>
      <c r="K49" s="624"/>
      <c r="L49" s="624"/>
      <c r="M49" s="624"/>
      <c r="N49" s="624"/>
      <c r="O49" s="624"/>
      <c r="P49" s="623"/>
      <c r="Q49" s="272"/>
      <c r="X49" s="923" t="s">
        <v>73</v>
      </c>
      <c r="Y49" s="924" t="s">
        <v>423</v>
      </c>
      <c r="Z49" s="939">
        <f>IF(Z45+Z46+Z47=3,1,0)</f>
        <v>0</v>
      </c>
      <c r="AA49" s="940">
        <f>IF(AA45+AA46+AA47+AA48=4,1,0)</f>
        <v>0</v>
      </c>
      <c r="AB49" s="889">
        <f t="shared" si="31"/>
        <v>0</v>
      </c>
      <c r="AC49" s="889">
        <f t="shared" si="32"/>
        <v>0</v>
      </c>
      <c r="AD49" s="890">
        <f t="shared" si="33"/>
        <v>0</v>
      </c>
      <c r="BD49" s="1273"/>
    </row>
    <row r="50" spans="1:56" x14ac:dyDescent="0.25">
      <c r="A50" s="272"/>
      <c r="B50" s="792"/>
      <c r="C50" s="813" t="s">
        <v>205</v>
      </c>
      <c r="D50" s="814" t="s">
        <v>443</v>
      </c>
      <c r="E50" s="818"/>
      <c r="F50" s="819"/>
      <c r="G50" s="816">
        <f>'Pre-analyse'!BI37</f>
        <v>0</v>
      </c>
      <c r="H50" s="816">
        <f>'Pre-analyse'!BI37</f>
        <v>0</v>
      </c>
      <c r="I50" s="817">
        <f>'Pre-analyse'!BI37</f>
        <v>0</v>
      </c>
      <c r="J50" s="624"/>
      <c r="K50" s="624"/>
      <c r="L50" s="624"/>
      <c r="M50" s="624"/>
      <c r="N50" s="624"/>
      <c r="O50" s="624"/>
      <c r="P50" s="623"/>
      <c r="Q50" s="272"/>
      <c r="X50" s="923" t="s">
        <v>205</v>
      </c>
      <c r="Y50" s="924" t="s">
        <v>443</v>
      </c>
      <c r="Z50" s="939">
        <f>IF(Z45+Z46+Z47=3,1,0)</f>
        <v>0</v>
      </c>
      <c r="AA50" s="940">
        <f t="shared" ref="AA50:AA57" si="34">IF(AA46+AA47+AA48+AA49=4,1,0)</f>
        <v>0</v>
      </c>
      <c r="AB50" s="889">
        <f t="shared" ref="AB50:AB52" si="35">IF(OR(G50=G90,G50&gt;G90),1,0)</f>
        <v>0</v>
      </c>
      <c r="AC50" s="889">
        <f t="shared" ref="AC50:AC57" si="36">IF(OR(H50=H90,H50&gt;H90),1,0)</f>
        <v>0</v>
      </c>
      <c r="AD50" s="890">
        <f t="shared" ref="AD50:AD57" si="37">IF(OR(I50=I90,I50&gt;I90),1,0)</f>
        <v>0</v>
      </c>
      <c r="BD50" s="1273"/>
    </row>
    <row r="51" spans="1:56" x14ac:dyDescent="0.25">
      <c r="A51" s="272"/>
      <c r="B51" s="792"/>
      <c r="C51" s="813" t="s">
        <v>447</v>
      </c>
      <c r="D51" s="814" t="s">
        <v>425</v>
      </c>
      <c r="E51" s="818"/>
      <c r="F51" s="819"/>
      <c r="G51" s="816">
        <f>'Pre-analyse'!BI30</f>
        <v>0</v>
      </c>
      <c r="H51" s="816">
        <f>'Pre-analyse'!BI30</f>
        <v>0</v>
      </c>
      <c r="I51" s="817">
        <f>'Pre-analyse'!BI30</f>
        <v>0</v>
      </c>
      <c r="J51" s="624"/>
      <c r="K51" s="624"/>
      <c r="L51" s="624"/>
      <c r="M51" s="624"/>
      <c r="N51" s="624"/>
      <c r="O51" s="624"/>
      <c r="P51" s="623"/>
      <c r="Q51" s="272"/>
      <c r="X51" s="923" t="s">
        <v>447</v>
      </c>
      <c r="Y51" s="924" t="s">
        <v>425</v>
      </c>
      <c r="Z51" s="939">
        <f>IF(Z45+Z46+Z47=3,1,0)</f>
        <v>0</v>
      </c>
      <c r="AA51" s="940">
        <f t="shared" si="34"/>
        <v>0</v>
      </c>
      <c r="AB51" s="889">
        <f t="shared" si="35"/>
        <v>0</v>
      </c>
      <c r="AC51" s="889">
        <f t="shared" si="36"/>
        <v>0</v>
      </c>
      <c r="AD51" s="890">
        <f t="shared" si="37"/>
        <v>0</v>
      </c>
      <c r="BD51" s="1273"/>
    </row>
    <row r="52" spans="1:56" x14ac:dyDescent="0.25">
      <c r="A52" s="272"/>
      <c r="B52" s="792"/>
      <c r="C52" s="813" t="s">
        <v>226</v>
      </c>
      <c r="D52" s="814" t="s">
        <v>225</v>
      </c>
      <c r="E52" s="818"/>
      <c r="F52" s="819"/>
      <c r="G52" s="816">
        <f>'Pre-analyse'!BI13</f>
        <v>0</v>
      </c>
      <c r="H52" s="816">
        <f>'Pre-analyse'!BI13</f>
        <v>0</v>
      </c>
      <c r="I52" s="817">
        <f>'Pre-analyse'!BI13</f>
        <v>0</v>
      </c>
      <c r="J52" s="624"/>
      <c r="K52" s="624"/>
      <c r="L52" s="624"/>
      <c r="M52" s="624"/>
      <c r="N52" s="624"/>
      <c r="O52" s="624"/>
      <c r="P52" s="623"/>
      <c r="Q52" s="272"/>
      <c r="T52" s="426"/>
      <c r="U52" s="426"/>
      <c r="V52" s="426"/>
      <c r="W52" s="426"/>
      <c r="X52" s="923" t="s">
        <v>226</v>
      </c>
      <c r="Y52" s="924" t="s">
        <v>225</v>
      </c>
      <c r="Z52" s="939">
        <f>IF(Z45+Z46+Z47=3,1,0)</f>
        <v>0</v>
      </c>
      <c r="AA52" s="940">
        <f t="shared" si="34"/>
        <v>0</v>
      </c>
      <c r="AB52" s="889">
        <f t="shared" si="35"/>
        <v>0</v>
      </c>
      <c r="AC52" s="889">
        <f t="shared" si="36"/>
        <v>0</v>
      </c>
      <c r="AD52" s="890">
        <f t="shared" si="37"/>
        <v>0</v>
      </c>
      <c r="BD52" s="1273"/>
    </row>
    <row r="53" spans="1:56" x14ac:dyDescent="0.25">
      <c r="A53" s="272"/>
      <c r="B53" s="792"/>
      <c r="C53" s="813" t="s">
        <v>247</v>
      </c>
      <c r="D53" s="814" t="s">
        <v>571</v>
      </c>
      <c r="E53" s="818"/>
      <c r="F53" s="819"/>
      <c r="G53" s="819"/>
      <c r="H53" s="816">
        <f>'Pre-analyse'!BI9</f>
        <v>0</v>
      </c>
      <c r="I53" s="817">
        <f>'Pre-analyse'!BI9</f>
        <v>0</v>
      </c>
      <c r="J53" s="624"/>
      <c r="K53" s="624"/>
      <c r="L53" s="624"/>
      <c r="M53" s="624"/>
      <c r="N53" s="624"/>
      <c r="O53" s="624"/>
      <c r="P53" s="623"/>
      <c r="Q53" s="272"/>
      <c r="T53" s="426"/>
      <c r="U53" s="426"/>
      <c r="V53" s="426"/>
      <c r="W53" s="426"/>
      <c r="X53" s="923" t="s">
        <v>247</v>
      </c>
      <c r="Y53" s="924" t="s">
        <v>571</v>
      </c>
      <c r="Z53" s="939">
        <f>IF(Z45+Z46+Z47=3,1,0)</f>
        <v>0</v>
      </c>
      <c r="AA53" s="940">
        <f t="shared" si="34"/>
        <v>0</v>
      </c>
      <c r="AB53" s="940">
        <f>IF(AB45+AB46+AB47+AB48+AB49+AB50+AB51+AB52=8,1,0)</f>
        <v>0</v>
      </c>
      <c r="AC53" s="889">
        <f t="shared" si="36"/>
        <v>0</v>
      </c>
      <c r="AD53" s="890">
        <f t="shared" si="37"/>
        <v>0</v>
      </c>
      <c r="BD53" s="1273"/>
    </row>
    <row r="54" spans="1:56" x14ac:dyDescent="0.25">
      <c r="A54" s="272"/>
      <c r="B54" s="792"/>
      <c r="C54" s="813" t="s">
        <v>592</v>
      </c>
      <c r="D54" s="814" t="s">
        <v>431</v>
      </c>
      <c r="E54" s="818"/>
      <c r="F54" s="819"/>
      <c r="G54" s="819"/>
      <c r="H54" s="816">
        <f>'Pre-analyse'!BI15</f>
        <v>0</v>
      </c>
      <c r="I54" s="817">
        <f>'Pre-analyse'!BI15</f>
        <v>0</v>
      </c>
      <c r="J54" s="624"/>
      <c r="K54" s="624"/>
      <c r="L54" s="624"/>
      <c r="M54" s="624"/>
      <c r="N54" s="624"/>
      <c r="O54" s="624"/>
      <c r="P54" s="623"/>
      <c r="Q54" s="272"/>
      <c r="T54" s="426"/>
      <c r="U54" s="426"/>
      <c r="V54" s="426"/>
      <c r="W54" s="426"/>
      <c r="X54" s="923" t="s">
        <v>592</v>
      </c>
      <c r="Y54" s="924" t="s">
        <v>431</v>
      </c>
      <c r="Z54" s="939">
        <f>IF(Z45+Z46+Z47=3,1,0)</f>
        <v>0</v>
      </c>
      <c r="AA54" s="940">
        <f t="shared" si="34"/>
        <v>0</v>
      </c>
      <c r="AB54" s="940">
        <f t="shared" ref="AB54:AB57" si="38">IF(AB46+AB47+AB48+AB49+AB50+AB51+AB52+AB53=8,1,0)</f>
        <v>0</v>
      </c>
      <c r="AC54" s="889">
        <f t="shared" si="36"/>
        <v>0</v>
      </c>
      <c r="AD54" s="890">
        <f t="shared" si="37"/>
        <v>0</v>
      </c>
      <c r="BD54" s="1273"/>
    </row>
    <row r="55" spans="1:56" x14ac:dyDescent="0.25">
      <c r="A55" s="272"/>
      <c r="B55" s="792"/>
      <c r="C55" s="813" t="s">
        <v>176</v>
      </c>
      <c r="D55" s="814" t="s">
        <v>572</v>
      </c>
      <c r="E55" s="818"/>
      <c r="F55" s="819"/>
      <c r="G55" s="819"/>
      <c r="H55" s="816">
        <f>'Pre-analyse'!BI49</f>
        <v>0</v>
      </c>
      <c r="I55" s="817">
        <f>'Pre-analyse'!BI49</f>
        <v>0</v>
      </c>
      <c r="J55" s="624"/>
      <c r="K55" s="624"/>
      <c r="L55" s="624"/>
      <c r="M55" s="624"/>
      <c r="N55" s="624"/>
      <c r="O55" s="624"/>
      <c r="P55" s="623"/>
      <c r="Q55" s="272"/>
      <c r="T55" s="426"/>
      <c r="U55" s="426"/>
      <c r="V55" s="426"/>
      <c r="W55" s="426"/>
      <c r="X55" s="923" t="s">
        <v>176</v>
      </c>
      <c r="Y55" s="924" t="s">
        <v>572</v>
      </c>
      <c r="Z55" s="939">
        <f>IF(Z45+Z46+Z47=3,1,0)</f>
        <v>0</v>
      </c>
      <c r="AA55" s="940">
        <f t="shared" si="34"/>
        <v>0</v>
      </c>
      <c r="AB55" s="940">
        <f t="shared" si="38"/>
        <v>0</v>
      </c>
      <c r="AC55" s="889">
        <f t="shared" si="36"/>
        <v>0</v>
      </c>
      <c r="AD55" s="890">
        <f t="shared" si="37"/>
        <v>0</v>
      </c>
      <c r="AW55" s="426"/>
      <c r="AX55" s="426"/>
      <c r="AY55" s="426"/>
      <c r="AZ55" s="426"/>
      <c r="BA55" s="426"/>
      <c r="BB55" s="426"/>
      <c r="BC55" s="426"/>
      <c r="BD55" s="426"/>
    </row>
    <row r="56" spans="1:56" ht="15.75" thickBot="1" x14ac:dyDescent="0.3">
      <c r="A56" s="272"/>
      <c r="B56" s="792"/>
      <c r="C56" s="813" t="s">
        <v>249</v>
      </c>
      <c r="D56" s="814" t="s">
        <v>428</v>
      </c>
      <c r="E56" s="818"/>
      <c r="F56" s="819"/>
      <c r="G56" s="819"/>
      <c r="H56" s="816">
        <f>'Pre-analyse'!BI18</f>
        <v>0</v>
      </c>
      <c r="I56" s="817">
        <f>'Pre-analyse'!BI18</f>
        <v>0</v>
      </c>
      <c r="J56" s="624"/>
      <c r="K56" s="624"/>
      <c r="L56" s="624"/>
      <c r="M56" s="624"/>
      <c r="N56" s="624"/>
      <c r="O56" s="624"/>
      <c r="P56" s="623"/>
      <c r="Q56" s="272"/>
      <c r="T56" s="426"/>
      <c r="U56" s="426"/>
      <c r="V56" s="426"/>
      <c r="W56" s="426"/>
      <c r="X56" s="923" t="s">
        <v>249</v>
      </c>
      <c r="Y56" s="924" t="s">
        <v>428</v>
      </c>
      <c r="Z56" s="939">
        <f>IF(Z45+Z46+Z47=3,1,0)</f>
        <v>0</v>
      </c>
      <c r="AA56" s="940">
        <f t="shared" si="34"/>
        <v>0</v>
      </c>
      <c r="AB56" s="940">
        <f t="shared" si="38"/>
        <v>0</v>
      </c>
      <c r="AC56" s="889">
        <f t="shared" si="36"/>
        <v>0</v>
      </c>
      <c r="AD56" s="890">
        <f t="shared" si="37"/>
        <v>0</v>
      </c>
      <c r="AW56" s="426"/>
      <c r="AX56" s="426"/>
      <c r="AY56" s="426"/>
      <c r="AZ56" s="426"/>
      <c r="BA56" s="426"/>
      <c r="BB56" s="426"/>
      <c r="BC56" s="426"/>
      <c r="BD56" s="426"/>
    </row>
    <row r="57" spans="1:56" ht="15.75" thickBot="1" x14ac:dyDescent="0.3">
      <c r="A57" s="272"/>
      <c r="B57" s="792"/>
      <c r="C57" s="820" t="s">
        <v>109</v>
      </c>
      <c r="D57" s="821" t="s">
        <v>108</v>
      </c>
      <c r="E57" s="822"/>
      <c r="F57" s="823"/>
      <c r="G57" s="823"/>
      <c r="H57" s="824">
        <f>'Pre-analyse'!BI83</f>
        <v>0</v>
      </c>
      <c r="I57" s="825">
        <f>'Pre-analyse'!BI83</f>
        <v>0</v>
      </c>
      <c r="J57" s="624"/>
      <c r="K57" s="624"/>
      <c r="L57" s="627"/>
      <c r="M57" s="627"/>
      <c r="N57" s="627"/>
      <c r="O57" s="627"/>
      <c r="P57" s="628"/>
      <c r="Q57" s="272"/>
      <c r="R57" s="604"/>
      <c r="S57" s="426"/>
      <c r="T57" s="426"/>
      <c r="U57" s="426"/>
      <c r="V57" s="426"/>
      <c r="W57" s="426"/>
      <c r="X57" s="941" t="s">
        <v>109</v>
      </c>
      <c r="Y57" s="942" t="s">
        <v>108</v>
      </c>
      <c r="Z57" s="943">
        <f>IF(Z45+Z46+Z47=3,1,0)</f>
        <v>0</v>
      </c>
      <c r="AA57" s="940">
        <f t="shared" si="34"/>
        <v>0</v>
      </c>
      <c r="AB57" s="940">
        <f t="shared" si="38"/>
        <v>0</v>
      </c>
      <c r="AC57" s="944">
        <f t="shared" si="36"/>
        <v>0</v>
      </c>
      <c r="AD57" s="945">
        <f t="shared" si="37"/>
        <v>0</v>
      </c>
      <c r="AF57" s="975" t="s">
        <v>799</v>
      </c>
      <c r="AG57" s="976" t="s">
        <v>801</v>
      </c>
      <c r="AH57" s="975" t="s">
        <v>802</v>
      </c>
      <c r="AI57" s="978" t="s">
        <v>803</v>
      </c>
      <c r="AJ57" s="979" t="s">
        <v>804</v>
      </c>
    </row>
    <row r="58" spans="1:56" ht="15.75" thickBot="1" x14ac:dyDescent="0.3">
      <c r="A58" s="272"/>
      <c r="B58" s="792"/>
      <c r="C58" s="805"/>
      <c r="D58" s="805"/>
      <c r="E58" s="805"/>
      <c r="F58" s="805"/>
      <c r="G58" s="805"/>
      <c r="H58" s="805"/>
      <c r="I58" s="805"/>
      <c r="J58" s="624"/>
      <c r="K58" s="624"/>
      <c r="L58" s="624"/>
      <c r="M58" s="624"/>
      <c r="N58" s="624"/>
      <c r="O58" s="624"/>
      <c r="P58" s="623"/>
      <c r="Q58" s="272"/>
      <c r="T58" s="426"/>
      <c r="U58" s="426"/>
      <c r="V58" s="426"/>
      <c r="W58" s="426"/>
      <c r="X58" s="946" t="s">
        <v>797</v>
      </c>
      <c r="Y58" s="947"/>
      <c r="Z58" s="948">
        <f>SUM(Z45:Z57)</f>
        <v>0</v>
      </c>
      <c r="AA58" s="948">
        <f t="shared" ref="AA58" si="39">SUM(AA45:AA57)</f>
        <v>0</v>
      </c>
      <c r="AB58" s="948">
        <f t="shared" ref="AB58" si="40">SUM(AB45:AB57)</f>
        <v>0</v>
      </c>
      <c r="AC58" s="948">
        <f t="shared" ref="AC58" si="41">SUM(AC45:AC57)</f>
        <v>0</v>
      </c>
      <c r="AD58" s="949">
        <f t="shared" ref="AD58" si="42">SUM(AD45:AD57)</f>
        <v>0</v>
      </c>
      <c r="AE58" s="950">
        <v>13</v>
      </c>
      <c r="AF58" s="954" t="str">
        <f>IF(AD58=AE58,AD41,IF(AC58=AE58,AC41,IF(AB58=AE58,AB41,IF(AA58=AE58,AA41,IF(Z58=AE58,Z41,$S$3)))))</f>
        <v>Fail</v>
      </c>
      <c r="AG58" s="976">
        <f>VLOOKUP(AF58,$S$36:$T$41,2,FALSE)</f>
        <v>1</v>
      </c>
      <c r="AH58" s="975">
        <f>VLOOKUP(N18,$S$36:$T$41,2,FALSE)</f>
        <v>1</v>
      </c>
      <c r="AI58" s="978">
        <f>MIN(AG58,AH58)</f>
        <v>1</v>
      </c>
      <c r="AJ58" s="954" t="str">
        <f>VLOOKUP(AI58,$T$36:$U$41,2,FALSE)</f>
        <v>Fail</v>
      </c>
    </row>
    <row r="59" spans="1:56" ht="15.75" customHeight="1" thickBot="1" x14ac:dyDescent="0.3">
      <c r="A59" s="272"/>
      <c r="B59" s="792"/>
      <c r="C59" s="1279" t="s">
        <v>749</v>
      </c>
      <c r="D59" s="1280"/>
      <c r="E59" s="1280"/>
      <c r="F59" s="1280"/>
      <c r="G59" s="1280"/>
      <c r="H59" s="1280"/>
      <c r="I59" s="1281"/>
      <c r="J59" s="624"/>
      <c r="K59" s="624"/>
      <c r="L59" s="624"/>
      <c r="M59" s="624"/>
      <c r="N59" s="624"/>
      <c r="O59" s="624"/>
      <c r="P59" s="623"/>
      <c r="Q59" s="272"/>
      <c r="T59" s="426"/>
      <c r="U59" s="426"/>
      <c r="V59" s="426"/>
      <c r="W59" s="426"/>
      <c r="X59" s="1258" t="s">
        <v>747</v>
      </c>
      <c r="Y59" s="1259"/>
      <c r="Z59" s="1259"/>
      <c r="AA59" s="1259"/>
      <c r="AB59" s="1259"/>
      <c r="AC59" s="1259"/>
      <c r="AD59" s="1260"/>
    </row>
    <row r="60" spans="1:56" x14ac:dyDescent="0.25">
      <c r="A60" s="272"/>
      <c r="B60" s="792"/>
      <c r="C60" s="1255"/>
      <c r="D60" s="826" t="s">
        <v>547</v>
      </c>
      <c r="E60" s="1261" t="s">
        <v>549</v>
      </c>
      <c r="F60" s="1243" t="s">
        <v>553</v>
      </c>
      <c r="G60" s="1243" t="s">
        <v>564</v>
      </c>
      <c r="H60" s="1243" t="s">
        <v>559</v>
      </c>
      <c r="I60" s="1243" t="s">
        <v>565</v>
      </c>
      <c r="J60" s="624"/>
      <c r="K60" s="624"/>
      <c r="L60" s="624"/>
      <c r="M60" s="624"/>
      <c r="N60" s="624"/>
      <c r="O60" s="624"/>
      <c r="P60" s="623"/>
      <c r="Q60" s="272"/>
      <c r="T60" s="426"/>
      <c r="U60" s="426"/>
      <c r="V60" s="426"/>
      <c r="W60" s="426"/>
      <c r="X60" s="1255"/>
      <c r="Y60" s="925" t="s">
        <v>547</v>
      </c>
      <c r="Z60" s="1261" t="s">
        <v>549</v>
      </c>
      <c r="AA60" s="1243" t="s">
        <v>553</v>
      </c>
      <c r="AB60" s="1243" t="s">
        <v>564</v>
      </c>
      <c r="AC60" s="1243" t="s">
        <v>559</v>
      </c>
      <c r="AD60" s="1243" t="s">
        <v>561</v>
      </c>
    </row>
    <row r="61" spans="1:56" x14ac:dyDescent="0.25">
      <c r="A61" s="272"/>
      <c r="B61" s="792"/>
      <c r="C61" s="1256"/>
      <c r="D61" s="806"/>
      <c r="E61" s="1262"/>
      <c r="F61" s="1244"/>
      <c r="G61" s="1244"/>
      <c r="H61" s="1244"/>
      <c r="I61" s="1244"/>
      <c r="J61" s="624"/>
      <c r="K61" s="624"/>
      <c r="L61" s="624"/>
      <c r="M61" s="624"/>
      <c r="N61" s="624"/>
      <c r="O61" s="624"/>
      <c r="P61" s="623"/>
      <c r="Q61" s="272"/>
      <c r="T61" s="426"/>
      <c r="U61" s="426"/>
      <c r="V61" s="426"/>
      <c r="W61" s="426"/>
      <c r="X61" s="1256"/>
      <c r="Y61" s="919"/>
      <c r="Z61" s="1262"/>
      <c r="AA61" s="1244"/>
      <c r="AB61" s="1244"/>
      <c r="AC61" s="1244"/>
      <c r="AD61" s="1244"/>
    </row>
    <row r="62" spans="1:56" x14ac:dyDescent="0.25">
      <c r="A62" s="272"/>
      <c r="B62" s="792"/>
      <c r="C62" s="1256"/>
      <c r="D62" s="806" t="s">
        <v>566</v>
      </c>
      <c r="E62" s="1262"/>
      <c r="F62" s="1244"/>
      <c r="G62" s="1244"/>
      <c r="H62" s="1244"/>
      <c r="I62" s="1244"/>
      <c r="J62" s="624"/>
      <c r="K62" s="624"/>
      <c r="L62" s="624"/>
      <c r="M62" s="624"/>
      <c r="N62" s="624"/>
      <c r="O62" s="624"/>
      <c r="P62" s="623"/>
      <c r="Q62" s="272"/>
      <c r="T62" s="426"/>
      <c r="U62" s="426"/>
      <c r="V62" s="426"/>
      <c r="W62" s="426"/>
      <c r="X62" s="1256"/>
      <c r="Y62" s="919" t="s">
        <v>566</v>
      </c>
      <c r="Z62" s="1262"/>
      <c r="AA62" s="1244"/>
      <c r="AB62" s="1244"/>
      <c r="AC62" s="1244"/>
      <c r="AD62" s="1244"/>
    </row>
    <row r="63" spans="1:56" ht="15.75" thickBot="1" x14ac:dyDescent="0.3">
      <c r="A63" s="272"/>
      <c r="B63" s="792"/>
      <c r="C63" s="1257"/>
      <c r="D63" s="807"/>
      <c r="E63" s="1263"/>
      <c r="F63" s="1245"/>
      <c r="G63" s="1245"/>
      <c r="H63" s="1245"/>
      <c r="I63" s="1245"/>
      <c r="J63" s="624"/>
      <c r="K63" s="624"/>
      <c r="L63" s="624"/>
      <c r="M63" s="624"/>
      <c r="N63" s="624"/>
      <c r="O63" s="624"/>
      <c r="P63" s="623"/>
      <c r="Q63" s="272"/>
      <c r="T63" s="426"/>
      <c r="U63" s="426"/>
      <c r="V63" s="426"/>
      <c r="W63" s="426"/>
      <c r="X63" s="1257"/>
      <c r="Y63" s="920"/>
      <c r="Z63" s="1263"/>
      <c r="AA63" s="1245"/>
      <c r="AB63" s="1245"/>
      <c r="AC63" s="1245"/>
      <c r="AD63" s="1245"/>
    </row>
    <row r="64" spans="1:56" x14ac:dyDescent="0.25">
      <c r="A64" s="272"/>
      <c r="B64" s="792"/>
      <c r="C64" s="808" t="s">
        <v>255</v>
      </c>
      <c r="D64" s="809" t="s">
        <v>567</v>
      </c>
      <c r="E64" s="810">
        <f>'Pre-analyse'!BJ44</f>
        <v>0</v>
      </c>
      <c r="F64" s="811">
        <f>'Pre-analyse'!BJ44</f>
        <v>0</v>
      </c>
      <c r="G64" s="811">
        <f>'Pre-analyse'!BJ44</f>
        <v>0</v>
      </c>
      <c r="H64" s="811">
        <f>'Pre-analyse'!BJ44</f>
        <v>0</v>
      </c>
      <c r="I64" s="812">
        <f>'Pre-analyse'!BJ44</f>
        <v>0</v>
      </c>
      <c r="J64" s="624"/>
      <c r="K64" s="624"/>
      <c r="L64" s="624"/>
      <c r="M64" s="624"/>
      <c r="N64" s="624"/>
      <c r="O64" s="624"/>
      <c r="P64" s="623"/>
      <c r="Q64" s="272"/>
      <c r="T64" s="426"/>
      <c r="U64" s="426"/>
      <c r="V64" s="426"/>
      <c r="W64" s="426"/>
      <c r="X64" s="921" t="s">
        <v>255</v>
      </c>
      <c r="Y64" s="922" t="s">
        <v>567</v>
      </c>
      <c r="Z64" s="886">
        <f>IF(OR(E64=E85,E64&gt;E85),1,0)</f>
        <v>0</v>
      </c>
      <c r="AA64" s="883">
        <f t="shared" ref="AA64:AD64" si="43">IF(OR(F64=F85,F64&gt;F85),1,0)</f>
        <v>0</v>
      </c>
      <c r="AB64" s="883">
        <f t="shared" si="43"/>
        <v>0</v>
      </c>
      <c r="AC64" s="883">
        <f t="shared" si="43"/>
        <v>0</v>
      </c>
      <c r="AD64" s="887">
        <f t="shared" si="43"/>
        <v>0</v>
      </c>
    </row>
    <row r="65" spans="1:58" x14ac:dyDescent="0.25">
      <c r="A65" s="272"/>
      <c r="B65" s="792"/>
      <c r="C65" s="813" t="s">
        <v>198</v>
      </c>
      <c r="D65" s="814" t="s">
        <v>568</v>
      </c>
      <c r="E65" s="815">
        <f>'Pre-analyse'!BK51</f>
        <v>0</v>
      </c>
      <c r="F65" s="816">
        <f>'Pre-analyse'!BK51</f>
        <v>0</v>
      </c>
      <c r="G65" s="816">
        <f>'Pre-analyse'!BK51</f>
        <v>0</v>
      </c>
      <c r="H65" s="816">
        <f>'Pre-analyse'!BK51</f>
        <v>0</v>
      </c>
      <c r="I65" s="817">
        <f>'Pre-analyse'!BK51</f>
        <v>0</v>
      </c>
      <c r="J65" s="624"/>
      <c r="K65" s="624"/>
      <c r="L65" s="624"/>
      <c r="M65" s="624"/>
      <c r="N65" s="624"/>
      <c r="O65" s="624"/>
      <c r="P65" s="623"/>
      <c r="Q65" s="272"/>
      <c r="T65" s="426"/>
      <c r="U65" s="426"/>
      <c r="V65" s="426"/>
      <c r="W65" s="426"/>
      <c r="X65" s="923" t="s">
        <v>198</v>
      </c>
      <c r="Y65" s="924" t="s">
        <v>568</v>
      </c>
      <c r="Z65" s="888">
        <f>IF(E65="x",1,0)</f>
        <v>0</v>
      </c>
      <c r="AA65" s="889">
        <f t="shared" ref="AA65:AD65" si="44">IF(F65="x",1,0)</f>
        <v>0</v>
      </c>
      <c r="AB65" s="889">
        <f t="shared" si="44"/>
        <v>0</v>
      </c>
      <c r="AC65" s="889">
        <f t="shared" si="44"/>
        <v>0</v>
      </c>
      <c r="AD65" s="890">
        <f t="shared" si="44"/>
        <v>0</v>
      </c>
    </row>
    <row r="66" spans="1:58" x14ac:dyDescent="0.25">
      <c r="A66" s="272"/>
      <c r="B66" s="792"/>
      <c r="C66" s="813" t="s">
        <v>100</v>
      </c>
      <c r="D66" s="814" t="s">
        <v>569</v>
      </c>
      <c r="E66" s="815">
        <f>'Pre-analyse'!BJ32</f>
        <v>0</v>
      </c>
      <c r="F66" s="816">
        <f>'Pre-analyse'!BJ32</f>
        <v>0</v>
      </c>
      <c r="G66" s="816">
        <f>'Pre-analyse'!BJ32</f>
        <v>0</v>
      </c>
      <c r="H66" s="816">
        <f>'Pre-analyse'!BJ32</f>
        <v>0</v>
      </c>
      <c r="I66" s="817">
        <f>'Pre-analyse'!BJ32</f>
        <v>0</v>
      </c>
      <c r="J66" s="624"/>
      <c r="K66" s="624"/>
      <c r="L66" s="624"/>
      <c r="M66" s="624"/>
      <c r="N66" s="624"/>
      <c r="O66" s="624"/>
      <c r="P66" s="623"/>
      <c r="Q66" s="272"/>
      <c r="X66" s="923" t="s">
        <v>100</v>
      </c>
      <c r="Y66" s="924" t="s">
        <v>569</v>
      </c>
      <c r="Z66" s="888">
        <f t="shared" ref="Z66" si="45">IF(OR(E66=E87,E66&gt;E87),1,0)</f>
        <v>0</v>
      </c>
      <c r="AA66" s="889">
        <f t="shared" ref="AA66:AA67" si="46">IF(OR(F66=F87,F66&gt;F87),1,0)</f>
        <v>0</v>
      </c>
      <c r="AB66" s="889">
        <f t="shared" ref="AB66:AB71" si="47">IF(OR(G66=G87,G66&gt;G87),1,0)</f>
        <v>0</v>
      </c>
      <c r="AC66" s="889">
        <f t="shared" ref="AC66:AC76" si="48">IF(OR(H66=H87,H66&gt;H87),1,0)</f>
        <v>0</v>
      </c>
      <c r="AD66" s="890">
        <f t="shared" ref="AD66:AD76" si="49">IF(OR(I66=I87,I66&gt;I87),1,0)</f>
        <v>0</v>
      </c>
    </row>
    <row r="67" spans="1:58" x14ac:dyDescent="0.25">
      <c r="A67" s="272"/>
      <c r="B67" s="792"/>
      <c r="C67" s="813" t="s">
        <v>178</v>
      </c>
      <c r="D67" s="814" t="s">
        <v>570</v>
      </c>
      <c r="E67" s="818"/>
      <c r="F67" s="816">
        <f>'Pre-analyse'!BJ50</f>
        <v>0</v>
      </c>
      <c r="G67" s="816">
        <f>'Pre-analyse'!BJ50</f>
        <v>0</v>
      </c>
      <c r="H67" s="816">
        <f>'Pre-analyse'!BJ50</f>
        <v>0</v>
      </c>
      <c r="I67" s="817">
        <f>'Pre-analyse'!BJ50</f>
        <v>0</v>
      </c>
      <c r="J67" s="624"/>
      <c r="K67" s="624"/>
      <c r="L67" s="624"/>
      <c r="M67" s="624"/>
      <c r="N67" s="624"/>
      <c r="O67" s="624"/>
      <c r="P67" s="623"/>
      <c r="Q67" s="272"/>
      <c r="X67" s="923" t="s">
        <v>178</v>
      </c>
      <c r="Y67" s="924" t="s">
        <v>570</v>
      </c>
      <c r="Z67" s="939">
        <f>IF(Z64+Z65+Z66=3,1,0)</f>
        <v>0</v>
      </c>
      <c r="AA67" s="889">
        <f t="shared" si="46"/>
        <v>0</v>
      </c>
      <c r="AB67" s="889">
        <f t="shared" si="47"/>
        <v>0</v>
      </c>
      <c r="AC67" s="889">
        <f t="shared" si="48"/>
        <v>0</v>
      </c>
      <c r="AD67" s="890">
        <f t="shared" si="49"/>
        <v>0</v>
      </c>
    </row>
    <row r="68" spans="1:58" x14ac:dyDescent="0.25">
      <c r="A68" s="272"/>
      <c r="B68" s="792"/>
      <c r="C68" s="813" t="s">
        <v>73</v>
      </c>
      <c r="D68" s="814" t="s">
        <v>423</v>
      </c>
      <c r="E68" s="818"/>
      <c r="F68" s="819"/>
      <c r="G68" s="816">
        <f>'Pre-analyse'!BJ36</f>
        <v>0</v>
      </c>
      <c r="H68" s="816">
        <f>'Pre-analyse'!BJ36</f>
        <v>0</v>
      </c>
      <c r="I68" s="817">
        <f>'Pre-analyse'!BJ36</f>
        <v>0</v>
      </c>
      <c r="J68" s="624" t="str">
        <f>IF(U31="Nei",S32,"")</f>
        <v/>
      </c>
      <c r="K68" s="624"/>
      <c r="L68" s="624"/>
      <c r="M68" s="624"/>
      <c r="N68" s="624"/>
      <c r="O68" s="624"/>
      <c r="P68" s="623"/>
      <c r="Q68" s="272"/>
      <c r="X68" s="923" t="s">
        <v>73</v>
      </c>
      <c r="Y68" s="924" t="s">
        <v>423</v>
      </c>
      <c r="Z68" s="939">
        <f>IF(Z64+Z65+Z66=3,1,0)</f>
        <v>0</v>
      </c>
      <c r="AA68" s="940">
        <f>IF(AA64+AA65+AA66+AA67=4,1,0)</f>
        <v>0</v>
      </c>
      <c r="AB68" s="889">
        <f t="shared" si="47"/>
        <v>0</v>
      </c>
      <c r="AC68" s="889">
        <f t="shared" si="48"/>
        <v>0</v>
      </c>
      <c r="AD68" s="890">
        <f t="shared" si="49"/>
        <v>0</v>
      </c>
    </row>
    <row r="69" spans="1:58" x14ac:dyDescent="0.25">
      <c r="A69" s="272"/>
      <c r="B69" s="792"/>
      <c r="C69" s="813" t="s">
        <v>205</v>
      </c>
      <c r="D69" s="814" t="s">
        <v>443</v>
      </c>
      <c r="E69" s="818"/>
      <c r="F69" s="819"/>
      <c r="G69" s="816">
        <f>'Pre-analyse'!BJ37</f>
        <v>0</v>
      </c>
      <c r="H69" s="816">
        <f>'Pre-analyse'!BJ37</f>
        <v>0</v>
      </c>
      <c r="I69" s="817">
        <f>'Pre-analyse'!BJ37</f>
        <v>0</v>
      </c>
      <c r="J69" s="624"/>
      <c r="K69" s="624"/>
      <c r="L69" s="624"/>
      <c r="M69" s="624"/>
      <c r="N69" s="624"/>
      <c r="O69" s="624"/>
      <c r="P69" s="623"/>
      <c r="Q69" s="272"/>
      <c r="X69" s="923" t="s">
        <v>205</v>
      </c>
      <c r="Y69" s="924" t="s">
        <v>443</v>
      </c>
      <c r="Z69" s="939">
        <f>IF(Z64+Z65+Z66=3,1,0)</f>
        <v>0</v>
      </c>
      <c r="AA69" s="940">
        <f t="shared" ref="AA69:AA76" si="50">IF(AA65+AA66+AA67+AA68=4,1,0)</f>
        <v>0</v>
      </c>
      <c r="AB69" s="889">
        <f t="shared" si="47"/>
        <v>0</v>
      </c>
      <c r="AC69" s="889">
        <f t="shared" si="48"/>
        <v>0</v>
      </c>
      <c r="AD69" s="890">
        <f t="shared" si="49"/>
        <v>0</v>
      </c>
    </row>
    <row r="70" spans="1:58" x14ac:dyDescent="0.25">
      <c r="A70" s="272"/>
      <c r="B70" s="792"/>
      <c r="C70" s="813" t="s">
        <v>447</v>
      </c>
      <c r="D70" s="814" t="s">
        <v>425</v>
      </c>
      <c r="E70" s="818"/>
      <c r="F70" s="819"/>
      <c r="G70" s="816">
        <f>'Pre-analyse'!BJ30</f>
        <v>0</v>
      </c>
      <c r="H70" s="816">
        <f>'Pre-analyse'!BJ30</f>
        <v>0</v>
      </c>
      <c r="I70" s="817">
        <f>'Pre-analyse'!BJ30</f>
        <v>0</v>
      </c>
      <c r="J70" s="624"/>
      <c r="K70" s="624"/>
      <c r="L70" s="624"/>
      <c r="M70" s="624"/>
      <c r="N70" s="624"/>
      <c r="O70" s="624"/>
      <c r="P70" s="623"/>
      <c r="Q70" s="272"/>
      <c r="X70" s="923" t="s">
        <v>447</v>
      </c>
      <c r="Y70" s="924" t="s">
        <v>425</v>
      </c>
      <c r="Z70" s="939">
        <f>IF(Z64+Z65+Z66=3,1,0)</f>
        <v>0</v>
      </c>
      <c r="AA70" s="940">
        <f t="shared" si="50"/>
        <v>0</v>
      </c>
      <c r="AB70" s="889">
        <f t="shared" si="47"/>
        <v>0</v>
      </c>
      <c r="AC70" s="889">
        <f t="shared" si="48"/>
        <v>0</v>
      </c>
      <c r="AD70" s="890">
        <f t="shared" si="49"/>
        <v>0</v>
      </c>
    </row>
    <row r="71" spans="1:58" x14ac:dyDescent="0.25">
      <c r="A71" s="272"/>
      <c r="B71" s="792"/>
      <c r="C71" s="813" t="s">
        <v>226</v>
      </c>
      <c r="D71" s="814" t="s">
        <v>225</v>
      </c>
      <c r="E71" s="818"/>
      <c r="F71" s="819"/>
      <c r="G71" s="816">
        <f>'Pre-analyse'!BJ13</f>
        <v>0</v>
      </c>
      <c r="H71" s="816">
        <f>'Pre-analyse'!BJ13</f>
        <v>0</v>
      </c>
      <c r="I71" s="817">
        <f>'Pre-analyse'!BJ13</f>
        <v>0</v>
      </c>
      <c r="J71" s="624"/>
      <c r="K71" s="624"/>
      <c r="L71" s="624"/>
      <c r="M71" s="624"/>
      <c r="N71" s="624"/>
      <c r="O71" s="624"/>
      <c r="P71" s="623"/>
      <c r="Q71" s="272"/>
      <c r="X71" s="923" t="s">
        <v>226</v>
      </c>
      <c r="Y71" s="924" t="s">
        <v>225</v>
      </c>
      <c r="Z71" s="939">
        <f>IF(Z64+Z65+Z66=3,1,0)</f>
        <v>0</v>
      </c>
      <c r="AA71" s="940">
        <f t="shared" si="50"/>
        <v>0</v>
      </c>
      <c r="AB71" s="889">
        <f t="shared" si="47"/>
        <v>0</v>
      </c>
      <c r="AC71" s="889">
        <f t="shared" si="48"/>
        <v>0</v>
      </c>
      <c r="AD71" s="890">
        <f t="shared" si="49"/>
        <v>0</v>
      </c>
    </row>
    <row r="72" spans="1:58" x14ac:dyDescent="0.25">
      <c r="A72" s="272"/>
      <c r="B72" s="792"/>
      <c r="C72" s="813" t="s">
        <v>247</v>
      </c>
      <c r="D72" s="814" t="s">
        <v>571</v>
      </c>
      <c r="E72" s="818"/>
      <c r="F72" s="819"/>
      <c r="G72" s="819"/>
      <c r="H72" s="816">
        <f>'Pre-analyse'!BJ9</f>
        <v>0</v>
      </c>
      <c r="I72" s="817">
        <f>'Pre-analyse'!BJ9</f>
        <v>0</v>
      </c>
      <c r="J72" s="624"/>
      <c r="K72" s="624"/>
      <c r="L72" s="624"/>
      <c r="M72" s="624"/>
      <c r="N72" s="624"/>
      <c r="O72" s="624"/>
      <c r="P72" s="623"/>
      <c r="Q72" s="272"/>
      <c r="X72" s="923" t="s">
        <v>247</v>
      </c>
      <c r="Y72" s="924" t="s">
        <v>571</v>
      </c>
      <c r="Z72" s="939">
        <f>IF(Z64+Z65+Z66=3,1,0)</f>
        <v>0</v>
      </c>
      <c r="AA72" s="940">
        <f t="shared" si="50"/>
        <v>0</v>
      </c>
      <c r="AB72" s="940">
        <f>IF(AB64+AB65+AB66+AB67+AB68+AB69+AB70+AB71=8,1,0)</f>
        <v>0</v>
      </c>
      <c r="AC72" s="889">
        <f t="shared" si="48"/>
        <v>0</v>
      </c>
      <c r="AD72" s="890">
        <f t="shared" si="49"/>
        <v>0</v>
      </c>
    </row>
    <row r="73" spans="1:58" x14ac:dyDescent="0.25">
      <c r="A73" s="272"/>
      <c r="B73" s="792"/>
      <c r="C73" s="813" t="s">
        <v>592</v>
      </c>
      <c r="D73" s="814" t="s">
        <v>431</v>
      </c>
      <c r="E73" s="818"/>
      <c r="F73" s="819"/>
      <c r="G73" s="819"/>
      <c r="H73" s="816">
        <f>'Pre-analyse'!BJ15</f>
        <v>0</v>
      </c>
      <c r="I73" s="817">
        <f>'Pre-analyse'!BJ15</f>
        <v>0</v>
      </c>
      <c r="J73" s="624"/>
      <c r="K73" s="624"/>
      <c r="L73" s="624"/>
      <c r="M73" s="624"/>
      <c r="N73" s="624"/>
      <c r="O73" s="624"/>
      <c r="P73" s="623"/>
      <c r="Q73" s="272"/>
      <c r="X73" s="923" t="s">
        <v>592</v>
      </c>
      <c r="Y73" s="924" t="s">
        <v>431</v>
      </c>
      <c r="Z73" s="939">
        <f>IF(Z64+Z65+Z66=3,1,0)</f>
        <v>0</v>
      </c>
      <c r="AA73" s="940">
        <f t="shared" si="50"/>
        <v>0</v>
      </c>
      <c r="AB73" s="940">
        <f t="shared" ref="AB73:AB76" si="51">IF(AB65+AB66+AB67+AB68+AB69+AB70+AB71+AB72=8,1,0)</f>
        <v>0</v>
      </c>
      <c r="AC73" s="889">
        <f t="shared" si="48"/>
        <v>0</v>
      </c>
      <c r="AD73" s="890">
        <f t="shared" si="49"/>
        <v>0</v>
      </c>
    </row>
    <row r="74" spans="1:58" x14ac:dyDescent="0.25">
      <c r="A74" s="272"/>
      <c r="B74" s="792"/>
      <c r="C74" s="813" t="s">
        <v>176</v>
      </c>
      <c r="D74" s="814" t="s">
        <v>572</v>
      </c>
      <c r="E74" s="818"/>
      <c r="F74" s="819"/>
      <c r="G74" s="819"/>
      <c r="H74" s="816">
        <f>'Pre-analyse'!BJ49</f>
        <v>0</v>
      </c>
      <c r="I74" s="817">
        <f>'Pre-analyse'!BJ49</f>
        <v>0</v>
      </c>
      <c r="J74" s="624"/>
      <c r="K74" s="624"/>
      <c r="L74" s="624"/>
      <c r="M74" s="624"/>
      <c r="N74" s="624"/>
      <c r="O74" s="624"/>
      <c r="P74" s="623"/>
      <c r="Q74" s="272"/>
      <c r="X74" s="923" t="s">
        <v>176</v>
      </c>
      <c r="Y74" s="924" t="s">
        <v>572</v>
      </c>
      <c r="Z74" s="939">
        <f>IF(Z64+Z65+Z66=3,1,0)</f>
        <v>0</v>
      </c>
      <c r="AA74" s="940">
        <f t="shared" si="50"/>
        <v>0</v>
      </c>
      <c r="AB74" s="940">
        <f t="shared" si="51"/>
        <v>0</v>
      </c>
      <c r="AC74" s="889">
        <f t="shared" si="48"/>
        <v>0</v>
      </c>
      <c r="AD74" s="890">
        <f t="shared" si="49"/>
        <v>0</v>
      </c>
      <c r="AV74" s="360"/>
      <c r="AW74" s="360"/>
      <c r="AX74" s="360"/>
      <c r="AY74" s="360"/>
      <c r="AZ74" s="360"/>
      <c r="BA74" s="360"/>
      <c r="BB74" s="360"/>
      <c r="BC74" s="360"/>
      <c r="BD74" s="360"/>
      <c r="BE74" s="360"/>
      <c r="BF74" s="360"/>
    </row>
    <row r="75" spans="1:58" ht="15.75" thickBot="1" x14ac:dyDescent="0.3">
      <c r="A75" s="272"/>
      <c r="B75" s="792"/>
      <c r="C75" s="813" t="s">
        <v>249</v>
      </c>
      <c r="D75" s="814" t="s">
        <v>428</v>
      </c>
      <c r="E75" s="818"/>
      <c r="F75" s="819"/>
      <c r="G75" s="819"/>
      <c r="H75" s="816">
        <f>'Pre-analyse'!BJ18</f>
        <v>0</v>
      </c>
      <c r="I75" s="817">
        <f>'Pre-analyse'!BJ18</f>
        <v>0</v>
      </c>
      <c r="J75" s="624"/>
      <c r="K75" s="624"/>
      <c r="L75" s="624"/>
      <c r="M75" s="624"/>
      <c r="N75" s="624"/>
      <c r="O75" s="624"/>
      <c r="P75" s="623"/>
      <c r="Q75" s="272"/>
      <c r="X75" s="923" t="s">
        <v>249</v>
      </c>
      <c r="Y75" s="924" t="s">
        <v>428</v>
      </c>
      <c r="Z75" s="939">
        <f>IF(Z64+Z65+Z66=3,1,0)</f>
        <v>0</v>
      </c>
      <c r="AA75" s="940">
        <f t="shared" si="50"/>
        <v>0</v>
      </c>
      <c r="AB75" s="940">
        <f t="shared" si="51"/>
        <v>0</v>
      </c>
      <c r="AC75" s="889">
        <f t="shared" si="48"/>
        <v>0</v>
      </c>
      <c r="AD75" s="890">
        <f t="shared" si="49"/>
        <v>0</v>
      </c>
      <c r="AV75" s="360"/>
      <c r="AW75" s="360"/>
      <c r="AX75" s="360"/>
      <c r="AY75" s="360"/>
      <c r="AZ75" s="360"/>
      <c r="BA75" s="360"/>
      <c r="BB75" s="360"/>
      <c r="BC75" s="360"/>
      <c r="BD75" s="360"/>
      <c r="BE75" s="360"/>
      <c r="BF75" s="360"/>
    </row>
    <row r="76" spans="1:58" ht="15.75" thickBot="1" x14ac:dyDescent="0.3">
      <c r="A76" s="272"/>
      <c r="B76" s="792"/>
      <c r="C76" s="820" t="s">
        <v>109</v>
      </c>
      <c r="D76" s="821" t="s">
        <v>108</v>
      </c>
      <c r="E76" s="822"/>
      <c r="F76" s="823"/>
      <c r="G76" s="823"/>
      <c r="H76" s="824">
        <f>'Pre-analyse'!BJ83</f>
        <v>0</v>
      </c>
      <c r="I76" s="825">
        <f>'Pre-analyse'!BJ83</f>
        <v>0</v>
      </c>
      <c r="J76" s="624"/>
      <c r="K76" s="624"/>
      <c r="L76" s="624"/>
      <c r="M76" s="624"/>
      <c r="N76" s="624"/>
      <c r="O76" s="624"/>
      <c r="P76" s="623"/>
      <c r="Q76" s="272"/>
      <c r="X76" s="941" t="s">
        <v>109</v>
      </c>
      <c r="Y76" s="942" t="s">
        <v>108</v>
      </c>
      <c r="Z76" s="943">
        <f>IF(Z64+Z65+Z66=3,1,0)</f>
        <v>0</v>
      </c>
      <c r="AA76" s="940">
        <f t="shared" si="50"/>
        <v>0</v>
      </c>
      <c r="AB76" s="940">
        <f t="shared" si="51"/>
        <v>0</v>
      </c>
      <c r="AC76" s="944">
        <f t="shared" si="48"/>
        <v>0</v>
      </c>
      <c r="AD76" s="945">
        <f t="shared" si="49"/>
        <v>0</v>
      </c>
      <c r="AF76" s="975" t="s">
        <v>799</v>
      </c>
      <c r="AG76" s="976" t="s">
        <v>801</v>
      </c>
      <c r="AH76" s="975" t="s">
        <v>802</v>
      </c>
      <c r="AI76" s="978" t="s">
        <v>803</v>
      </c>
      <c r="AJ76" s="979" t="s">
        <v>804</v>
      </c>
      <c r="AV76" s="360"/>
      <c r="AW76" s="360"/>
      <c r="AX76" s="360"/>
      <c r="AY76" s="360"/>
      <c r="AZ76" s="360"/>
      <c r="BA76" s="360"/>
      <c r="BB76" s="360"/>
      <c r="BC76" s="360"/>
      <c r="BD76" s="360"/>
      <c r="BE76" s="360"/>
      <c r="BF76" s="360"/>
    </row>
    <row r="77" spans="1:58" ht="15.75" thickBot="1" x14ac:dyDescent="0.3">
      <c r="A77" s="272"/>
      <c r="B77" s="788"/>
      <c r="C77" s="789"/>
      <c r="D77" s="789"/>
      <c r="E77" s="789"/>
      <c r="F77" s="789"/>
      <c r="G77" s="789"/>
      <c r="H77" s="789"/>
      <c r="I77" s="789"/>
      <c r="J77" s="789"/>
      <c r="K77" s="789"/>
      <c r="L77" s="789"/>
      <c r="M77" s="789"/>
      <c r="N77" s="789"/>
      <c r="O77" s="789"/>
      <c r="P77" s="629"/>
      <c r="Q77" s="272"/>
      <c r="X77" s="946" t="s">
        <v>797</v>
      </c>
      <c r="Y77" s="947"/>
      <c r="Z77" s="948">
        <f>SUM(Z64:Z76)</f>
        <v>0</v>
      </c>
      <c r="AA77" s="948">
        <f t="shared" ref="AA77" si="52">SUM(AA64:AA76)</f>
        <v>0</v>
      </c>
      <c r="AB77" s="948">
        <f t="shared" ref="AB77" si="53">SUM(AB64:AB76)</f>
        <v>0</v>
      </c>
      <c r="AC77" s="948">
        <f t="shared" ref="AC77" si="54">SUM(AC64:AC76)</f>
        <v>0</v>
      </c>
      <c r="AD77" s="949">
        <f t="shared" ref="AD77" si="55">SUM(AD64:AD76)</f>
        <v>0</v>
      </c>
      <c r="AE77" s="950">
        <v>13</v>
      </c>
      <c r="AF77" s="954" t="str">
        <f>IF(AD77=AE77,AD60,IF(AC77=AE77,AC60,IF(AB77=AE77,AB60,IF(AA77=AE77,AA60,IF(Z77=AE77,Z60,$S$3)))))</f>
        <v>Fail</v>
      </c>
      <c r="AG77" s="976">
        <f>VLOOKUP(AF77,$S$36:$T$41,2,FALSE)</f>
        <v>1</v>
      </c>
      <c r="AH77" s="975">
        <f>VLOOKUP(O18,$S$36:$T$41,2,FALSE)</f>
        <v>1</v>
      </c>
      <c r="AI77" s="978">
        <f>MIN(AG77,AH77)</f>
        <v>1</v>
      </c>
      <c r="AJ77" s="954" t="str">
        <f>VLOOKUP(AI77,$T$36:$U$41,2,FALSE)</f>
        <v>Fail</v>
      </c>
      <c r="AV77" s="360"/>
      <c r="AW77" s="360"/>
      <c r="AX77" s="360"/>
      <c r="AY77" s="360"/>
      <c r="AZ77" s="360"/>
      <c r="BA77" s="360"/>
      <c r="BB77" s="360"/>
      <c r="BC77" s="360"/>
      <c r="BD77" s="360"/>
      <c r="BE77" s="360"/>
      <c r="BF77" s="360"/>
    </row>
    <row r="78" spans="1:58" ht="16.5" customHeight="1" thickTop="1" x14ac:dyDescent="0.25">
      <c r="A78" s="272"/>
      <c r="B78" s="272"/>
      <c r="C78" s="272"/>
      <c r="D78" s="272"/>
      <c r="E78" s="272"/>
      <c r="F78" s="272"/>
      <c r="G78" s="272"/>
      <c r="H78" s="272"/>
      <c r="I78" s="272"/>
      <c r="J78" s="272"/>
      <c r="K78" s="272"/>
      <c r="L78" s="272"/>
      <c r="M78" s="272"/>
      <c r="N78" s="272"/>
      <c r="O78" s="272"/>
      <c r="P78" s="272"/>
      <c r="Q78" s="272"/>
      <c r="AV78" s="360"/>
      <c r="AW78" s="360"/>
      <c r="AX78" s="360"/>
      <c r="AY78" s="360"/>
      <c r="AZ78" s="360"/>
      <c r="BA78" s="360"/>
      <c r="BB78" s="360"/>
      <c r="BC78" s="360"/>
      <c r="BD78" s="360"/>
      <c r="BE78" s="360"/>
      <c r="BF78" s="360"/>
    </row>
    <row r="79" spans="1:58" ht="15.75" hidden="1" thickBot="1" x14ac:dyDescent="0.3">
      <c r="A79" s="622"/>
      <c r="Q79" s="622"/>
      <c r="AV79" s="360"/>
      <c r="AW79" s="360"/>
      <c r="AX79" s="360"/>
      <c r="AY79" s="360"/>
      <c r="AZ79" s="360"/>
      <c r="BA79" s="360"/>
      <c r="BB79" s="360"/>
      <c r="BC79" s="360"/>
      <c r="BD79" s="360"/>
      <c r="BE79" s="360"/>
      <c r="BF79" s="360"/>
    </row>
    <row r="80" spans="1:58" ht="15.75" hidden="1" thickBot="1" x14ac:dyDescent="0.3">
      <c r="A80" s="622"/>
      <c r="C80" s="1303" t="s">
        <v>670</v>
      </c>
      <c r="D80" s="1304"/>
      <c r="E80" s="1304"/>
      <c r="F80" s="1304"/>
      <c r="G80" s="1304"/>
      <c r="H80" s="1304"/>
      <c r="I80" s="1305"/>
      <c r="Q80" s="622"/>
      <c r="AV80" s="360"/>
      <c r="AW80" s="360"/>
      <c r="AX80" s="360"/>
      <c r="AY80" s="360"/>
      <c r="AZ80" s="360"/>
      <c r="BA80" s="360"/>
      <c r="BB80" s="360"/>
      <c r="BC80" s="360"/>
      <c r="BD80" s="360"/>
      <c r="BE80" s="360"/>
      <c r="BF80" s="360"/>
    </row>
    <row r="81" spans="1:58" ht="18" hidden="1" x14ac:dyDescent="0.25">
      <c r="A81" s="622"/>
      <c r="C81" s="1310"/>
      <c r="D81" s="427" t="s">
        <v>547</v>
      </c>
      <c r="E81" s="1311" t="s">
        <v>549</v>
      </c>
      <c r="F81" s="1301" t="s">
        <v>553</v>
      </c>
      <c r="G81" s="1301" t="s">
        <v>564</v>
      </c>
      <c r="H81" s="1301" t="s">
        <v>559</v>
      </c>
      <c r="I81" s="1302" t="s">
        <v>565</v>
      </c>
      <c r="Q81" s="622"/>
      <c r="AV81" s="360"/>
      <c r="AW81" s="360"/>
      <c r="AX81" s="360"/>
      <c r="AY81" s="360"/>
      <c r="AZ81" s="360"/>
      <c r="BA81" s="360"/>
      <c r="BB81" s="360"/>
      <c r="BC81" s="360"/>
      <c r="BD81" s="360"/>
      <c r="BE81" s="360"/>
      <c r="BF81" s="360"/>
    </row>
    <row r="82" spans="1:58" hidden="1" x14ac:dyDescent="0.25">
      <c r="A82" s="622"/>
      <c r="C82" s="1310"/>
      <c r="D82" s="428"/>
      <c r="E82" s="1311"/>
      <c r="F82" s="1301"/>
      <c r="G82" s="1301"/>
      <c r="H82" s="1301"/>
      <c r="I82" s="1302"/>
      <c r="Q82" s="622"/>
      <c r="AV82" s="360"/>
      <c r="AW82" s="360"/>
      <c r="AX82" s="360"/>
      <c r="AY82" s="360"/>
      <c r="AZ82" s="360"/>
      <c r="BA82" s="360"/>
      <c r="BB82" s="360"/>
      <c r="BC82" s="360"/>
      <c r="BD82" s="360"/>
      <c r="BE82" s="360"/>
      <c r="BF82" s="360"/>
    </row>
    <row r="83" spans="1:58" hidden="1" x14ac:dyDescent="0.25">
      <c r="A83" s="622"/>
      <c r="C83" s="1310"/>
      <c r="D83" s="428" t="s">
        <v>566</v>
      </c>
      <c r="E83" s="1311"/>
      <c r="F83" s="1301"/>
      <c r="G83" s="1301"/>
      <c r="H83" s="1301"/>
      <c r="I83" s="1302"/>
      <c r="Q83" s="622"/>
      <c r="AV83" s="360"/>
      <c r="AW83" s="360"/>
      <c r="AX83" s="360"/>
      <c r="AY83" s="1273"/>
      <c r="AZ83" s="1273"/>
      <c r="BA83" s="1273"/>
      <c r="BB83" s="1273"/>
      <c r="BC83" s="360"/>
      <c r="BD83" s="360"/>
      <c r="BE83" s="360"/>
      <c r="BF83" s="360"/>
    </row>
    <row r="84" spans="1:58" ht="15.75" hidden="1" thickBot="1" x14ac:dyDescent="0.3">
      <c r="A84" s="622"/>
      <c r="C84" s="1310"/>
      <c r="D84" s="428"/>
      <c r="E84" s="1311"/>
      <c r="F84" s="1301"/>
      <c r="G84" s="1301"/>
      <c r="H84" s="1301"/>
      <c r="I84" s="1302"/>
      <c r="L84" s="360"/>
      <c r="M84" s="360"/>
      <c r="N84" s="360"/>
      <c r="O84" s="360"/>
      <c r="P84" s="360"/>
      <c r="Q84" s="622"/>
      <c r="R84" s="604"/>
      <c r="AV84" s="360"/>
      <c r="AW84" s="360"/>
      <c r="AX84" s="360"/>
      <c r="AY84" s="360"/>
      <c r="AZ84" s="360"/>
      <c r="BA84" s="360"/>
      <c r="BB84" s="360"/>
      <c r="BC84" s="360"/>
      <c r="BD84" s="360"/>
      <c r="BE84" s="360"/>
      <c r="BF84" s="360"/>
    </row>
    <row r="85" spans="1:58" hidden="1" x14ac:dyDescent="0.25">
      <c r="A85" s="622"/>
      <c r="C85" s="423" t="s">
        <v>255</v>
      </c>
      <c r="D85" s="429" t="s">
        <v>567</v>
      </c>
      <c r="E85" s="430">
        <f>VLOOKUP($C85,'Pre-analyse'!$C$9:$T$98,'Pre-analyse'!P$1,FALSE)</f>
        <v>1</v>
      </c>
      <c r="F85" s="430">
        <f>VLOOKUP($C85,'Pre-analyse'!$C$9:$T$98,'Pre-analyse'!Q$1,FALSE)</f>
        <v>1</v>
      </c>
      <c r="G85" s="430">
        <f>VLOOKUP($C85,'Pre-analyse'!$C$9:$T$98,'Pre-analyse'!R$1,FALSE)</f>
        <v>1</v>
      </c>
      <c r="H85" s="430">
        <f>VLOOKUP($C85,'Pre-analyse'!$C$9:$T$98,'Pre-analyse'!S$1,FALSE)</f>
        <v>1</v>
      </c>
      <c r="I85" s="431">
        <f>VLOOKUP($C85,'Pre-analyse'!$C$9:$T$98,'Pre-analyse'!T$1,FALSE)</f>
        <v>2</v>
      </c>
      <c r="L85" s="360"/>
      <c r="M85" s="360"/>
      <c r="N85" s="360"/>
      <c r="O85" s="360"/>
      <c r="P85" s="360"/>
      <c r="Q85" s="622"/>
      <c r="R85" s="604"/>
      <c r="AV85" s="360"/>
      <c r="AW85" s="360"/>
      <c r="AX85" s="360"/>
      <c r="AY85" s="360"/>
      <c r="AZ85" s="360"/>
      <c r="BA85" s="360"/>
      <c r="BB85" s="360"/>
      <c r="BC85" s="360"/>
      <c r="BD85" s="360"/>
      <c r="BE85" s="360"/>
      <c r="BF85" s="360"/>
    </row>
    <row r="86" spans="1:58" hidden="1" x14ac:dyDescent="0.25">
      <c r="A86" s="622"/>
      <c r="C86" s="424" t="s">
        <v>198</v>
      </c>
      <c r="D86" s="432" t="s">
        <v>568</v>
      </c>
      <c r="E86" s="433">
        <f>VLOOKUP($C$86,'Pre-analyse'!$C$9:$AM$98,'Pre-analyse'!$AM$1,FALSE)</f>
        <v>0</v>
      </c>
      <c r="F86" s="433">
        <f>VLOOKUP($C$86,'Pre-analyse'!$C$9:$AM$98,'Pre-analyse'!$AM$1,FALSE)</f>
        <v>0</v>
      </c>
      <c r="G86" s="433">
        <f>VLOOKUP($C$86,'Pre-analyse'!$C$9:$AM$98,'Pre-analyse'!$AM$1,FALSE)</f>
        <v>0</v>
      </c>
      <c r="H86" s="433">
        <f>VLOOKUP($C$86,'Pre-analyse'!$C$9:$AM$98,'Pre-analyse'!$AM$1,FALSE)</f>
        <v>0</v>
      </c>
      <c r="I86" s="434">
        <f>VLOOKUP($C$86,'Pre-analyse'!$C$9:$AM$98,'Pre-analyse'!$AM$1,FALSE)</f>
        <v>0</v>
      </c>
      <c r="L86" s="360"/>
      <c r="M86" s="360"/>
      <c r="N86" s="360"/>
      <c r="O86" s="360"/>
      <c r="P86" s="360"/>
      <c r="Q86" s="622"/>
      <c r="R86" s="604"/>
      <c r="AV86" s="360"/>
      <c r="AW86" s="360"/>
      <c r="AX86" s="360"/>
      <c r="AY86" s="360"/>
      <c r="AZ86" s="360"/>
      <c r="BA86" s="360"/>
      <c r="BB86" s="360"/>
      <c r="BC86" s="360"/>
      <c r="BD86" s="360"/>
      <c r="BE86" s="360"/>
      <c r="BF86" s="360"/>
    </row>
    <row r="87" spans="1:58" hidden="1" x14ac:dyDescent="0.25">
      <c r="A87" s="622"/>
      <c r="C87" s="424" t="s">
        <v>100</v>
      </c>
      <c r="D87" s="432" t="s">
        <v>569</v>
      </c>
      <c r="E87" s="433">
        <f>VLOOKUP($C87,'Pre-analyse'!$C$9:$T$98,'Pre-analyse'!P$1,FALSE)</f>
        <v>1</v>
      </c>
      <c r="F87" s="433">
        <f>VLOOKUP($C87,'Pre-analyse'!$C$9:$T$98,'Pre-analyse'!Q$1,FALSE)</f>
        <v>1</v>
      </c>
      <c r="G87" s="433">
        <f>VLOOKUP($C87,'Pre-analyse'!$C$9:$T$98,'Pre-analyse'!R$1,FALSE)</f>
        <v>1</v>
      </c>
      <c r="H87" s="433">
        <f>VLOOKUP($C87,'Pre-analyse'!$C$9:$T$98,'Pre-analyse'!S$1,FALSE)</f>
        <v>1</v>
      </c>
      <c r="I87" s="434">
        <f>VLOOKUP($C87,'Pre-analyse'!$C$9:$T$98,'Pre-analyse'!T$1,FALSE)</f>
        <v>1</v>
      </c>
      <c r="L87" s="360"/>
      <c r="M87" s="360"/>
      <c r="N87" s="360"/>
      <c r="O87" s="360"/>
      <c r="P87" s="360"/>
      <c r="Q87" s="622"/>
      <c r="R87" s="604"/>
      <c r="AV87" s="360"/>
      <c r="AW87" s="360"/>
      <c r="AX87" s="360"/>
      <c r="AY87" s="360"/>
      <c r="AZ87" s="360"/>
      <c r="BA87" s="360"/>
      <c r="BB87" s="360"/>
      <c r="BC87" s="360"/>
      <c r="BD87" s="360"/>
      <c r="BE87" s="360"/>
      <c r="BF87" s="360"/>
    </row>
    <row r="88" spans="1:58" hidden="1" x14ac:dyDescent="0.25">
      <c r="A88" s="622"/>
      <c r="C88" s="424" t="s">
        <v>178</v>
      </c>
      <c r="D88" s="432" t="s">
        <v>570</v>
      </c>
      <c r="E88" s="433">
        <f>VLOOKUP($C88,'Pre-analyse'!$C$9:$T$98,'Pre-analyse'!P$1,FALSE)</f>
        <v>0</v>
      </c>
      <c r="F88" s="433">
        <f>VLOOKUP($C88,'Pre-analyse'!$C$9:$T$98,'Pre-analyse'!Q$1,FALSE)</f>
        <v>1</v>
      </c>
      <c r="G88" s="433">
        <f>VLOOKUP($C88,'Pre-analyse'!$C$9:$T$98,'Pre-analyse'!R$1,FALSE)</f>
        <v>1</v>
      </c>
      <c r="H88" s="433">
        <f>VLOOKUP($C88,'Pre-analyse'!$C$9:$T$98,'Pre-analyse'!S$1,FALSE)</f>
        <v>1</v>
      </c>
      <c r="I88" s="434">
        <f>VLOOKUP($C88,'Pre-analyse'!$C$9:$T$98,'Pre-analyse'!T$1,FALSE)</f>
        <v>1</v>
      </c>
      <c r="L88" s="360"/>
      <c r="M88" s="360"/>
      <c r="N88" s="360"/>
      <c r="O88" s="360"/>
      <c r="P88" s="360"/>
      <c r="Q88" s="622"/>
      <c r="R88" s="604"/>
      <c r="AV88" s="360"/>
      <c r="AW88" s="360"/>
      <c r="AX88" s="360"/>
      <c r="AY88" s="360"/>
      <c r="AZ88" s="360"/>
      <c r="BA88" s="360"/>
      <c r="BB88" s="360"/>
      <c r="BC88" s="360"/>
      <c r="BD88" s="360"/>
      <c r="BE88" s="360"/>
      <c r="BF88" s="360"/>
    </row>
    <row r="89" spans="1:58" hidden="1" x14ac:dyDescent="0.25">
      <c r="A89" s="622"/>
      <c r="C89" s="424" t="s">
        <v>73</v>
      </c>
      <c r="D89" s="432" t="s">
        <v>423</v>
      </c>
      <c r="E89" s="433">
        <f>VLOOKUP($C89,'Pre-analyse'!$C$9:$T$98,'Pre-analyse'!P$1,FALSE)</f>
        <v>0</v>
      </c>
      <c r="F89" s="433">
        <f>VLOOKUP($C89,'Pre-analyse'!$C$9:$T$98,'Pre-analyse'!Q$1,FALSE)</f>
        <v>0</v>
      </c>
      <c r="G89" s="433">
        <f>VLOOKUP($C89,'Pre-analyse'!$C$9:$T$98,'Pre-analyse'!R$1,FALSE)</f>
        <v>1</v>
      </c>
      <c r="H89" s="433">
        <f>VLOOKUP($C89,'Pre-analyse'!$C$9:$T$98,'Pre-analyse'!S$1,FALSE)</f>
        <v>1</v>
      </c>
      <c r="I89" s="434">
        <f>VLOOKUP($C89,'Pre-analyse'!$C$9:$T$98,'Pre-analyse'!T$1,FALSE)</f>
        <v>2</v>
      </c>
      <c r="L89" s="360"/>
      <c r="M89" s="360"/>
      <c r="N89" s="360"/>
      <c r="O89" s="360"/>
      <c r="P89" s="360"/>
      <c r="Q89" s="622"/>
      <c r="R89" s="604"/>
      <c r="AV89" s="360"/>
      <c r="AW89" s="360"/>
      <c r="AX89" s="360"/>
      <c r="AY89" s="360"/>
      <c r="AZ89" s="360"/>
      <c r="BA89" s="360"/>
      <c r="BB89" s="360"/>
      <c r="BC89" s="360"/>
      <c r="BD89" s="360"/>
      <c r="BE89" s="360"/>
      <c r="BF89" s="360"/>
    </row>
    <row r="90" spans="1:58" hidden="1" x14ac:dyDescent="0.25">
      <c r="A90" s="622"/>
      <c r="C90" s="424" t="s">
        <v>205</v>
      </c>
      <c r="D90" s="432" t="s">
        <v>443</v>
      </c>
      <c r="E90" s="433">
        <f>VLOOKUP($C90,'Pre-analyse'!$C$9:$T$98,'Pre-analyse'!P$1,FALSE)</f>
        <v>0</v>
      </c>
      <c r="F90" s="433">
        <f>VLOOKUP($C90,'Pre-analyse'!$C$9:$T$98,'Pre-analyse'!Q$1,FALSE)</f>
        <v>0</v>
      </c>
      <c r="G90" s="433">
        <f>VLOOKUP($C90,'Pre-analyse'!$C$9:$T$98,'Pre-analyse'!R$1,FALSE)</f>
        <v>1</v>
      </c>
      <c r="H90" s="433">
        <f>VLOOKUP($C90,'Pre-analyse'!$C$9:$T$98,'Pre-analyse'!S$1,FALSE)</f>
        <v>2</v>
      </c>
      <c r="I90" s="434">
        <f>VLOOKUP($C90,'Pre-analyse'!$C$9:$T$98,'Pre-analyse'!T$1,FALSE)</f>
        <v>2</v>
      </c>
      <c r="L90" s="360"/>
      <c r="M90" s="360"/>
      <c r="N90" s="360"/>
      <c r="O90" s="360"/>
      <c r="P90" s="360"/>
      <c r="Q90" s="622"/>
      <c r="R90" s="604"/>
      <c r="AV90" s="360"/>
      <c r="AW90" s="360"/>
      <c r="AX90" s="360"/>
      <c r="AY90" s="360"/>
      <c r="AZ90" s="360"/>
      <c r="BA90" s="360"/>
      <c r="BB90" s="360"/>
      <c r="BC90" s="360"/>
      <c r="BD90" s="360"/>
      <c r="BE90" s="360"/>
      <c r="BF90" s="360"/>
    </row>
    <row r="91" spans="1:58" hidden="1" x14ac:dyDescent="0.25">
      <c r="A91" s="622"/>
      <c r="C91" s="424" t="s">
        <v>447</v>
      </c>
      <c r="D91" s="432" t="s">
        <v>425</v>
      </c>
      <c r="E91" s="433">
        <f>VLOOKUP($C91,'Pre-analyse'!$C$9:$T$98,'Pre-analyse'!P$1,FALSE)</f>
        <v>0</v>
      </c>
      <c r="F91" s="433">
        <f>VLOOKUP($C91,'Pre-analyse'!$C$9:$T$98,'Pre-analyse'!Q$1,FALSE)</f>
        <v>0</v>
      </c>
      <c r="G91" s="433">
        <f>VLOOKUP($C91,'Pre-analyse'!$C$9:$T$98,'Pre-analyse'!R$1,FALSE)</f>
        <v>1</v>
      </c>
      <c r="H91" s="433">
        <f>VLOOKUP($C91,'Pre-analyse'!$C$9:$T$98,'Pre-analyse'!S$1,FALSE)</f>
        <v>1</v>
      </c>
      <c r="I91" s="434">
        <f>VLOOKUP($C91,'Pre-analyse'!$C$9:$T$98,'Pre-analyse'!T$1,FALSE)</f>
        <v>1</v>
      </c>
      <c r="L91" s="360"/>
      <c r="M91" s="360"/>
      <c r="N91" s="360"/>
      <c r="O91" s="360"/>
      <c r="P91" s="360"/>
      <c r="Q91" s="622"/>
      <c r="R91" s="604"/>
      <c r="AV91" s="360"/>
      <c r="AW91" s="360"/>
      <c r="AX91" s="360"/>
      <c r="AY91" s="360"/>
      <c r="AZ91" s="360"/>
      <c r="BA91" s="360"/>
      <c r="BB91" s="360"/>
      <c r="BC91" s="360"/>
      <c r="BD91" s="360"/>
      <c r="BE91" s="360"/>
      <c r="BF91" s="360"/>
    </row>
    <row r="92" spans="1:58" hidden="1" x14ac:dyDescent="0.25">
      <c r="A92" s="622"/>
      <c r="C92" s="424" t="s">
        <v>226</v>
      </c>
      <c r="D92" s="435" t="s">
        <v>225</v>
      </c>
      <c r="E92" s="433">
        <f>VLOOKUP($C92,'Pre-analyse'!$C$9:$T$98,'Pre-analyse'!P$1,FALSE)</f>
        <v>0</v>
      </c>
      <c r="F92" s="433">
        <f>VLOOKUP($C92,'Pre-analyse'!$C$9:$T$98,'Pre-analyse'!Q$1,FALSE)</f>
        <v>0</v>
      </c>
      <c r="G92" s="433">
        <f>VLOOKUP($C92,'Pre-analyse'!$C$9:$T$98,'Pre-analyse'!R$1,FALSE)</f>
        <v>1</v>
      </c>
      <c r="H92" s="433">
        <f>VLOOKUP($C92,'Pre-analyse'!$C$9:$T$98,'Pre-analyse'!S$1,FALSE)</f>
        <v>1</v>
      </c>
      <c r="I92" s="434">
        <f>VLOOKUP($C92,'Pre-analyse'!$C$9:$T$98,'Pre-analyse'!T$1,FALSE)</f>
        <v>1</v>
      </c>
      <c r="L92" s="360"/>
      <c r="M92" s="360"/>
      <c r="N92" s="360"/>
      <c r="O92" s="360"/>
      <c r="P92" s="360"/>
      <c r="Q92" s="622"/>
      <c r="R92" s="604"/>
      <c r="AV92" s="360"/>
      <c r="AW92" s="360"/>
      <c r="AX92" s="360"/>
      <c r="AY92" s="360"/>
      <c r="AZ92" s="360"/>
      <c r="BA92" s="360"/>
      <c r="BB92" s="360"/>
      <c r="BC92" s="360"/>
      <c r="BD92" s="360"/>
      <c r="BE92" s="360"/>
      <c r="BF92" s="360"/>
    </row>
    <row r="93" spans="1:58" hidden="1" x14ac:dyDescent="0.25">
      <c r="A93" s="622"/>
      <c r="C93" s="424" t="s">
        <v>247</v>
      </c>
      <c r="D93" s="432" t="s">
        <v>571</v>
      </c>
      <c r="E93" s="433">
        <f>VLOOKUP($C93,'Pre-analyse'!$C$9:$T$98,'Pre-analyse'!P$1,FALSE)</f>
        <v>0</v>
      </c>
      <c r="F93" s="433">
        <f>VLOOKUP($C93,'Pre-analyse'!$C$9:$T$98,'Pre-analyse'!Q$1,FALSE)</f>
        <v>0</v>
      </c>
      <c r="G93" s="433">
        <f>VLOOKUP($C93,'Pre-analyse'!$C$9:$T$98,'Pre-analyse'!R$1,FALSE)</f>
        <v>0</v>
      </c>
      <c r="H93" s="433">
        <f>VLOOKUP($C93,'Pre-analyse'!$C$9:$T$98,'Pre-analyse'!S$1,FALSE)</f>
        <v>7</v>
      </c>
      <c r="I93" s="434">
        <f>VLOOKUP($C93,'Pre-analyse'!$C$9:$T$98,'Pre-analyse'!T$1,FALSE)</f>
        <v>9</v>
      </c>
      <c r="L93" s="360"/>
      <c r="M93" s="360"/>
      <c r="N93" s="360"/>
      <c r="O93" s="360"/>
      <c r="P93" s="360"/>
      <c r="Q93" s="622"/>
      <c r="R93" s="604"/>
      <c r="AV93" s="360"/>
      <c r="AW93" s="360"/>
      <c r="AX93" s="360"/>
      <c r="AY93" s="360"/>
      <c r="AZ93" s="360"/>
      <c r="BA93" s="360"/>
      <c r="BB93" s="360"/>
      <c r="BC93" s="360"/>
      <c r="BD93" s="360"/>
      <c r="BE93" s="360"/>
      <c r="BF93" s="360"/>
    </row>
    <row r="94" spans="1:58" hidden="1" x14ac:dyDescent="0.25">
      <c r="A94" s="622"/>
      <c r="C94" s="424" t="s">
        <v>592</v>
      </c>
      <c r="D94" s="432" t="s">
        <v>431</v>
      </c>
      <c r="E94" s="433">
        <f>VLOOKUP($C94,'Pre-analyse'!$C$9:$T$98,'Pre-analyse'!P$1,FALSE)</f>
        <v>0</v>
      </c>
      <c r="F94" s="433">
        <f>VLOOKUP($C94,'Pre-analyse'!$C$9:$T$98,'Pre-analyse'!Q$1,FALSE)</f>
        <v>0</v>
      </c>
      <c r="G94" s="433">
        <f>VLOOKUP($C94,'Pre-analyse'!$C$9:$T$98,'Pre-analyse'!R$1,FALSE)</f>
        <v>0</v>
      </c>
      <c r="H94" s="433">
        <f>VLOOKUP($C94,'Pre-analyse'!$C$9:$T$98,'Pre-analyse'!S$1,FALSE)</f>
        <v>1</v>
      </c>
      <c r="I94" s="434">
        <f>VLOOKUP($C94,'Pre-analyse'!$C$9:$T$98,'Pre-analyse'!T$1,FALSE)</f>
        <v>2</v>
      </c>
      <c r="L94" s="360"/>
      <c r="M94" s="360"/>
      <c r="N94" s="360"/>
      <c r="O94" s="360"/>
      <c r="P94" s="360"/>
      <c r="Q94" s="622"/>
      <c r="R94" s="604"/>
      <c r="AV94" s="360"/>
      <c r="AW94" s="360"/>
      <c r="AX94" s="360"/>
      <c r="AY94" s="360"/>
      <c r="AZ94" s="360"/>
      <c r="BA94" s="360"/>
      <c r="BB94" s="360"/>
      <c r="BC94" s="360"/>
      <c r="BD94" s="360"/>
      <c r="BE94" s="360"/>
      <c r="BF94" s="360"/>
    </row>
    <row r="95" spans="1:58" hidden="1" x14ac:dyDescent="0.25">
      <c r="A95" s="622"/>
      <c r="C95" s="424" t="s">
        <v>176</v>
      </c>
      <c r="D95" s="432" t="s">
        <v>572</v>
      </c>
      <c r="E95" s="433">
        <f>VLOOKUP($C95,'Pre-analyse'!$C$9:$T$98,'Pre-analyse'!P$1,FALSE)</f>
        <v>0</v>
      </c>
      <c r="F95" s="433">
        <f>VLOOKUP($C95,'Pre-analyse'!$C$9:$T$98,'Pre-analyse'!Q$1,FALSE)</f>
        <v>0</v>
      </c>
      <c r="G95" s="433">
        <f>VLOOKUP($C95,'Pre-analyse'!$C$9:$T$98,'Pre-analyse'!R$1,FALSE)</f>
        <v>0</v>
      </c>
      <c r="H95" s="433">
        <f>VLOOKUP($C95,'Pre-analyse'!$C$9:$T$98,'Pre-analyse'!S$1,FALSE)</f>
        <v>1</v>
      </c>
      <c r="I95" s="434">
        <f>VLOOKUP($C95,'Pre-analyse'!$C$9:$T$98,'Pre-analyse'!T$1,FALSE)</f>
        <v>1</v>
      </c>
      <c r="L95" s="360"/>
      <c r="M95" s="360"/>
      <c r="N95" s="360"/>
      <c r="O95" s="360"/>
      <c r="P95" s="360"/>
      <c r="Q95" s="622"/>
      <c r="R95" s="604"/>
      <c r="AV95" s="360"/>
      <c r="AW95" s="360"/>
      <c r="AX95" s="360"/>
      <c r="AY95" s="360"/>
      <c r="AZ95" s="360"/>
      <c r="BA95" s="360"/>
      <c r="BB95" s="360"/>
      <c r="BC95" s="360"/>
      <c r="BD95" s="360"/>
      <c r="BE95" s="360"/>
      <c r="BF95" s="360"/>
    </row>
    <row r="96" spans="1:58" hidden="1" x14ac:dyDescent="0.25">
      <c r="A96" s="622"/>
      <c r="C96" s="424" t="s">
        <v>249</v>
      </c>
      <c r="D96" s="432" t="s">
        <v>428</v>
      </c>
      <c r="E96" s="433">
        <f>VLOOKUP($C96,'Pre-analyse'!$C$9:$T$98,'Pre-analyse'!P$1,FALSE)</f>
        <v>0</v>
      </c>
      <c r="F96" s="433">
        <f>VLOOKUP($C96,'Pre-analyse'!$C$9:$T$98,'Pre-analyse'!Q$1,FALSE)</f>
        <v>0</v>
      </c>
      <c r="G96" s="433">
        <f>VLOOKUP($C96,'Pre-analyse'!$C$9:$T$98,'Pre-analyse'!R$1,FALSE)</f>
        <v>0</v>
      </c>
      <c r="H96" s="433">
        <f>VLOOKUP($C96,'Pre-analyse'!$C$9:$T$98,'Pre-analyse'!S$1,FALSE)</f>
        <v>1</v>
      </c>
      <c r="I96" s="434">
        <f>VLOOKUP($C96,'Pre-analyse'!$C$9:$T$98,'Pre-analyse'!T$1,FALSE)</f>
        <v>1</v>
      </c>
      <c r="Q96" s="622"/>
      <c r="AV96" s="360"/>
      <c r="AW96" s="360"/>
      <c r="AX96" s="360"/>
      <c r="AY96" s="360"/>
      <c r="AZ96" s="360"/>
      <c r="BA96" s="360"/>
      <c r="BB96" s="360"/>
      <c r="BC96" s="360"/>
      <c r="BD96" s="360"/>
      <c r="BE96" s="360"/>
      <c r="BF96" s="360"/>
    </row>
    <row r="97" spans="1:58" ht="15.75" hidden="1" thickBot="1" x14ac:dyDescent="0.3">
      <c r="A97" s="622"/>
      <c r="C97" s="425" t="s">
        <v>109</v>
      </c>
      <c r="D97" s="436" t="s">
        <v>108</v>
      </c>
      <c r="E97" s="437">
        <f>VLOOKUP($C97,'Pre-analyse'!$C$9:$T$98,'Pre-analyse'!P$1,FALSE)</f>
        <v>0</v>
      </c>
      <c r="F97" s="437">
        <f>VLOOKUP($C97,'Pre-analyse'!$C$9:$T$98,'Pre-analyse'!Q$1,FALSE)</f>
        <v>0</v>
      </c>
      <c r="G97" s="437">
        <f>VLOOKUP($C97,'Pre-analyse'!$C$9:$T$98,'Pre-analyse'!R$1,FALSE)</f>
        <v>0</v>
      </c>
      <c r="H97" s="437">
        <f>VLOOKUP($C97,'Pre-analyse'!$C$9:$T$98,'Pre-analyse'!S$1,FALSE)</f>
        <v>1</v>
      </c>
      <c r="I97" s="438">
        <f>VLOOKUP($C97,'Pre-analyse'!$C$9:$T$98,'Pre-analyse'!T$1,FALSE)</f>
        <v>1</v>
      </c>
      <c r="Q97" s="622"/>
      <c r="AV97" s="360"/>
      <c r="AW97" s="360"/>
      <c r="AX97" s="360"/>
      <c r="AY97" s="360"/>
      <c r="AZ97" s="360"/>
      <c r="BA97" s="360"/>
      <c r="BB97" s="360"/>
      <c r="BC97" s="360"/>
      <c r="BD97" s="360"/>
      <c r="BE97" s="360"/>
      <c r="BF97" s="360"/>
    </row>
    <row r="98" spans="1:58" x14ac:dyDescent="0.25">
      <c r="A98" s="622"/>
      <c r="F98" s="892"/>
      <c r="G98" s="892"/>
      <c r="H98" s="892"/>
      <c r="I98" s="892"/>
      <c r="Q98" s="622"/>
      <c r="AV98" s="360"/>
      <c r="AW98" s="360"/>
      <c r="AX98" s="360"/>
      <c r="AY98" s="360"/>
      <c r="AZ98" s="360"/>
      <c r="BA98" s="360"/>
      <c r="BB98" s="360"/>
      <c r="BC98" s="360"/>
      <c r="BD98" s="360"/>
      <c r="BE98" s="360"/>
      <c r="BF98" s="360"/>
    </row>
    <row r="99" spans="1:58" x14ac:dyDescent="0.25">
      <c r="Q99" s="622"/>
      <c r="AV99" s="360"/>
      <c r="AW99" s="360"/>
      <c r="AX99" s="360"/>
      <c r="AY99" s="360"/>
      <c r="AZ99" s="360"/>
      <c r="BA99" s="360"/>
      <c r="BB99" s="360"/>
      <c r="BC99" s="360"/>
      <c r="BD99" s="360"/>
      <c r="BE99" s="360"/>
      <c r="BF99" s="360"/>
    </row>
    <row r="100" spans="1:58" x14ac:dyDescent="0.25">
      <c r="AV100" s="360"/>
      <c r="AW100" s="360"/>
      <c r="AX100" s="360"/>
      <c r="AY100" s="360"/>
      <c r="AZ100" s="360"/>
      <c r="BA100" s="360"/>
      <c r="BB100" s="360"/>
      <c r="BC100" s="360"/>
      <c r="BD100" s="360"/>
      <c r="BE100" s="360"/>
      <c r="BF100" s="360"/>
    </row>
    <row r="101" spans="1:58" x14ac:dyDescent="0.25">
      <c r="AV101" s="360"/>
      <c r="AW101" s="360"/>
      <c r="AX101" s="360"/>
      <c r="AY101" s="360"/>
      <c r="AZ101" s="360"/>
      <c r="BA101" s="360"/>
      <c r="BB101" s="360"/>
      <c r="BC101" s="360"/>
      <c r="BD101" s="360"/>
      <c r="BE101" s="360"/>
      <c r="BF101" s="360"/>
    </row>
    <row r="102" spans="1:58" x14ac:dyDescent="0.25">
      <c r="AV102" s="360"/>
      <c r="AW102" s="360"/>
      <c r="AX102" s="360"/>
      <c r="AY102" s="360"/>
      <c r="AZ102" s="360"/>
      <c r="BA102" s="360"/>
      <c r="BB102" s="360"/>
      <c r="BC102" s="360"/>
      <c r="BD102" s="360"/>
      <c r="BE102" s="360"/>
      <c r="BF102" s="360"/>
    </row>
    <row r="103" spans="1:58" x14ac:dyDescent="0.25">
      <c r="AV103" s="360"/>
      <c r="AW103" s="360"/>
      <c r="AX103" s="360"/>
      <c r="AY103" s="360"/>
      <c r="AZ103" s="360"/>
      <c r="BA103" s="360"/>
      <c r="BB103" s="360"/>
      <c r="BC103" s="360"/>
      <c r="BD103" s="360"/>
      <c r="BE103" s="360"/>
      <c r="BF103" s="360"/>
    </row>
  </sheetData>
  <sheetProtection algorithmName="SHA-512" hashValue="/jPa6HoXiU9LW5KqSJoMi3CQzucZDhhyFRi67hm348SpGV5pYlplM9G+LEmuZIBzLf0xLg9x0kdYtfYApZox+Q==" saltValue="5WjF6m/EiAOA92tr2FzFZQ==" spinCount="100000" sheet="1" objects="1" scenarios="1"/>
  <mergeCells count="88">
    <mergeCell ref="K38:O38"/>
    <mergeCell ref="K39:O39"/>
    <mergeCell ref="K40:O40"/>
    <mergeCell ref="C81:C84"/>
    <mergeCell ref="E81:E84"/>
    <mergeCell ref="F81:F84"/>
    <mergeCell ref="G81:G84"/>
    <mergeCell ref="X59:AD59"/>
    <mergeCell ref="X60:X63"/>
    <mergeCell ref="Z60:Z63"/>
    <mergeCell ref="AA60:AA63"/>
    <mergeCell ref="AB60:AB63"/>
    <mergeCell ref="AC60:AC63"/>
    <mergeCell ref="AD60:AD63"/>
    <mergeCell ref="F5:G5"/>
    <mergeCell ref="H5:I5"/>
    <mergeCell ref="J5:K5"/>
    <mergeCell ref="AY83:BB83"/>
    <mergeCell ref="H81:H84"/>
    <mergeCell ref="I81:I84"/>
    <mergeCell ref="G41:G44"/>
    <mergeCell ref="C80:I80"/>
    <mergeCell ref="K19:L19"/>
    <mergeCell ref="K18:L18"/>
    <mergeCell ref="X21:AD21"/>
    <mergeCell ref="X22:X25"/>
    <mergeCell ref="Z22:Z25"/>
    <mergeCell ref="AA22:AA25"/>
    <mergeCell ref="AB22:AB25"/>
    <mergeCell ref="AC22:AC25"/>
    <mergeCell ref="AB1:AC1"/>
    <mergeCell ref="X3:Y3"/>
    <mergeCell ref="Z3:AA3"/>
    <mergeCell ref="BD3:BD6"/>
    <mergeCell ref="AZ1:BF1"/>
    <mergeCell ref="AZ3:AZ6"/>
    <mergeCell ref="BB3:BB6"/>
    <mergeCell ref="BC3:BC6"/>
    <mergeCell ref="X1:Y1"/>
    <mergeCell ref="Z1:AA1"/>
    <mergeCell ref="BD44:BD54"/>
    <mergeCell ref="BE3:BE6"/>
    <mergeCell ref="BF3:BF6"/>
    <mergeCell ref="E22:E25"/>
    <mergeCell ref="F22:F25"/>
    <mergeCell ref="G22:G25"/>
    <mergeCell ref="C21:I21"/>
    <mergeCell ref="C40:I40"/>
    <mergeCell ref="H22:H25"/>
    <mergeCell ref="I22:I25"/>
    <mergeCell ref="M5:M6"/>
    <mergeCell ref="H41:H44"/>
    <mergeCell ref="I41:I44"/>
    <mergeCell ref="C41:C44"/>
    <mergeCell ref="E41:E44"/>
    <mergeCell ref="F41:F44"/>
    <mergeCell ref="S4:T4"/>
    <mergeCell ref="S12:T12"/>
    <mergeCell ref="C4:O4"/>
    <mergeCell ref="C59:I59"/>
    <mergeCell ref="C60:C63"/>
    <mergeCell ref="E60:E63"/>
    <mergeCell ref="F60:F63"/>
    <mergeCell ref="G60:G63"/>
    <mergeCell ref="H60:H63"/>
    <mergeCell ref="I60:I63"/>
    <mergeCell ref="C5:D6"/>
    <mergeCell ref="L5:L6"/>
    <mergeCell ref="N5:N6"/>
    <mergeCell ref="O5:O6"/>
    <mergeCell ref="E5:E6"/>
    <mergeCell ref="C18:I18"/>
    <mergeCell ref="AD22:AD25"/>
    <mergeCell ref="K21:O28"/>
    <mergeCell ref="C22:C25"/>
    <mergeCell ref="X40:AD40"/>
    <mergeCell ref="X41:X44"/>
    <mergeCell ref="Z41:Z44"/>
    <mergeCell ref="AA41:AA44"/>
    <mergeCell ref="AB41:AB44"/>
    <mergeCell ref="AC41:AC44"/>
    <mergeCell ref="AD41:AD44"/>
    <mergeCell ref="K32:O32"/>
    <mergeCell ref="K33:O33"/>
    <mergeCell ref="K34:O34"/>
    <mergeCell ref="K35:O35"/>
    <mergeCell ref="K36:O36"/>
    <mergeCell ref="K37:O37"/>
  </mergeCells>
  <conditionalFormatting sqref="E85:I97">
    <cfRule type="expression" dxfId="7" priority="22">
      <formula>E85=0</formula>
    </cfRule>
  </conditionalFormatting>
  <conditionalFormatting sqref="E26:I26 H34:I38 G30:I33 F29:I29 E28:I28">
    <cfRule type="expression" dxfId="6" priority="123">
      <formula>E26&gt;=E85</formula>
    </cfRule>
  </conditionalFormatting>
  <conditionalFormatting sqref="E65:I65 E46:I46 E27:I27">
    <cfRule type="expression" dxfId="5" priority="128">
      <formula>E27="x"</formula>
    </cfRule>
  </conditionalFormatting>
  <conditionalFormatting sqref="H53:I57 G49:I52 F48:I48 E47:I47 E45:I45">
    <cfRule type="expression" dxfId="4" priority="131">
      <formula>E45&gt;=E85</formula>
    </cfRule>
  </conditionalFormatting>
  <conditionalFormatting sqref="H72:I76 G68:I71 F67:I67 E66:I66 E64:I64">
    <cfRule type="expression" dxfId="3" priority="136">
      <formula>E64&gt;=E85</formula>
    </cfRule>
  </conditionalFormatting>
  <conditionalFormatting sqref="G30:I30">
    <cfRule type="expression" dxfId="2" priority="12">
      <formula>$U$31="Nei"</formula>
    </cfRule>
  </conditionalFormatting>
  <conditionalFormatting sqref="G49:I49">
    <cfRule type="expression" dxfId="1" priority="11">
      <formula>$U$31="Nei"</formula>
    </cfRule>
  </conditionalFormatting>
  <conditionalFormatting sqref="G68:I68">
    <cfRule type="expression" dxfId="0" priority="10">
      <formula>$U$31="Nei"</formula>
    </cfRule>
  </conditionalFormatting>
  <pageMargins left="0.7" right="0.7" top="0.75" bottom="0.75" header="0.3" footer="0.3"/>
  <pageSetup paperSize="9" orientation="portrait" r:id="rId1"/>
  <ignoredErrors>
    <ignoredError sqref="H7:H13 J7:J13 H15:H16 J15:J16 J14 H14 G14 I14 K14:O14"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H65"/>
  <sheetViews>
    <sheetView showGridLines="0" topLeftCell="A17" zoomScale="85" zoomScaleNormal="85" workbookViewId="0">
      <selection activeCell="D55" sqref="D55"/>
    </sheetView>
  </sheetViews>
  <sheetFormatPr baseColWidth="10" defaultColWidth="11.42578125" defaultRowHeight="15" x14ac:dyDescent="0.25"/>
  <cols>
    <col min="1" max="1" width="3.28515625" style="480" customWidth="1"/>
    <col min="2" max="2" width="2.85546875" style="480" customWidth="1"/>
    <col min="3" max="3" width="2.85546875" style="529" customWidth="1"/>
    <col min="4" max="4" width="32" style="529" customWidth="1"/>
    <col min="5" max="5" width="123" style="529" customWidth="1"/>
    <col min="6" max="6" width="3.42578125" style="529" customWidth="1"/>
    <col min="7" max="7" width="3.140625" style="484" customWidth="1"/>
    <col min="8" max="8" width="3.140625" style="480" customWidth="1"/>
    <col min="9" max="16384" width="11.42578125" style="271"/>
  </cols>
  <sheetData>
    <row r="1" spans="1:8" ht="22.5" customHeight="1" thickBot="1" x14ac:dyDescent="0.4">
      <c r="A1" s="460"/>
      <c r="B1" s="460"/>
      <c r="C1" s="485"/>
      <c r="D1" s="485"/>
      <c r="E1" s="986" t="s">
        <v>857</v>
      </c>
      <c r="F1" s="485"/>
      <c r="G1" s="461"/>
      <c r="H1" s="460"/>
    </row>
    <row r="2" spans="1:8" ht="16.5" thickTop="1" thickBot="1" x14ac:dyDescent="0.3">
      <c r="A2" s="460"/>
      <c r="B2" s="486"/>
      <c r="C2" s="487"/>
      <c r="D2" s="487"/>
      <c r="E2" s="487"/>
      <c r="F2" s="487"/>
      <c r="G2" s="493"/>
      <c r="H2" s="460"/>
    </row>
    <row r="3" spans="1:8" ht="18.600000000000001" hidden="1" customHeight="1" x14ac:dyDescent="0.25">
      <c r="A3" s="466"/>
      <c r="B3" s="467"/>
      <c r="C3" s="1049" t="s">
        <v>761</v>
      </c>
      <c r="D3" s="1050"/>
      <c r="E3" s="1050"/>
      <c r="F3" s="1051"/>
      <c r="G3" s="608"/>
      <c r="H3" s="466"/>
    </row>
    <row r="4" spans="1:8" ht="15.75" hidden="1" thickBot="1" x14ac:dyDescent="0.3">
      <c r="A4" s="466"/>
      <c r="B4" s="467"/>
      <c r="C4" s="489"/>
      <c r="D4" s="489"/>
      <c r="E4" s="489"/>
      <c r="F4" s="489"/>
      <c r="G4" s="608"/>
      <c r="H4" s="466"/>
    </row>
    <row r="5" spans="1:8" ht="15.75" thickTop="1" x14ac:dyDescent="0.25">
      <c r="A5" s="460"/>
      <c r="B5" s="472"/>
      <c r="C5" s="491"/>
      <c r="D5" s="492"/>
      <c r="E5" s="492"/>
      <c r="F5" s="493"/>
      <c r="G5" s="609"/>
      <c r="H5" s="460"/>
    </row>
    <row r="6" spans="1:8" x14ac:dyDescent="0.25">
      <c r="A6" s="460"/>
      <c r="B6" s="472"/>
      <c r="C6" s="494"/>
      <c r="D6" s="495" t="s">
        <v>760</v>
      </c>
      <c r="E6" s="495"/>
      <c r="F6" s="496"/>
      <c r="G6" s="610"/>
      <c r="H6" s="460"/>
    </row>
    <row r="7" spans="1:8" ht="24.75" customHeight="1" x14ac:dyDescent="0.25">
      <c r="A7" s="460"/>
      <c r="B7" s="472"/>
      <c r="C7" s="494"/>
      <c r="D7" s="602" t="s">
        <v>721</v>
      </c>
      <c r="E7" s="600" t="s">
        <v>834</v>
      </c>
      <c r="F7" s="496"/>
      <c r="G7" s="611"/>
      <c r="H7" s="460"/>
    </row>
    <row r="8" spans="1:8" x14ac:dyDescent="0.25">
      <c r="A8" s="460"/>
      <c r="B8" s="472"/>
      <c r="C8" s="494"/>
      <c r="E8" s="600" t="s">
        <v>722</v>
      </c>
      <c r="F8" s="496"/>
      <c r="G8" s="611"/>
      <c r="H8" s="460"/>
    </row>
    <row r="9" spans="1:8" x14ac:dyDescent="0.25">
      <c r="A9" s="460"/>
      <c r="B9" s="472"/>
      <c r="C9" s="494"/>
      <c r="E9" s="600" t="s">
        <v>738</v>
      </c>
      <c r="F9" s="496"/>
      <c r="G9" s="610"/>
      <c r="H9" s="460"/>
    </row>
    <row r="10" spans="1:8" x14ac:dyDescent="0.25">
      <c r="A10" s="460"/>
      <c r="B10" s="472"/>
      <c r="C10" s="494"/>
      <c r="E10" s="600" t="s">
        <v>835</v>
      </c>
      <c r="F10" s="496"/>
      <c r="G10" s="610"/>
      <c r="H10" s="460"/>
    </row>
    <row r="11" spans="1:8" ht="15" customHeight="1" x14ac:dyDescent="0.25">
      <c r="A11" s="460"/>
      <c r="B11" s="472"/>
      <c r="C11" s="494"/>
      <c r="E11" s="600" t="s">
        <v>836</v>
      </c>
      <c r="F11" s="496"/>
      <c r="G11" s="610"/>
      <c r="H11" s="460"/>
    </row>
    <row r="12" spans="1:8" x14ac:dyDescent="0.25">
      <c r="A12" s="460"/>
      <c r="B12" s="472"/>
      <c r="C12" s="494"/>
      <c r="D12" s="602" t="s">
        <v>726</v>
      </c>
      <c r="E12" s="600" t="s">
        <v>837</v>
      </c>
      <c r="F12" s="496"/>
      <c r="G12" s="610"/>
      <c r="H12" s="460"/>
    </row>
    <row r="13" spans="1:8" x14ac:dyDescent="0.25">
      <c r="A13" s="460"/>
      <c r="B13" s="472"/>
      <c r="C13" s="494"/>
      <c r="E13" s="600" t="s">
        <v>838</v>
      </c>
      <c r="F13" s="496"/>
      <c r="G13" s="610"/>
      <c r="H13" s="460"/>
    </row>
    <row r="14" spans="1:8" x14ac:dyDescent="0.25">
      <c r="A14" s="460"/>
      <c r="B14" s="472"/>
      <c r="C14" s="494"/>
      <c r="D14" s="602" t="s">
        <v>727</v>
      </c>
      <c r="E14" s="600" t="s">
        <v>728</v>
      </c>
      <c r="F14" s="496"/>
      <c r="G14" s="610"/>
      <c r="H14" s="460"/>
    </row>
    <row r="15" spans="1:8" x14ac:dyDescent="0.25">
      <c r="A15" s="460"/>
      <c r="B15" s="472"/>
      <c r="C15" s="494"/>
      <c r="E15" s="600" t="s">
        <v>729</v>
      </c>
      <c r="F15" s="496"/>
      <c r="G15" s="610"/>
      <c r="H15" s="460"/>
    </row>
    <row r="16" spans="1:8" x14ac:dyDescent="0.25">
      <c r="A16" s="460"/>
      <c r="B16" s="472"/>
      <c r="C16" s="494"/>
      <c r="E16" s="600" t="s">
        <v>750</v>
      </c>
      <c r="F16" s="496"/>
      <c r="G16" s="610"/>
      <c r="H16" s="460"/>
    </row>
    <row r="17" spans="1:8" x14ac:dyDescent="0.25">
      <c r="A17" s="460"/>
      <c r="B17" s="472"/>
      <c r="C17" s="494"/>
      <c r="E17" s="600" t="s">
        <v>754</v>
      </c>
      <c r="F17" s="496"/>
      <c r="G17" s="610"/>
      <c r="H17" s="460"/>
    </row>
    <row r="18" spans="1:8" x14ac:dyDescent="0.25">
      <c r="A18" s="460"/>
      <c r="B18" s="472"/>
      <c r="C18" s="494"/>
      <c r="E18" s="600" t="s">
        <v>753</v>
      </c>
      <c r="F18" s="496"/>
      <c r="G18" s="610"/>
      <c r="H18" s="460"/>
    </row>
    <row r="19" spans="1:8" x14ac:dyDescent="0.25">
      <c r="A19" s="460"/>
      <c r="B19" s="472"/>
      <c r="C19" s="494"/>
      <c r="D19" s="602" t="s">
        <v>758</v>
      </c>
      <c r="E19" s="600" t="s">
        <v>759</v>
      </c>
      <c r="F19" s="496"/>
      <c r="G19" s="610"/>
      <c r="H19" s="460"/>
    </row>
    <row r="20" spans="1:8" x14ac:dyDescent="0.25">
      <c r="A20" s="460"/>
      <c r="B20" s="472"/>
      <c r="C20" s="521"/>
      <c r="D20" s="602" t="s">
        <v>762</v>
      </c>
      <c r="E20" s="827" t="s">
        <v>839</v>
      </c>
      <c r="F20" s="522"/>
      <c r="G20" s="610"/>
      <c r="H20" s="460"/>
    </row>
    <row r="21" spans="1:8" x14ac:dyDescent="0.25">
      <c r="A21" s="460"/>
      <c r="B21" s="472"/>
      <c r="C21" s="521"/>
      <c r="D21" s="827"/>
      <c r="E21" s="827" t="s">
        <v>840</v>
      </c>
      <c r="F21" s="522"/>
      <c r="G21" s="610"/>
      <c r="H21" s="460"/>
    </row>
    <row r="22" spans="1:8" x14ac:dyDescent="0.25">
      <c r="A22" s="460"/>
      <c r="B22" s="472"/>
      <c r="C22" s="494"/>
      <c r="D22" s="827"/>
      <c r="E22" s="827" t="s">
        <v>767</v>
      </c>
      <c r="F22" s="496"/>
      <c r="G22" s="610"/>
      <c r="H22" s="460"/>
    </row>
    <row r="23" spans="1:8" x14ac:dyDescent="0.25">
      <c r="A23" s="460"/>
      <c r="B23" s="472"/>
      <c r="C23" s="494"/>
      <c r="D23" s="602" t="s">
        <v>768</v>
      </c>
      <c r="E23" s="827" t="s">
        <v>841</v>
      </c>
      <c r="F23" s="496"/>
      <c r="G23" s="610"/>
      <c r="H23" s="460"/>
    </row>
    <row r="24" spans="1:8" x14ac:dyDescent="0.25">
      <c r="A24" s="460"/>
      <c r="B24" s="472"/>
      <c r="C24" s="494"/>
      <c r="D24" s="827"/>
      <c r="E24" s="827" t="s">
        <v>775</v>
      </c>
      <c r="F24" s="496"/>
      <c r="G24" s="610"/>
      <c r="H24" s="460"/>
    </row>
    <row r="25" spans="1:8" x14ac:dyDescent="0.25">
      <c r="A25" s="460"/>
      <c r="B25" s="472"/>
      <c r="C25" s="494"/>
      <c r="D25" s="602" t="s">
        <v>777</v>
      </c>
      <c r="E25" s="827" t="s">
        <v>778</v>
      </c>
      <c r="F25" s="496"/>
      <c r="G25" s="610"/>
      <c r="H25" s="460"/>
    </row>
    <row r="26" spans="1:8" x14ac:dyDescent="0.25">
      <c r="A26" s="460"/>
      <c r="B26" s="472"/>
      <c r="C26" s="521"/>
      <c r="D26" s="827"/>
      <c r="E26" s="827" t="s">
        <v>842</v>
      </c>
      <c r="F26" s="522"/>
      <c r="G26" s="610"/>
      <c r="H26" s="460"/>
    </row>
    <row r="27" spans="1:8" x14ac:dyDescent="0.25">
      <c r="A27" s="460"/>
      <c r="B27" s="472"/>
      <c r="C27" s="521"/>
      <c r="D27" s="602" t="s">
        <v>781</v>
      </c>
      <c r="E27" s="827" t="s">
        <v>843</v>
      </c>
      <c r="F27" s="522"/>
      <c r="G27" s="610"/>
      <c r="H27" s="460"/>
    </row>
    <row r="28" spans="1:8" x14ac:dyDescent="0.25">
      <c r="A28" s="460"/>
      <c r="B28" s="472"/>
      <c r="C28" s="521"/>
      <c r="D28" s="872" t="s">
        <v>782</v>
      </c>
      <c r="E28" s="827" t="s">
        <v>844</v>
      </c>
      <c r="F28" s="522"/>
      <c r="G28" s="610"/>
      <c r="H28" s="460"/>
    </row>
    <row r="29" spans="1:8" x14ac:dyDescent="0.25">
      <c r="A29" s="460"/>
      <c r="B29" s="472"/>
      <c r="C29" s="521"/>
      <c r="D29" s="827"/>
      <c r="E29" s="827" t="s">
        <v>784</v>
      </c>
      <c r="F29" s="522"/>
      <c r="G29" s="610"/>
      <c r="H29" s="460"/>
    </row>
    <row r="30" spans="1:8" ht="15" customHeight="1" x14ac:dyDescent="0.25">
      <c r="A30" s="460"/>
      <c r="B30" s="472"/>
      <c r="C30" s="521"/>
      <c r="D30" s="827"/>
      <c r="E30" s="827" t="s">
        <v>790</v>
      </c>
      <c r="F30" s="522"/>
      <c r="G30" s="610"/>
      <c r="H30" s="460"/>
    </row>
    <row r="31" spans="1:8" x14ac:dyDescent="0.25">
      <c r="A31" s="460"/>
      <c r="B31" s="472"/>
      <c r="C31" s="521"/>
      <c r="D31" s="872" t="s">
        <v>792</v>
      </c>
      <c r="E31" s="827" t="s">
        <v>793</v>
      </c>
      <c r="F31" s="522"/>
      <c r="G31" s="610"/>
      <c r="H31" s="460"/>
    </row>
    <row r="32" spans="1:8" x14ac:dyDescent="0.25">
      <c r="A32" s="460"/>
      <c r="B32" s="472"/>
      <c r="C32" s="494"/>
      <c r="D32" s="872" t="s">
        <v>809</v>
      </c>
      <c r="E32" s="827" t="s">
        <v>794</v>
      </c>
      <c r="F32" s="496"/>
      <c r="G32" s="610"/>
      <c r="H32" s="460"/>
    </row>
    <row r="33" spans="1:8" s="891" customFormat="1" x14ac:dyDescent="0.25">
      <c r="A33" s="893"/>
      <c r="B33" s="894"/>
      <c r="C33" s="895"/>
      <c r="D33" s="872"/>
      <c r="E33" s="926" t="s">
        <v>807</v>
      </c>
      <c r="F33" s="896"/>
      <c r="G33" s="903"/>
      <c r="H33" s="893"/>
    </row>
    <row r="34" spans="1:8" s="891" customFormat="1" x14ac:dyDescent="0.25">
      <c r="A34" s="893"/>
      <c r="B34" s="894"/>
      <c r="C34" s="895"/>
      <c r="D34" s="872"/>
      <c r="E34" s="926" t="s">
        <v>808</v>
      </c>
      <c r="F34" s="896"/>
      <c r="G34" s="903"/>
      <c r="H34" s="893"/>
    </row>
    <row r="35" spans="1:8" s="891" customFormat="1" x14ac:dyDescent="0.25">
      <c r="A35" s="893"/>
      <c r="B35" s="894"/>
      <c r="C35" s="895"/>
      <c r="D35" s="872"/>
      <c r="E35" s="926" t="s">
        <v>814</v>
      </c>
      <c r="F35" s="896"/>
      <c r="G35" s="903"/>
      <c r="H35" s="893"/>
    </row>
    <row r="36" spans="1:8" s="891" customFormat="1" x14ac:dyDescent="0.25">
      <c r="A36" s="893"/>
      <c r="B36" s="894"/>
      <c r="C36" s="895"/>
      <c r="D36" s="872" t="s">
        <v>816</v>
      </c>
      <c r="E36" s="926" t="s">
        <v>817</v>
      </c>
      <c r="F36" s="896"/>
      <c r="G36" s="903"/>
      <c r="H36" s="893"/>
    </row>
    <row r="37" spans="1:8" s="891" customFormat="1" x14ac:dyDescent="0.25">
      <c r="A37" s="893"/>
      <c r="B37" s="894"/>
      <c r="C37" s="895"/>
      <c r="D37" s="872" t="s">
        <v>818</v>
      </c>
      <c r="E37" s="926" t="s">
        <v>819</v>
      </c>
      <c r="F37" s="896"/>
      <c r="G37" s="903"/>
      <c r="H37" s="893"/>
    </row>
    <row r="38" spans="1:8" s="891" customFormat="1" x14ac:dyDescent="0.25">
      <c r="A38" s="893"/>
      <c r="B38" s="894"/>
      <c r="C38" s="895"/>
      <c r="D38" s="872" t="s">
        <v>821</v>
      </c>
      <c r="E38" s="926" t="s">
        <v>833</v>
      </c>
      <c r="F38" s="896"/>
      <c r="G38" s="903"/>
      <c r="H38" s="893"/>
    </row>
    <row r="39" spans="1:8" s="891" customFormat="1" x14ac:dyDescent="0.25">
      <c r="A39" s="893"/>
      <c r="B39" s="894"/>
      <c r="C39" s="895"/>
      <c r="D39" s="872" t="s">
        <v>822</v>
      </c>
      <c r="E39" s="926" t="s">
        <v>832</v>
      </c>
      <c r="F39" s="896"/>
      <c r="G39" s="903"/>
      <c r="H39" s="893"/>
    </row>
    <row r="40" spans="1:8" s="891" customFormat="1" x14ac:dyDescent="0.25">
      <c r="A40" s="893"/>
      <c r="B40" s="894"/>
      <c r="C40" s="895"/>
      <c r="D40" s="872" t="s">
        <v>827</v>
      </c>
      <c r="E40" s="926" t="s">
        <v>828</v>
      </c>
      <c r="F40" s="896"/>
      <c r="G40" s="903"/>
      <c r="H40" s="893"/>
    </row>
    <row r="41" spans="1:8" s="891" customFormat="1" x14ac:dyDescent="0.25">
      <c r="A41" s="893"/>
      <c r="B41" s="894"/>
      <c r="C41" s="895"/>
      <c r="D41" s="872"/>
      <c r="E41" s="926" t="s">
        <v>829</v>
      </c>
      <c r="F41" s="896"/>
      <c r="G41" s="903"/>
      <c r="H41" s="893"/>
    </row>
    <row r="42" spans="1:8" x14ac:dyDescent="0.25">
      <c r="A42" s="460"/>
      <c r="B42" s="472"/>
      <c r="C42" s="494"/>
      <c r="D42" s="523"/>
      <c r="E42" s="926" t="s">
        <v>830</v>
      </c>
      <c r="F42" s="496"/>
      <c r="G42" s="610"/>
      <c r="H42" s="460"/>
    </row>
    <row r="43" spans="1:8" s="891" customFormat="1" x14ac:dyDescent="0.25">
      <c r="A43" s="893"/>
      <c r="B43" s="894"/>
      <c r="C43" s="895"/>
      <c r="D43" s="872" t="s">
        <v>831</v>
      </c>
      <c r="E43" s="926" t="s">
        <v>845</v>
      </c>
      <c r="F43" s="896"/>
      <c r="G43" s="903"/>
      <c r="H43" s="893"/>
    </row>
    <row r="44" spans="1:8" s="891" customFormat="1" x14ac:dyDescent="0.25">
      <c r="A44" s="893"/>
      <c r="B44" s="894"/>
      <c r="C44" s="895"/>
      <c r="D44" s="523"/>
      <c r="E44" s="926" t="s">
        <v>848</v>
      </c>
      <c r="F44" s="896"/>
      <c r="G44" s="903"/>
      <c r="H44" s="893"/>
    </row>
    <row r="45" spans="1:8" s="891" customFormat="1" x14ac:dyDescent="0.25">
      <c r="A45" s="893"/>
      <c r="B45" s="894"/>
      <c r="C45" s="895"/>
      <c r="D45" s="523"/>
      <c r="E45" s="926" t="s">
        <v>849</v>
      </c>
      <c r="F45" s="896"/>
      <c r="G45" s="903"/>
      <c r="H45" s="893"/>
    </row>
    <row r="46" spans="1:8" s="891" customFormat="1" x14ac:dyDescent="0.25">
      <c r="A46" s="893"/>
      <c r="B46" s="894"/>
      <c r="C46" s="895"/>
      <c r="D46" s="872" t="s">
        <v>846</v>
      </c>
      <c r="E46" s="523" t="s">
        <v>847</v>
      </c>
      <c r="F46" s="896"/>
      <c r="G46" s="903"/>
      <c r="H46" s="893"/>
    </row>
    <row r="47" spans="1:8" s="891" customFormat="1" x14ac:dyDescent="0.25">
      <c r="A47" s="893"/>
      <c r="B47" s="894"/>
      <c r="C47" s="895"/>
      <c r="D47" s="872" t="s">
        <v>851</v>
      </c>
      <c r="E47" s="926" t="s">
        <v>850</v>
      </c>
      <c r="F47" s="896"/>
      <c r="G47" s="903"/>
      <c r="H47" s="893"/>
    </row>
    <row r="48" spans="1:8" s="891" customFormat="1" ht="30" x14ac:dyDescent="0.25">
      <c r="A48" s="893"/>
      <c r="B48" s="894"/>
      <c r="C48" s="895"/>
      <c r="D48" s="872" t="s">
        <v>852</v>
      </c>
      <c r="E48" s="926" t="s">
        <v>853</v>
      </c>
      <c r="F48" s="896"/>
      <c r="G48" s="903"/>
      <c r="H48" s="893"/>
    </row>
    <row r="49" spans="1:8" s="891" customFormat="1" x14ac:dyDescent="0.25">
      <c r="A49" s="893"/>
      <c r="B49" s="894"/>
      <c r="C49" s="895"/>
      <c r="D49" s="872" t="s">
        <v>854</v>
      </c>
      <c r="E49" s="926" t="s">
        <v>855</v>
      </c>
      <c r="F49" s="896"/>
      <c r="G49" s="903"/>
      <c r="H49" s="893"/>
    </row>
    <row r="50" spans="1:8" s="891" customFormat="1" x14ac:dyDescent="0.25">
      <c r="A50" s="893"/>
      <c r="B50" s="894"/>
      <c r="C50" s="895"/>
      <c r="D50" s="872" t="s">
        <v>858</v>
      </c>
      <c r="E50" s="926" t="s">
        <v>859</v>
      </c>
      <c r="F50" s="896"/>
      <c r="G50" s="903"/>
      <c r="H50" s="893"/>
    </row>
    <row r="51" spans="1:8" s="891" customFormat="1" x14ac:dyDescent="0.25">
      <c r="A51" s="893"/>
      <c r="B51" s="894"/>
      <c r="C51" s="895"/>
      <c r="D51" s="872" t="s">
        <v>861</v>
      </c>
      <c r="E51" s="926" t="s">
        <v>862</v>
      </c>
      <c r="F51" s="896"/>
      <c r="G51" s="903"/>
      <c r="H51" s="893"/>
    </row>
    <row r="52" spans="1:8" s="891" customFormat="1" x14ac:dyDescent="0.25">
      <c r="A52" s="893"/>
      <c r="B52" s="894"/>
      <c r="C52" s="895"/>
      <c r="D52" s="523"/>
      <c r="E52" s="926"/>
      <c r="F52" s="896"/>
      <c r="G52" s="903"/>
      <c r="H52" s="893"/>
    </row>
    <row r="53" spans="1:8" x14ac:dyDescent="0.25">
      <c r="A53" s="460"/>
      <c r="B53" s="472"/>
      <c r="C53" s="521"/>
      <c r="D53" s="523" t="str">
        <f>D51</f>
        <v>Versjon 1.9.4</v>
      </c>
      <c r="E53" s="523"/>
      <c r="F53" s="522"/>
      <c r="G53" s="610"/>
      <c r="H53" s="460"/>
    </row>
    <row r="54" spans="1:8" x14ac:dyDescent="0.25">
      <c r="A54" s="460"/>
      <c r="B54" s="472"/>
      <c r="C54" s="521"/>
      <c r="D54" s="523" t="s">
        <v>863</v>
      </c>
      <c r="E54" s="523"/>
      <c r="F54" s="522"/>
      <c r="G54" s="610"/>
      <c r="H54" s="460"/>
    </row>
    <row r="55" spans="1:8" x14ac:dyDescent="0.25">
      <c r="A55" s="460"/>
      <c r="B55" s="472"/>
      <c r="C55" s="521"/>
      <c r="D55" s="523"/>
      <c r="E55" s="523"/>
      <c r="F55" s="522"/>
      <c r="G55" s="610"/>
      <c r="H55" s="460"/>
    </row>
    <row r="56" spans="1:8" x14ac:dyDescent="0.25">
      <c r="A56" s="460"/>
      <c r="B56" s="472"/>
      <c r="C56" s="521"/>
      <c r="D56" s="524"/>
      <c r="E56" s="523"/>
      <c r="F56" s="522"/>
      <c r="G56" s="610"/>
      <c r="H56" s="460"/>
    </row>
    <row r="57" spans="1:8" x14ac:dyDescent="0.25">
      <c r="A57" s="460"/>
      <c r="B57" s="472"/>
      <c r="C57" s="521"/>
      <c r="D57" s="523"/>
      <c r="E57" s="523"/>
      <c r="F57" s="522"/>
      <c r="G57" s="610"/>
      <c r="H57" s="460"/>
    </row>
    <row r="58" spans="1:8" x14ac:dyDescent="0.25">
      <c r="A58" s="460"/>
      <c r="B58" s="472"/>
      <c r="C58" s="521"/>
      <c r="D58" s="523"/>
      <c r="E58" s="523"/>
      <c r="F58" s="522"/>
      <c r="G58" s="610"/>
      <c r="H58" s="460"/>
    </row>
    <row r="59" spans="1:8" ht="15.75" x14ac:dyDescent="0.25">
      <c r="A59" s="460"/>
      <c r="B59" s="472"/>
      <c r="C59" s="521"/>
      <c r="D59" s="523"/>
      <c r="E59" s="621" t="s">
        <v>757</v>
      </c>
      <c r="F59" s="522"/>
      <c r="G59" s="610"/>
      <c r="H59" s="460"/>
    </row>
    <row r="60" spans="1:8" ht="15.75" thickBot="1" x14ac:dyDescent="0.3">
      <c r="A60" s="460"/>
      <c r="B60" s="472"/>
      <c r="C60" s="525"/>
      <c r="D60" s="526"/>
      <c r="E60" s="620"/>
      <c r="F60" s="527"/>
      <c r="G60" s="610"/>
      <c r="H60" s="460"/>
    </row>
    <row r="61" spans="1:8" ht="16.5" thickTop="1" thickBot="1" x14ac:dyDescent="0.3">
      <c r="A61" s="460"/>
      <c r="B61" s="482"/>
      <c r="C61" s="528"/>
      <c r="D61" s="528"/>
      <c r="E61" s="528"/>
      <c r="F61" s="528"/>
      <c r="G61" s="612"/>
      <c r="H61" s="460"/>
    </row>
    <row r="62" spans="1:8" ht="16.5" customHeight="1" thickTop="1" x14ac:dyDescent="0.25">
      <c r="A62" s="460"/>
      <c r="B62" s="460"/>
      <c r="C62" s="485"/>
      <c r="D62" s="485"/>
      <c r="E62" s="485"/>
      <c r="F62" s="485"/>
      <c r="G62" s="461"/>
      <c r="H62" s="460"/>
    </row>
    <row r="65" spans="4:4" x14ac:dyDescent="0.25">
      <c r="D65" s="601"/>
    </row>
  </sheetData>
  <sheetProtection algorithmName="SHA-512" hashValue="sdxI3NzBj3Yd5igzWJY2XXbhAfxPap8Jt5WkvWiMoROLdiuL6CR85ngMQZ+jHA9rOFP1Pgw+PMKb5pFfxp+aRw==" saltValue="em6lMhrjJVJtI/NqJNcO0w==" spinCount="100000" sheet="1" objects="1" scenarios="1" selectLockedCells="1" selectUnlockedCells="1"/>
  <mergeCells count="1">
    <mergeCell ref="C3:F3"/>
  </mergeCells>
  <dataValidations count="1">
    <dataValidation type="list" allowBlank="1" showInputMessage="1" showErrorMessage="1" sqref="G6 G983065 G917529 G851993 G786457 G720921 G655385 G589849 G524313 G458777 G393241 G327705 G262169 G196633 G131097 G65561">
      <formula1>$J$13:$J$14</formula1>
    </dataValidation>
  </dataValidations>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
  <sheetViews>
    <sheetView workbookViewId="0">
      <selection activeCell="I27" sqref="I27"/>
    </sheetView>
  </sheetViews>
  <sheetFormatPr baseColWidth="10" defaultColWidth="9.140625" defaultRowHeight="15" x14ac:dyDescent="0.25"/>
  <cols>
    <col min="1" max="16384" width="9.140625" style="217"/>
  </cols>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
  <sheetViews>
    <sheetView workbookViewId="0">
      <selection activeCell="H13" sqref="H13"/>
    </sheetView>
  </sheetViews>
  <sheetFormatPr baseColWidth="10" defaultColWidth="9.140625" defaultRowHeight="15" x14ac:dyDescent="0.25"/>
  <cols>
    <col min="1" max="16384" width="9.140625" style="217"/>
  </cols>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Oppdragsdokument" ma:contentTypeID="0x010100FF006C66D18C439EB9546E4A148E98FF00C02E40C6E52C6B47809ECE06F67227E3" ma:contentTypeVersion="0" ma:contentTypeDescription="" ma:contentTypeScope="" ma:versionID="0479e6493f733799d6a1e047efd44975">
  <xsd:schema xmlns:xsd="http://www.w3.org/2001/XMLSchema" xmlns:p="http://schemas.microsoft.com/office/2006/metadata/properties" xmlns:ns2="25974aff-7488-467e-b1b2-c62c9d0ffc68" xmlns:ns3="25974AFF-7488-467E-B1B2-C62C9D0FFC68" targetNamespace="http://schemas.microsoft.com/office/2006/metadata/properties" ma:root="true" ma:fieldsID="e1d31233871851b2febff0c8f4b7db45" ns2:_="" ns3:_="">
    <xsd:import namespace="25974aff-7488-467e-b1b2-c62c9d0ffc68"/>
    <xsd:import namespace="25974AFF-7488-467E-B1B2-C62C9D0FFC68"/>
    <xsd:element name="properties">
      <xsd:complexType>
        <xsd:sequence>
          <xsd:element name="documentManagement">
            <xsd:complexType>
              <xsd:all>
                <xsd:element ref="ns2:Aktivitet" minOccurs="0"/>
                <xsd:element ref="ns3:Tema" minOccurs="0"/>
                <xsd:element ref="ns3:DokumentArkivId" minOccurs="0"/>
                <xsd:element ref="ns3:Revisjon" minOccurs="0"/>
                <xsd:element ref="ns3:RevisjonsDato" minOccurs="0"/>
              </xsd:all>
            </xsd:complexType>
          </xsd:element>
        </xsd:sequence>
      </xsd:complexType>
    </xsd:element>
  </xsd:schema>
  <xsd:schema xmlns:xsd="http://www.w3.org/2001/XMLSchema" xmlns:dms="http://schemas.microsoft.com/office/2006/documentManagement/types" targetNamespace="25974aff-7488-467e-b1b2-c62c9d0ffc68" elementFormDefault="qualified">
    <xsd:import namespace="http://schemas.microsoft.com/office/2006/documentManagement/types"/>
    <xsd:element name="Aktivitet" ma:index="8" nillable="true" ma:displayName="Aktivitet" ma:list="{aa91611d-f374-446a-b482-0d993187f88a}" ma:internalName="Aktivitet" ma:showField="Title">
      <xsd:simpleType>
        <xsd:restriction base="dms:Lookup"/>
      </xsd:simpleType>
    </xsd:element>
  </xsd:schema>
  <xsd:schema xmlns:xsd="http://www.w3.org/2001/XMLSchema" xmlns:dms="http://schemas.microsoft.com/office/2006/documentManagement/types" targetNamespace="25974AFF-7488-467E-B1B2-C62C9D0FFC68" elementFormDefault="qualified">
    <xsd:import namespace="http://schemas.microsoft.com/office/2006/documentManagement/types"/>
    <xsd:element name="Tema" ma:index="9" nillable="true" ma:displayName="Tema" ma:internalName="Tema">
      <xsd:simpleType>
        <xsd:union memberTypes="dms:Text">
          <xsd:simpleType>
            <xsd:restriction base="dms:Choice">
              <xsd:enumeration value="Velg tema"/>
              <xsd:enumeration value="prosjektverktøy"/>
              <xsd:enumeration value="Avtale"/>
              <xsd:enumeration value="Tegninger"/>
              <xsd:enumeration value="Dokumentasjon"/>
              <xsd:enumeration value="Referater"/>
              <xsd:enumeration value="Asplan Viak profil"/>
              <xsd:enumeration value="Mobilitetsplan"/>
              <xsd:enumeration value="Presentasjoner"/>
            </xsd:restriction>
          </xsd:simpleType>
        </xsd:union>
      </xsd:simpleType>
    </xsd:element>
    <xsd:element name="DokumentArkivId" ma:index="10" nillable="true" ma:displayName="Arkiv Id" ma:hidden="true" ma:internalName="DokumentArkivId" ma:readOnly="true">
      <xsd:simpleType>
        <xsd:restriction base="dms:Text"/>
      </xsd:simpleType>
    </xsd:element>
    <xsd:element name="Revisjon" ma:index="11" nillable="true" ma:displayName="Revisjon" ma:internalName="Revisjon">
      <xsd:simpleType>
        <xsd:restriction base="dms:Text">
          <xsd:maxLength value="255"/>
        </xsd:restriction>
      </xsd:simpleType>
    </xsd:element>
    <xsd:element name="RevisjonsDato" ma:index="12" nillable="true" ma:displayName="Revisjonsdato" ma:format="DateOnly" ma:internalName="RevisjonsDato">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ma:readOnly="tru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Tema xmlns="25974AFF-7488-467E-B1B2-C62C9D0FFC68">prosjektverktøy</Tema>
    <Aktivitet xmlns="25974aff-7488-467e-b1b2-c62c9d0ffc68">2</Aktivitet>
    <RevisjonsDato xmlns="25974AFF-7488-467E-B1B2-C62C9D0FFC68" xsi:nil="true"/>
    <Revisjon xmlns="25974AFF-7488-467E-B1B2-C62C9D0FFC68" xsi:nil="true"/>
  </documentManagement>
</p:properties>
</file>

<file path=customXml/itemProps1.xml><?xml version="1.0" encoding="utf-8"?>
<ds:datastoreItem xmlns:ds="http://schemas.openxmlformats.org/officeDocument/2006/customXml" ds:itemID="{F1795B81-949E-48F3-A3F9-8E93D896A2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974aff-7488-467e-b1b2-c62c9d0ffc68"/>
    <ds:schemaRef ds:uri="25974AFF-7488-467E-B1B2-C62C9D0FFC68"/>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9207147B-A02D-4494-B7D9-3A3A553C8B0A}">
  <ds:schemaRefs>
    <ds:schemaRef ds:uri="http://schemas.microsoft.com/sharepoint/v3/contenttype/forms"/>
  </ds:schemaRefs>
</ds:datastoreItem>
</file>

<file path=customXml/itemProps3.xml><?xml version="1.0" encoding="utf-8"?>
<ds:datastoreItem xmlns:ds="http://schemas.openxmlformats.org/officeDocument/2006/customXml" ds:itemID="{A78BC058-D2E2-43A1-A4C0-A340C8585D31}">
  <ds:schemaRefs>
    <ds:schemaRef ds:uri="http://purl.org/dc/elements/1.1/"/>
    <ds:schemaRef ds:uri="http://schemas.microsoft.com/office/2006/metadata/properties"/>
    <ds:schemaRef ds:uri="25974AFF-7488-467E-B1B2-C62C9D0FFC68"/>
    <ds:schemaRef ds:uri="http://purl.org/dc/terms/"/>
    <ds:schemaRef ds:uri="http://schemas.openxmlformats.org/package/2006/metadata/core-properties"/>
    <ds:schemaRef ds:uri="http://schemas.microsoft.com/office/2006/documentManagement/types"/>
    <ds:schemaRef ds:uri="25974aff-7488-467e-b1b2-c62c9d0ffc6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9</vt:i4>
      </vt:variant>
      <vt:variant>
        <vt:lpstr>Navngitte områder</vt:lpstr>
      </vt:variant>
      <vt:variant>
        <vt:i4>27</vt:i4>
      </vt:variant>
    </vt:vector>
  </HeadingPairs>
  <TitlesOfParts>
    <vt:vector size="36" baseType="lpstr">
      <vt:lpstr>Instruksjoner</vt:lpstr>
      <vt:lpstr>Ord og uttrykk</vt:lpstr>
      <vt:lpstr>Prosjektdetaljer </vt:lpstr>
      <vt:lpstr>Assessment-tabellen</vt:lpstr>
      <vt:lpstr>Pre-analyse</vt:lpstr>
      <vt:lpstr>Resultat</vt:lpstr>
      <vt:lpstr>Revisjonslogg</vt:lpstr>
      <vt:lpstr>Redigerbar 1</vt:lpstr>
      <vt:lpstr>Redigerbar 2</vt:lpstr>
      <vt:lpstr>acutehospital</vt:lpstr>
      <vt:lpstr>communitymentalhealth</vt:lpstr>
      <vt:lpstr>COURTS</vt:lpstr>
      <vt:lpstr>COURTSplanting</vt:lpstr>
      <vt:lpstr>EDUFE</vt:lpstr>
      <vt:lpstr>EDUHE</vt:lpstr>
      <vt:lpstr>EDUschool</vt:lpstr>
      <vt:lpstr>FE</vt:lpstr>
      <vt:lpstr>GP</vt:lpstr>
      <vt:lpstr>HC</vt:lpstr>
      <vt:lpstr>HCcoldstorage</vt:lpstr>
      <vt:lpstr>HCfoodprep</vt:lpstr>
      <vt:lpstr>HClifts</vt:lpstr>
      <vt:lpstr>HE</vt:lpstr>
      <vt:lpstr>healthcentreclinic</vt:lpstr>
      <vt:lpstr>INDnewrefurb</vt:lpstr>
      <vt:lpstr>INDUSTRIAL</vt:lpstr>
      <vt:lpstr>inpatient</vt:lpstr>
      <vt:lpstr>largehc</vt:lpstr>
      <vt:lpstr>OFF</vt:lpstr>
      <vt:lpstr>OFFnewrefurb</vt:lpstr>
      <vt:lpstr>PRISONS</vt:lpstr>
      <vt:lpstr>RET</vt:lpstr>
      <vt:lpstr>RETnewrefurb</vt:lpstr>
      <vt:lpstr>SCHOOLS</vt:lpstr>
      <vt:lpstr>smallhc</vt:lpstr>
      <vt:lpstr>teachhospital</vt:lpstr>
    </vt:vector>
  </TitlesOfParts>
  <Manager>Oddbjorn.Dahlstrom@asplanviak.no</Manager>
  <Company>Asplan Viak 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Prosjektverktøy BREEAM</dc:title>
  <dc:creator>Oddbjorn.Dahlstrom@asplanviak.no</dc:creator>
  <cp:lastModifiedBy>Ingunn Marton</cp:lastModifiedBy>
  <cp:lastPrinted>2011-05-20T06:07:00Z</cp:lastPrinted>
  <dcterms:created xsi:type="dcterms:W3CDTF">2011-04-14T12:37:08Z</dcterms:created>
  <dcterms:modified xsi:type="dcterms:W3CDTF">2016-03-17T16:14:05Z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0x010100FF006C66D18C439EB9546E4A148E98FF00C02E40C6E52C6B47809ECE06F67227E3</vt:lpwstr>
  </property>
</Properties>
</file>