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showInkAnnotation="0" codeName="ThisWorkbook" defaultThemeVersion="124226"/>
  <mc:AlternateContent xmlns:mc="http://schemas.openxmlformats.org/markup-compatibility/2006">
    <mc:Choice Requires="x15">
      <x15ac:absPath xmlns:x15ac="http://schemas.microsoft.com/office/spreadsheetml/2010/11/ac" url="http://bikube/Oppdrag/605893/02/Dokumenter/utvikling nytt verktøy/Ferdige versjoner/Versjon 108 (131119), med shell core/"/>
    </mc:Choice>
  </mc:AlternateContent>
  <xr:revisionPtr revIDLastSave="0" documentId="13_ncr:1_{CE2473C7-F3E4-4551-99AD-CCA510A74997}" xr6:coauthVersionLast="43" xr6:coauthVersionMax="43" xr10:uidLastSave="{00000000-0000-0000-0000-000000000000}"/>
  <workbookProtection workbookAlgorithmName="SHA-512" workbookHashValue="wKngRpFm7SH51TrNe2ddltRF3UkXpzcXsXm5p6+8QHDDWjClMuhYPBvLJZtQ76rwJBu1oyJkWO3SlqkIsuZOWA==" workbookSaltValue="zBYD7qgzRLOnDQXnJBWG2A==" workbookSpinCount="100000" lockStructure="1"/>
  <bookViews>
    <workbookView xWindow="-108" yWindow="-108" windowWidth="41496" windowHeight="16896" tabRatio="737" xr2:uid="{00000000-000D-0000-FFFF-FFFF00000000}"/>
  </bookViews>
  <sheets>
    <sheet name="Instructions" sheetId="12" r:id="rId1"/>
    <sheet name="Assessment Details" sheetId="3" r:id="rId2"/>
    <sheet name="Pre-Assessment Estimator" sheetId="5" r:id="rId3"/>
    <sheet name="Poeng" sheetId="13" state="hidden" r:id="rId4"/>
    <sheet name="Manuell filtrering og justering" sheetId="16" state="hidden" r:id="rId5"/>
    <sheet name="Summary of Building Performance" sheetId="11" r:id="rId6"/>
    <sheet name="PAE available for copy" sheetId="21" r:id="rId7"/>
    <sheet name="Version Control" sheetId="8" r:id="rId8"/>
    <sheet name="Sheet1" sheetId="17" r:id="rId9"/>
    <sheet name="Sheet2" sheetId="18" r:id="rId10"/>
    <sheet name="Sheet3" sheetId="19" r:id="rId11"/>
  </sheets>
  <definedNames>
    <definedName name="_xlnm._FilterDatabase" localSheetId="6" hidden="1">'PAE available for copy'!$A$8:$V$101</definedName>
    <definedName name="_xlnm._FilterDatabase" localSheetId="2" hidden="1">'Pre-Assessment Estimator'!$A$8:$AB$101</definedName>
    <definedName name="_PSc1">'Assessment Details'!$M$70</definedName>
    <definedName name="_PSc2">'Assessment Details'!$M$69</definedName>
    <definedName name="Achieved_const">'Summary of Building Performance'!$H$45</definedName>
    <definedName name="Achieved_design">'Summary of Building Performance'!$F$45</definedName>
    <definedName name="Achieved_initial">'Summary of Building Performance'!$D$45</definedName>
    <definedName name="AD_Add01">'Assessment Details'!$C$14</definedName>
    <definedName name="AD_Add02">'Assessment Details'!$C$15</definedName>
    <definedName name="AD_Add04">'Assessment Details'!$C$17</definedName>
    <definedName name="AD_Architect">'Assessment Details'!$C$25</definedName>
    <definedName name="AD_assessor">'Assessment Details'!$C$8</definedName>
    <definedName name="AD_Assessor_org">'Assessment Details'!$C$9</definedName>
    <definedName name="AD_Banner">'Assessment Details'!$B$2</definedName>
    <definedName name="AD_BREEAM_stage">'Assessment Details'!$N$5</definedName>
    <definedName name="AD_BREEAM_version">'Assessment Details'!$N$8</definedName>
    <definedName name="AD_BREEAMAP">'Assessment Details'!$C$28</definedName>
    <definedName name="AD_Buildserve">'Assessment Details'!$C$27</definedName>
    <definedName name="AD_Builduser">'Assessment Details'!$C$7</definedName>
    <definedName name="AD_catlevel">'Assessment Details'!$F$22</definedName>
    <definedName name="AD_catlevel01">'Assessment Details'!$N$31</definedName>
    <definedName name="AD_catlevel02">'Assessment Details'!$N$32</definedName>
    <definedName name="AD_catlevel03">'Assessment Details'!$N$33</definedName>
    <definedName name="AD_client">'Assessment Details'!$C$6</definedName>
    <definedName name="AD_Contractor">'Assessment Details'!$C$24</definedName>
    <definedName name="AD_Developer">'Assessment Details'!$C$23</definedName>
    <definedName name="AD_GIA">'Assessment Details'!$F$12</definedName>
    <definedName name="AD_heat">'Assessment Details'!$F$15</definedName>
    <definedName name="AD_labcat_list">'Assessment Details'!$N$31:$N$34</definedName>
    <definedName name="AD_Labsize">'Assessment Details'!$F$21</definedName>
    <definedName name="AD_Labsize_list">'Assessment Details'!$N$26:$N$29</definedName>
    <definedName name="AD_Labsize01">'Assessment Details'!$N$27</definedName>
    <definedName name="AD_Labsize02">'Assessment Details'!$N$28</definedName>
    <definedName name="AD_Labsize03">'Assessment Details'!$N$29</definedName>
    <definedName name="AD_labsize04">'Assessment Details'!$N$26</definedName>
    <definedName name="AD_Landscape">'Assessment Details'!$F$25</definedName>
    <definedName name="AD_MultiRes_option01a">'Assessment Details'!$M$92</definedName>
    <definedName name="AD_MultiRes_option01b">'Assessment Details'!$M$93</definedName>
    <definedName name="AD_Multitenant">'Assessment Details'!$N$42</definedName>
    <definedName name="AD_NaturalHazards">'Assessment Details'!$F$24</definedName>
    <definedName name="AD_NIFA">'Assessment Details'!$F$13</definedName>
    <definedName name="AD_no">'Assessment Details'!$N$23</definedName>
    <definedName name="AD_nolab" localSheetId="6">'Assessment Details'!#REF!</definedName>
    <definedName name="AD_nolab">'Assessment Details'!#REF!</definedName>
    <definedName name="AD_option_na">'Assessment Details'!$N$24</definedName>
    <definedName name="AD_Other01">'Assessment Details'!$C$29</definedName>
    <definedName name="AD_Other02">'Assessment Details'!$C$30</definedName>
    <definedName name="AD_other03">'Assessment Details'!$C$31</definedName>
    <definedName name="AD_Other04">'Assessment Details'!$C$32</definedName>
    <definedName name="AD_Ozoneleg">'Assessment Details'!$F$18</definedName>
    <definedName name="AD_p_zone0">'Assessment Details'!$Q$87</definedName>
    <definedName name="AD_p_zone1">'Assessment Details'!$Q$88</definedName>
    <definedName name="AD_P_zone2">'Assessment Details'!$Q$89</definedName>
    <definedName name="AD_P_Zone3">'Assessment Details'!$Q$90</definedName>
    <definedName name="AD_Projman">'Assessment Details'!$C$26</definedName>
    <definedName name="AD_ref">'Assessment Details'!$C$5</definedName>
    <definedName name="AD_refrig">'Assessment Details'!$F$19</definedName>
    <definedName name="AD_SiteAccess">'Assessment Details'!$F$23</definedName>
    <definedName name="AD_stage_list">'Assessment Details'!$N$18:$N$19</definedName>
    <definedName name="AD_statement03" localSheetId="6">'Assessment Details'!#REF!</definedName>
    <definedName name="AD_statement03">'Assessment Details'!#REF!</definedName>
    <definedName name="AD_Statement04">'Assessment Details'!$N$44</definedName>
    <definedName name="AD_statement05">'Assessment Details'!$N$45</definedName>
    <definedName name="AD_statement06">'Assessment Details'!$N$46</definedName>
    <definedName name="AD_tra01type">'Assessment Details'!$M$64</definedName>
    <definedName name="AD_Trans">'Assessment Details'!$F$20</definedName>
    <definedName name="AD_type_list">'Assessment Details'!$J$5:$J$8</definedName>
    <definedName name="AD_Vehiclewash">'Assessment Details'!$F$26</definedName>
    <definedName name="AD_version">'Assessment Details'!$F$10</definedName>
    <definedName name="AD_Yes">'Assessment Details'!$N$22</definedName>
    <definedName name="AD_YesNo">'Assessment Details'!$N$22:$N$23</definedName>
    <definedName name="AD_YesNo_list">'Assessment Details'!$N$22:$N$24</definedName>
    <definedName name="ADAS0">'Assessment Details'!$F$8</definedName>
    <definedName name="ADAS01">'Assessment Details'!$N$18</definedName>
    <definedName name="ADAS02">'Assessment Details'!$N$19</definedName>
    <definedName name="ADBN">'Assessment Details'!$C$13</definedName>
    <definedName name="ADBT_sub02">'Assessment Details'!$L$5</definedName>
    <definedName name="ADBT_sub03">'Assessment Details'!$L$6</definedName>
    <definedName name="ADBT_sub04">'Assessment Details'!$L$7</definedName>
    <definedName name="ADBT_sub05">'Assessment Details'!$L$8</definedName>
    <definedName name="ADBT_sub06">'Assessment Details'!$L$9</definedName>
    <definedName name="ADBT_sub07">'Assessment Details'!$L$10</definedName>
    <definedName name="ADBT_sub08">'Assessment Details'!$L$11</definedName>
    <definedName name="ADBT_sub09">'Assessment Details'!$L$12</definedName>
    <definedName name="ADBT_sub10">'Assessment Details'!$L$13</definedName>
    <definedName name="ADBT_sub11">'Assessment Details'!$L$14</definedName>
    <definedName name="ADBT_sub12">'Assessment Details'!$L$15</definedName>
    <definedName name="ADBT_sub13">'Assessment Details'!$L$16</definedName>
    <definedName name="ADBT_sub14">'Assessment Details'!$L$17</definedName>
    <definedName name="ADBT_sub15">'Assessment Details'!$L$18</definedName>
    <definedName name="ADBT_sub16">'Assessment Details'!$L$19</definedName>
    <definedName name="ADBT_sub17">'Assessment Details'!$L$20</definedName>
    <definedName name="ADBT0">'Assessment Details'!$F$5</definedName>
    <definedName name="ADBT1">'Assessment Details'!$J$5</definedName>
    <definedName name="ADBT12">'Assessment Details'!$J$9</definedName>
    <definedName name="ADBT2">'Assessment Details'!$J$6</definedName>
    <definedName name="ADBT3">'Assessment Details'!$J$7</definedName>
    <definedName name="ADBT8">'Assessment Details'!$J$8</definedName>
    <definedName name="ADBT9">'Assessment Details'!$J$5</definedName>
    <definedName name="ADFume_option01">'Assessment Details'!$M$43</definedName>
    <definedName name="ADIND_option02">'Assessment Details'!$F$16</definedName>
    <definedName name="ADIND_option03">'Assessment Details'!$F$17</definedName>
    <definedName name="ADPT">'Assessment Details'!$F$7</definedName>
    <definedName name="ADPT01">'Assessment Details'!$N$11</definedName>
    <definedName name="ADPT02">'Assessment Details'!$N$12</definedName>
    <definedName name="ADPT03">'Assessment Details'!$N$13</definedName>
    <definedName name="ADPT04">'Assessment Details'!$N$14</definedName>
    <definedName name="AIS_NA">Poeng!$F$5</definedName>
    <definedName name="ais_no">Poeng!$F$4</definedName>
    <definedName name="AIS_statement09" localSheetId="6">'Assessment Details'!#REF!</definedName>
    <definedName name="AIS_statement09">'Assessment Details'!#REF!</definedName>
    <definedName name="AIS_statement29">'Assessment Details'!$B$37</definedName>
    <definedName name="ais_yes">Poeng!$F$3</definedName>
    <definedName name="BP_01">'Summary of Building Performance'!$C$35</definedName>
    <definedName name="BP_02">'Summary of Building Performance'!$C$36</definedName>
    <definedName name="BP_03">'Summary of Building Performance'!$C$37</definedName>
    <definedName name="BP_04">'Summary of Building Performance'!$C$38</definedName>
    <definedName name="BP_05">'Summary of Building Performance'!$C$39</definedName>
    <definedName name="BP_06">'Summary of Building Performance'!$C$40</definedName>
    <definedName name="BP_07">'Summary of Building Performance'!$C$41</definedName>
    <definedName name="BP_08">'Summary of Building Performance'!$C$42</definedName>
    <definedName name="BP_09">'Summary of Building Performance'!$C$43</definedName>
    <definedName name="BP_10">'Summary of Building Performance'!$C$44</definedName>
    <definedName name="BP_11">'Summary of Building Performance'!$D$35</definedName>
    <definedName name="BP_12">'Summary of Building Performance'!$D$36</definedName>
    <definedName name="BP_13">'Summary of Building Performance'!$D$37</definedName>
    <definedName name="BP_14">'Summary of Building Performance'!$D$38</definedName>
    <definedName name="BP_15">'Summary of Building Performance'!$D$39</definedName>
    <definedName name="BP_16">'Summary of Building Performance'!$D$40</definedName>
    <definedName name="BP_18">'Summary of Building Performance'!$D$41</definedName>
    <definedName name="BP_19">'Summary of Building Performance'!$D$42</definedName>
    <definedName name="BP_20">'Summary of Building Performance'!$D$43</definedName>
    <definedName name="BP_21">'Summary of Building Performance'!$D$44</definedName>
    <definedName name="BP_22">'Summary of Building Performance'!$E$35</definedName>
    <definedName name="BP_23">'Summary of Building Performance'!$E$36</definedName>
    <definedName name="BP_24">'Summary of Building Performance'!$E$37</definedName>
    <definedName name="BP_25">'Summary of Building Performance'!$E$38</definedName>
    <definedName name="BP_26">'Summary of Building Performance'!$E$39</definedName>
    <definedName name="BP_27">'Summary of Building Performance'!$E$40</definedName>
    <definedName name="BP_28">'Summary of Building Performance'!$E$41</definedName>
    <definedName name="BP_29">'Summary of Building Performance'!$E$42</definedName>
    <definedName name="BP_30">'Summary of Building Performance'!$E$43</definedName>
    <definedName name="BP_31">'Summary of Building Performance'!$E$44</definedName>
    <definedName name="BP_32">'Summary of Building Performance'!$J$35</definedName>
    <definedName name="BP_34">'Summary of Building Performance'!$J$37</definedName>
    <definedName name="BP_35">'Summary of Building Performance'!$J$38</definedName>
    <definedName name="BP_36">'Summary of Building Performance'!$J$39</definedName>
    <definedName name="BP_38">'Summary of Building Performance'!$J$40</definedName>
    <definedName name="BP_39">'Summary of Building Performance'!$J$41</definedName>
    <definedName name="BP_40">'Summary of Building Performance'!$J$42</definedName>
    <definedName name="BP_BREEAMRating">Poeng!$AS$112</definedName>
    <definedName name="BP_Energy_score">'Summary of Building Performance'!$K$37</definedName>
    <definedName name="BP_Innovation_score">'Summary of Building Performance'!$K$44</definedName>
    <definedName name="BP_LUE_score">'Summary of Building Performance'!$K$42</definedName>
    <definedName name="BP_Man_score">'Summary of Building Performance'!$K$35</definedName>
    <definedName name="BP_Materials_score">'Summary of Building Performance'!$K$40</definedName>
    <definedName name="BP_MinStandards">Poeng!$AS$107</definedName>
    <definedName name="BP_MinStandards_const">Poeng!$AY$107</definedName>
    <definedName name="BP_MinStandards_design">Poeng!$AV$107</definedName>
    <definedName name="BP_Trans_score">'Summary of Building Performance'!$K$38</definedName>
    <definedName name="BP_Waste_Score">'Summary of Building Performance'!$K$41</definedName>
    <definedName name="BP_Water_score">'Summary of Building Performance'!$K$39</definedName>
    <definedName name="BRK_Banner" localSheetId="6">'PAE available for copy'!$C$1</definedName>
    <definedName name="BRK_Banner">'Pre-Assessment Estimator'!$C$1</definedName>
    <definedName name="Ene_01">Poeng!$D$31</definedName>
    <definedName name="Ene_02">Poeng!$D$32</definedName>
    <definedName name="Ene_03">Poeng!$D$33</definedName>
    <definedName name="Ene_04">Poeng!$D$34</definedName>
    <definedName name="Ene_05">Poeng!$D$35</definedName>
    <definedName name="Ene_06">Poeng!$D$36</definedName>
    <definedName name="Ene_07">Poeng!$D$37</definedName>
    <definedName name="Ene_08">Poeng!$D$38</definedName>
    <definedName name="Ene_09">Poeng!$D$39</definedName>
    <definedName name="Ene_23">Poeng!$D$40</definedName>
    <definedName name="Ene_c_user">Poeng!$Y$41</definedName>
    <definedName name="Ene_cont_tot">Poeng!$U$41</definedName>
    <definedName name="Ene_Credits">Poeng!$R$41</definedName>
    <definedName name="Ene_d_user">Poeng!$X$41</definedName>
    <definedName name="Ene_tot_user">Poeng!$W$41</definedName>
    <definedName name="Ene01_27">Poeng!$BH$32</definedName>
    <definedName name="Ene01_28">Poeng!$AS$31</definedName>
    <definedName name="Ene01_41">Poeng!$T$31</definedName>
    <definedName name="Ene01_42">Poeng!$U$31</definedName>
    <definedName name="Ene01_credits">Poeng!$R$31</definedName>
    <definedName name="Ene01_minstd">Poeng!$AS$31</definedName>
    <definedName name="Ene01_tot">Poeng!$BG$32</definedName>
    <definedName name="Ene01_user">Poeng!$W$31</definedName>
    <definedName name="Ene02_10">Poeng!$T$32</definedName>
    <definedName name="Ene02_11">Poeng!$BH$33</definedName>
    <definedName name="Ene02_12">Poeng!$AS$32</definedName>
    <definedName name="Ene02_13">Poeng!$U$32</definedName>
    <definedName name="Ene02_credits">Poeng!$R$32</definedName>
    <definedName name="Ene02_tot">Poeng!$BG$33</definedName>
    <definedName name="Ene02_user">Poeng!$W$32</definedName>
    <definedName name="Ene03_05">Poeng!$T$33</definedName>
    <definedName name="Ene03_06">Poeng!$U$33</definedName>
    <definedName name="Ene03_credits">Poeng!$R$33</definedName>
    <definedName name="Ene03_minstd">Poeng!$AS$33</definedName>
    <definedName name="Ene03_tot" localSheetId="6">Poeng!#REF!</definedName>
    <definedName name="Ene03_tot">Poeng!#REF!</definedName>
    <definedName name="Ene03_user">Poeng!$W$33</definedName>
    <definedName name="Ene04_15">Poeng!$BG$34</definedName>
    <definedName name="Ene04_16">Poeng!$AS$34</definedName>
    <definedName name="Ene04_19">Poeng!$T$34</definedName>
    <definedName name="Ene04_20">Poeng!$U$34</definedName>
    <definedName name="Ene04_credits">Poeng!$R$34</definedName>
    <definedName name="Ene04_tot">Poeng!$BF$34</definedName>
    <definedName name="Ene04_user">Poeng!$W$34</definedName>
    <definedName name="Ene05_14">Poeng!$BG$35</definedName>
    <definedName name="Ene05_15">Poeng!$AS$35</definedName>
    <definedName name="Ene05_20">Poeng!$T$35</definedName>
    <definedName name="Ene05_21">Poeng!$U$35</definedName>
    <definedName name="Ene05_credits">Poeng!$R$35</definedName>
    <definedName name="Ene05_tot">Poeng!$BF$35</definedName>
    <definedName name="Ene05_user">Poeng!$W$35</definedName>
    <definedName name="Ene06_11">Poeng!$T$36</definedName>
    <definedName name="Ene06_12">Poeng!$U$36</definedName>
    <definedName name="Ene06_credits">Poeng!$R$36</definedName>
    <definedName name="Ene06_minstd">Poeng!$AS$36</definedName>
    <definedName name="Ene06_tot">Poeng!$BF$36</definedName>
    <definedName name="Ene06_user">Poeng!$W$36</definedName>
    <definedName name="Ene07_24">Poeng!$T$37</definedName>
    <definedName name="Ene07_25">Poeng!$U$37</definedName>
    <definedName name="Ene07_credits">Poeng!$R$37</definedName>
    <definedName name="Ene07_minstd">Poeng!$AS$37</definedName>
    <definedName name="Ene07_tot">Poeng!$BF$37</definedName>
    <definedName name="Ene07_user">Poeng!$W$37</definedName>
    <definedName name="Ene08_27">Poeng!$T$38</definedName>
    <definedName name="Ene08_29">Poeng!$U$38</definedName>
    <definedName name="Ene08_credits">Poeng!$R$38</definedName>
    <definedName name="Ene08_minstd">Poeng!$AS$38</definedName>
    <definedName name="Ene08_tot">Poeng!$BF$38</definedName>
    <definedName name="Ene08_user">Poeng!$W$38</definedName>
    <definedName name="Ene09_07">Poeng!$T$39</definedName>
    <definedName name="Ene09_10">Poeng!$U$39</definedName>
    <definedName name="Ene09_credits">Poeng!$R$39</definedName>
    <definedName name="Ene09_minstd">Poeng!$AS$39</definedName>
    <definedName name="Ene09_tot">Poeng!$BF$39</definedName>
    <definedName name="Ene09_user">Poeng!$W$39</definedName>
    <definedName name="Ene23_cont">Poeng!$U$40</definedName>
    <definedName name="Ene23_credits">Poeng!$R$40</definedName>
    <definedName name="Ene23_minstd">Poeng!$AS$40</definedName>
    <definedName name="Ene23_user">Poeng!$W$40</definedName>
    <definedName name="Hea_01">Poeng!$D$19</definedName>
    <definedName name="Hea_02">Poeng!$D$20</definedName>
    <definedName name="Hea_03">Poeng!$D$21</definedName>
    <definedName name="Hea_04">Poeng!$D$22</definedName>
    <definedName name="Hea_05">Poeng!$D$23</definedName>
    <definedName name="Hea_06">Poeng!$D$24</definedName>
    <definedName name="Hea_07">Poeng!$D$25</definedName>
    <definedName name="Hea_08">Poeng!$D$26</definedName>
    <definedName name="Hea_09">Poeng!$D$27</definedName>
    <definedName name="Hea_cont_tot">Poeng!$U$28</definedName>
    <definedName name="Hea_Credits">Poeng!$R$28</definedName>
    <definedName name="Hea_Weight">'Summary of Building Performance'!$J$36</definedName>
    <definedName name="Hea01_06" localSheetId="6">Poeng!#REF!</definedName>
    <definedName name="Hea01_06">Poeng!#REF!</definedName>
    <definedName name="Hea01_25" localSheetId="6">Poeng!#REF!</definedName>
    <definedName name="Hea01_25">Poeng!#REF!</definedName>
    <definedName name="Hea01_26">Poeng!$T$19</definedName>
    <definedName name="Hea01_27">Poeng!$U$19</definedName>
    <definedName name="Hea01_credits">Poeng!$R$19</definedName>
    <definedName name="Hea01_Crit1">Poeng!$D$102</definedName>
    <definedName name="Hea01_Crit1_cont">Poeng!$U$102</definedName>
    <definedName name="Hea01_Crit1_credits">Poeng!$R$102</definedName>
    <definedName name="Hea01_minstd">Poeng!$AS$102</definedName>
    <definedName name="Hea01_tot" localSheetId="6">Poeng!#REF!</definedName>
    <definedName name="Hea01_tot">Poeng!#REF!</definedName>
    <definedName name="Hea01_user">Poeng!$W$19</definedName>
    <definedName name="Hea02_25">Poeng!$T$20</definedName>
    <definedName name="Hea02_26">Poeng!$U$20</definedName>
    <definedName name="Hea02_credits">Poeng!$R$20</definedName>
    <definedName name="Hea02_minstd">Poeng!$AS$20</definedName>
    <definedName name="Hea02_tot">Poeng!$BG$20</definedName>
    <definedName name="Hea02_user">Poeng!$W$20</definedName>
    <definedName name="Hea03_09">Poeng!$T$21</definedName>
    <definedName name="Hea03_10">Poeng!$BH$21</definedName>
    <definedName name="Hea03_11">Poeng!$AS$21</definedName>
    <definedName name="Hea03_contr">Poeng!$U$21</definedName>
    <definedName name="Hea03_credits">Poeng!$R$21</definedName>
    <definedName name="Hea03_tot">Poeng!$BG$21</definedName>
    <definedName name="Hea03_user">Poeng!$W$21</definedName>
    <definedName name="Hea04_10">Poeng!$BH$22</definedName>
    <definedName name="Hea04_11">Poeng!$AS$22</definedName>
    <definedName name="Hea04_12">Poeng!$T$22</definedName>
    <definedName name="Hea04_13">Poeng!$U$22</definedName>
    <definedName name="Hea04_credits">Poeng!$R$22</definedName>
    <definedName name="Hea04_tot">Poeng!$BG$22</definedName>
    <definedName name="Hea04_user">Poeng!$W$22</definedName>
    <definedName name="Hea05_07">Poeng!$T$23</definedName>
    <definedName name="Hea05_08">Poeng!$U$23</definedName>
    <definedName name="Hea05_credits">Poeng!$R$23</definedName>
    <definedName name="Hea05_minstd">Poeng!$AS$23</definedName>
    <definedName name="Hea05_tot">Poeng!$BG$23</definedName>
    <definedName name="Hea05_user">Poeng!$W$23</definedName>
    <definedName name="Hea06_07">Poeng!$T$24</definedName>
    <definedName name="Hea06_contr">Poeng!$U$24</definedName>
    <definedName name="Hea06_credits">Poeng!$R$24</definedName>
    <definedName name="Hea06_minstd">Poeng!$AS$24</definedName>
    <definedName name="Hea06_tot">Poeng!$BG$24</definedName>
    <definedName name="Hea06_user">Poeng!$W$24</definedName>
    <definedName name="Hea07_07">Poeng!$T$25</definedName>
    <definedName name="Hea07_contr">Poeng!$U$25</definedName>
    <definedName name="Hea07_Credits">Poeng!$R$25</definedName>
    <definedName name="Hea07_minstd">Poeng!$AS$25</definedName>
    <definedName name="Hea07_Tot">Poeng!$BG$26</definedName>
    <definedName name="Hea07_user">Poeng!$W$25</definedName>
    <definedName name="Hea08_07">Poeng!$T$26</definedName>
    <definedName name="Hea08_contr">Poeng!$U$26</definedName>
    <definedName name="Hea08_Credits">Poeng!$R$26</definedName>
    <definedName name="Hea08_minstd">Poeng!$AS$26</definedName>
    <definedName name="Hea08_tot">Poeng!$BG$27</definedName>
    <definedName name="Hea08_user">Poeng!$W$26</definedName>
    <definedName name="Hea09_cont">Poeng!$U$27</definedName>
    <definedName name="Hea09_Credits">Poeng!$R$27</definedName>
    <definedName name="Hea09_minstd">Poeng!$AS$27</definedName>
    <definedName name="Hea09_user">Poeng!$W$27</definedName>
    <definedName name="HUG" localSheetId="6">'PAE available for copy'!$AN$14</definedName>
    <definedName name="HUG">'Pre-Assessment Estimator'!$AP$15</definedName>
    <definedName name="HW_c_user">Poeng!$Y$28</definedName>
    <definedName name="HW_d_user">Poeng!$X$28</definedName>
    <definedName name="HW_tot_user">Poeng!$W$28</definedName>
    <definedName name="Inn_01">Poeng!$D$90</definedName>
    <definedName name="Inn_02">Poeng!$D$91</definedName>
    <definedName name="Inn_03">Poeng!$D$92</definedName>
    <definedName name="Inn_04">Poeng!$D$93</definedName>
    <definedName name="Inn_05">Poeng!$D$94</definedName>
    <definedName name="Inn_06">Poeng!$D$95</definedName>
    <definedName name="Inn_07">Poeng!$D$96</definedName>
    <definedName name="Inn_08">Poeng!$D$97</definedName>
    <definedName name="Inn_09">Poeng!$D$98</definedName>
    <definedName name="Inn_c_user">Poeng!$Y$99</definedName>
    <definedName name="Inn_cont_tot">Poeng!$U$99</definedName>
    <definedName name="Inn_Credits">Poeng!$R$99</definedName>
    <definedName name="Inn_d_user">Poeng!$X$99</definedName>
    <definedName name="Inn_tot_user">Poeng!$W$99</definedName>
    <definedName name="Inn_Weight">'Summary of Building Performance'!$J$44</definedName>
    <definedName name="Inn01_cont">Poeng!$U$90</definedName>
    <definedName name="Inn01_credits">Poeng!$R$90</definedName>
    <definedName name="Inn01_minstd">Poeng!$AS$90</definedName>
    <definedName name="Inn01_user">Poeng!$W$90</definedName>
    <definedName name="Inn02_cont">Poeng!$U$91</definedName>
    <definedName name="Inn02_credits">Poeng!$R$91</definedName>
    <definedName name="Inn02_minstd">Poeng!$AS$91</definedName>
    <definedName name="Inn02_user">Poeng!$W$91</definedName>
    <definedName name="Inn03_cont">Poeng!$U$92</definedName>
    <definedName name="Inn03_credits">Poeng!$R$92</definedName>
    <definedName name="Inn03_minstd">Poeng!$AS$92</definedName>
    <definedName name="Inn03_user">Poeng!$W$92</definedName>
    <definedName name="Inn04_cont">Poeng!$U$93</definedName>
    <definedName name="Inn04_credits">Poeng!$R$93</definedName>
    <definedName name="Inn04_minstd">Poeng!$AS$93</definedName>
    <definedName name="Inn04_user">Poeng!$W$93</definedName>
    <definedName name="Inn05_cont">Poeng!$U$94</definedName>
    <definedName name="Inn05_credits">Poeng!$R$94</definedName>
    <definedName name="Inn05_minstd">Poeng!$AS$94</definedName>
    <definedName name="Inn05_user">Poeng!$W$94</definedName>
    <definedName name="Inn06_cont">Poeng!$U$95</definedName>
    <definedName name="Inn06_credits">Poeng!$R$95</definedName>
    <definedName name="Inn06_minstd">Poeng!$AS$95</definedName>
    <definedName name="Inn06_user">Poeng!$W$95</definedName>
    <definedName name="Inn07_cont">Poeng!$U$96</definedName>
    <definedName name="Inn07_credits">Poeng!$R$96</definedName>
    <definedName name="Inn07_minstd">Poeng!$AS$96</definedName>
    <definedName name="Inn07_user">Poeng!$W$96</definedName>
    <definedName name="Inn08_cont">Poeng!$U$97</definedName>
    <definedName name="Inn08_credits">Poeng!$R$97</definedName>
    <definedName name="Inn08_minstd">Poeng!$AS$97</definedName>
    <definedName name="Inn08_user">Poeng!$W$97</definedName>
    <definedName name="Inn09_cont">Poeng!$U$98</definedName>
    <definedName name="Inn09_credits">Poeng!$R$98</definedName>
    <definedName name="Inn09_minstd">Poeng!$AS$98</definedName>
    <definedName name="Inn09_user">Poeng!$W$98</definedName>
    <definedName name="janei">'Assessment Details'!$L$51:$L$52</definedName>
    <definedName name="LE_01">Poeng!$D$74</definedName>
    <definedName name="LE_02">Poeng!$D$75</definedName>
    <definedName name="LE_04">Poeng!$D$76</definedName>
    <definedName name="LE_05">Poeng!$D$77</definedName>
    <definedName name="LE_06">Poeng!$D$78</definedName>
    <definedName name="LE_cont_tot">Poeng!$U$79</definedName>
    <definedName name="LE_Credits">Poeng!$R$79</definedName>
    <definedName name="LE01_07">Poeng!$T$74</definedName>
    <definedName name="LE01_08">Poeng!$U$74</definedName>
    <definedName name="LE01_credits">Poeng!$R$74</definedName>
    <definedName name="LE01_minstd">Poeng!$AS$74</definedName>
    <definedName name="LE01_tot">Poeng!$BF$74</definedName>
    <definedName name="LE01_user">Poeng!$W$74</definedName>
    <definedName name="LE02_07">Poeng!$T$75</definedName>
    <definedName name="LE02_08">Poeng!$U$75</definedName>
    <definedName name="LE02_credits">Poeng!$R$75</definedName>
    <definedName name="LE02_minstd">Poeng!$AS$75</definedName>
    <definedName name="LE02_tot">Poeng!$BF$75</definedName>
    <definedName name="LE02_user">Poeng!$W$75</definedName>
    <definedName name="LE03_minstd">Poeng!$AS$76</definedName>
    <definedName name="LE04_13">Poeng!$T$76</definedName>
    <definedName name="LE04_14">Poeng!$U$76</definedName>
    <definedName name="LE04_credits">Poeng!$R$76</definedName>
    <definedName name="LE04_tot">Poeng!$BF$76</definedName>
    <definedName name="LE04_user">Poeng!$W$76</definedName>
    <definedName name="LE05_14">Poeng!$T$77</definedName>
    <definedName name="LE05_15">Poeng!$U$77</definedName>
    <definedName name="LE05_credits">Poeng!$R$77</definedName>
    <definedName name="LE05_minstd">Poeng!$AS$77</definedName>
    <definedName name="LE05_minstdach">Poeng!$AS$77</definedName>
    <definedName name="LE05_tot">Poeng!$BF$77</definedName>
    <definedName name="LE05_user">Poeng!$W$77</definedName>
    <definedName name="LE06_contr">Poeng!$U$78</definedName>
    <definedName name="LE06_credits">Poeng!$R$78</definedName>
    <definedName name="LE06_minstd">Poeng!$AS$78</definedName>
    <definedName name="LE06_tot">Poeng!$BF$78</definedName>
    <definedName name="LE06_user">Poeng!$W$78</definedName>
    <definedName name="Lue_c_user">Poeng!$Y$79</definedName>
    <definedName name="Lue_d_user">Poeng!$X$79</definedName>
    <definedName name="Lue_tot_user">Poeng!$W$79</definedName>
    <definedName name="Man_01">Poeng!$D$9</definedName>
    <definedName name="Man_02">Poeng!$D$10</definedName>
    <definedName name="Man_03">Poeng!$D$11</definedName>
    <definedName name="Man_04">Poeng!$D$12</definedName>
    <definedName name="Man_05">Poeng!$D$13</definedName>
    <definedName name="Man_06">Poeng!$D$14</definedName>
    <definedName name="Man_07">Poeng!$D$15</definedName>
    <definedName name="Man_c_user">Poeng!$Y$16</definedName>
    <definedName name="Man_cont_tot">Poeng!$U$16</definedName>
    <definedName name="Man_Credits">Poeng!$R$16</definedName>
    <definedName name="Man_d_user">Poeng!$X$16</definedName>
    <definedName name="Man_tot_user">Poeng!$W$16</definedName>
    <definedName name="Man01_37">Poeng!$AS$9</definedName>
    <definedName name="Man01_38">Poeng!$T$9</definedName>
    <definedName name="Man01_39">Poeng!$U$9</definedName>
    <definedName name="Man01_credits">Poeng!$R$9</definedName>
    <definedName name="Man01_Exemp">Poeng!$BG$9</definedName>
    <definedName name="Man01_Tot">Poeng!$BF$9</definedName>
    <definedName name="Man01_user">Poeng!$W$9</definedName>
    <definedName name="Man02_11">Poeng!$T$10</definedName>
    <definedName name="Man02_12">Poeng!$U$10</definedName>
    <definedName name="Man02_credits">Poeng!$R$10</definedName>
    <definedName name="Man02_Exempl">Poeng!$BG$10</definedName>
    <definedName name="Man02_minstd">Poeng!$AS$10</definedName>
    <definedName name="Man02_Tot">Poeng!$BF$10</definedName>
    <definedName name="Man02_user">Poeng!$W$10</definedName>
    <definedName name="Man03_12">Poeng!$T$11</definedName>
    <definedName name="Man03_18">Poeng!$U$11</definedName>
    <definedName name="Man03_credits">Poeng!$R$11</definedName>
    <definedName name="Man03_minstd">Poeng!$AS$11</definedName>
    <definedName name="Man03_Tot">Poeng!$BF$11</definedName>
    <definedName name="Man03_user">Poeng!$W$11</definedName>
    <definedName name="Man04_17">Poeng!$T$12</definedName>
    <definedName name="Man04_cont">Poeng!$U$12</definedName>
    <definedName name="Man04_credits">Poeng!$R$12</definedName>
    <definedName name="Man04_minstd">Poeng!$AS$12</definedName>
    <definedName name="Man04_tot">Poeng!$BF$12</definedName>
    <definedName name="Man04_user">Poeng!$W$12</definedName>
    <definedName name="Man05_10">Poeng!$T$13</definedName>
    <definedName name="Man05_cont">Poeng!$U$13</definedName>
    <definedName name="Man05_credits">Poeng!$R$13</definedName>
    <definedName name="Man05_minstd">Poeng!$AS$13</definedName>
    <definedName name="Man05_tot">Poeng!$BF$13</definedName>
    <definedName name="Man05_user">Poeng!$W$13</definedName>
    <definedName name="Man06_cont">Poeng!$U$14</definedName>
    <definedName name="Man06_credits">Poeng!$R$14</definedName>
    <definedName name="Man06_minstd">Poeng!$AS$14</definedName>
    <definedName name="Man06_user">Poeng!$W$14</definedName>
    <definedName name="Man07_cont">Poeng!$U$15</definedName>
    <definedName name="Man07_credits">Poeng!$R$15</definedName>
    <definedName name="Man07_minstd">Poeng!$AS$15</definedName>
    <definedName name="Man07_user">Poeng!$W$15</definedName>
    <definedName name="Mat_01">Poeng!$D$60</definedName>
    <definedName name="Mat_03">Poeng!$D$61</definedName>
    <definedName name="Mat_05">Poeng!$D$62</definedName>
    <definedName name="Mat_06">Poeng!$D$63</definedName>
    <definedName name="Mat_c_user">Poeng!$Y$64</definedName>
    <definedName name="Mat_cont_tot">Poeng!$U$64</definedName>
    <definedName name="Mat_Credits">Poeng!$R$64</definedName>
    <definedName name="Mat_d_user">Poeng!$X$64</definedName>
    <definedName name="Mat_tot_user">Poeng!$W$64</definedName>
    <definedName name="Mat01_08">Poeng!$BG$60</definedName>
    <definedName name="Mat01_27">Poeng!$T$60</definedName>
    <definedName name="Mat01_28">Poeng!$U$60</definedName>
    <definedName name="Mat01_credits">Poeng!$R$60</definedName>
    <definedName name="Mat01_Crit1">Poeng!$D$103</definedName>
    <definedName name="Mat01_Crit1_cont">Poeng!$U$103</definedName>
    <definedName name="Mat01_Crit1_credits">Poeng!$R$103</definedName>
    <definedName name="Mat01_minstd">Poeng!$AS$103</definedName>
    <definedName name="Mat01_tot">Poeng!$BF$60</definedName>
    <definedName name="Mat01_user">Poeng!$W$60</definedName>
    <definedName name="Mat03_35">Poeng!$BG$61</definedName>
    <definedName name="Mat03_36">Poeng!$AS$61</definedName>
    <definedName name="Mat03_37">Poeng!$T$61</definedName>
    <definedName name="Mat03_38">Poeng!$U$61</definedName>
    <definedName name="Mat03_credits">Poeng!$R$61</definedName>
    <definedName name="Mat03_Crit1">Poeng!$D$104</definedName>
    <definedName name="Mat03_Crit1_cont">Poeng!$U$104</definedName>
    <definedName name="Mat03_Crit1_credits">Poeng!$R$104</definedName>
    <definedName name="Mat03_minstd">Poeng!$AS$104</definedName>
    <definedName name="Mat03_tot">Poeng!$BF$61</definedName>
    <definedName name="Mat03_user">Poeng!$W$61</definedName>
    <definedName name="Mat05_05">Poeng!$T$62</definedName>
    <definedName name="Mat05_06">Poeng!$U$62</definedName>
    <definedName name="Mat05_credits">Poeng!$R$62</definedName>
    <definedName name="Mat05_minstd">Poeng!$AS$62</definedName>
    <definedName name="Mat05_tot">Poeng!$BF$62</definedName>
    <definedName name="Mat05_user">Poeng!$W$62</definedName>
    <definedName name="Mat06_cont">Poeng!$U$63</definedName>
    <definedName name="Mat06_credits">Poeng!$R$63</definedName>
    <definedName name="Mat06_minstd">Poeng!$AS$63</definedName>
    <definedName name="Mat06_user">Poeng!$W$63</definedName>
    <definedName name="Note_minstand">Poeng!$AS$115</definedName>
    <definedName name="Note_minstand_const">Poeng!$AY$115</definedName>
    <definedName name="Note_minstand_design">Poeng!$AV$115</definedName>
    <definedName name="Poeng_bort">Poeng!$Q$106</definedName>
    <definedName name="Poeng_tilgj">Poeng!$R$106</definedName>
    <definedName name="Poeng_tot">Poeng!$K$106</definedName>
    <definedName name="Pol_01">Poeng!$D$82</definedName>
    <definedName name="Pol_02">Poeng!$D$83</definedName>
    <definedName name="Pol_03">Poeng!$D$84</definedName>
    <definedName name="Pol_04">Poeng!$D$85</definedName>
    <definedName name="Pol_05">Poeng!$D$86</definedName>
    <definedName name="Pol_c_user">Poeng!$Y$87</definedName>
    <definedName name="Pol_cont_tot">Poeng!$U$87</definedName>
    <definedName name="Pol_Credits">Poeng!$R$87</definedName>
    <definedName name="Pol_d_user">Poeng!$X$87</definedName>
    <definedName name="Pol_tot_user">Poeng!$W$87</definedName>
    <definedName name="Pol_Weight">'Summary of Building Performance'!$J$43</definedName>
    <definedName name="Pol01_19">Poeng!$T$82</definedName>
    <definedName name="Pol01_20">Poeng!$U$82</definedName>
    <definedName name="Pol01_credits">Poeng!$R$82</definedName>
    <definedName name="Pol01_minstd">Poeng!$AS$82</definedName>
    <definedName name="Pol01_tot">Poeng!$BF$82</definedName>
    <definedName name="Pol01_user">Poeng!$W$82</definedName>
    <definedName name="Pol02_26">Poeng!$T$83</definedName>
    <definedName name="Pol02_27">Poeng!$U$83</definedName>
    <definedName name="Pol02_credits">Poeng!$R$83</definedName>
    <definedName name="Pol02_minstd">Poeng!$AS$83</definedName>
    <definedName name="Pol02_tot">Poeng!$BF$83</definedName>
    <definedName name="Pol02_user">Poeng!$W$83</definedName>
    <definedName name="Pol03_14">Poeng!$T$84</definedName>
    <definedName name="Pol03_15">Poeng!$U$84</definedName>
    <definedName name="Pol03_credits">Poeng!$R$84</definedName>
    <definedName name="Pol03_minstd">Poeng!$AS$84</definedName>
    <definedName name="Pol03_tot">Poeng!$BF$84</definedName>
    <definedName name="Pol03_user">Poeng!$W$84</definedName>
    <definedName name="Pol04_05">Poeng!$T$85</definedName>
    <definedName name="Pol04_06">Poeng!$U$85</definedName>
    <definedName name="Pol04_credits">Poeng!$R$85</definedName>
    <definedName name="Pol04_minstd">Poeng!$AS$85</definedName>
    <definedName name="Pol04_tot">Poeng!$BF$85</definedName>
    <definedName name="Pol04_user">Poeng!$W$85</definedName>
    <definedName name="Pol05_10">Poeng!$T$86</definedName>
    <definedName name="Pol05_11">Poeng!$U$86</definedName>
    <definedName name="Pol05_credits">Poeng!$R$86</definedName>
    <definedName name="Pol05_minstd">Poeng!$AS$86</definedName>
    <definedName name="Pol05_tot">Poeng!$BF$86</definedName>
    <definedName name="Pol05_user">Poeng!$W$86</definedName>
    <definedName name="_xlnm.Print_Area" localSheetId="1">'Assessment Details'!$B$2:$F$54</definedName>
    <definedName name="_xlnm.Print_Area" localSheetId="0">Instructions!$B$2:$P$16</definedName>
    <definedName name="_xlnm.Print_Area" localSheetId="6">'PAE available for copy'!$C$1:$X$100</definedName>
    <definedName name="_xlnm.Print_Area" localSheetId="2">'Pre-Assessment Estimator'!$C$1:$X$100</definedName>
    <definedName name="_xlnm.Print_Area" localSheetId="5">'Summary of Building Performance'!$B$2:$N$48</definedName>
    <definedName name="_xlnm.Print_Area" localSheetId="7">'Version Control'!$B$2:$P$22</definedName>
    <definedName name="_xlnm.Print_Titles" localSheetId="6">'PAE available for copy'!$8:$8</definedName>
    <definedName name="_xlnm.Print_Titles" localSheetId="2">'Pre-Assessment Estimator'!$8:$8</definedName>
    <definedName name="projecttype">'Assessment Details'!$M$98</definedName>
    <definedName name="Score_const">'Summary of Building Performance'!$M$45</definedName>
    <definedName name="Score_design">'Summary of Building Performance'!$L$45</definedName>
    <definedName name="Score_Initial">'Summary of Building Performance'!$K$45</definedName>
    <definedName name="status">'Assessment Details'!$L$45:$L$48</definedName>
    <definedName name="Tra_01">Poeng!$D$44</definedName>
    <definedName name="Tra_02">Poeng!$D$45</definedName>
    <definedName name="Tra_03">Poeng!$D$46</definedName>
    <definedName name="Tra_04">Poeng!$D$47</definedName>
    <definedName name="Tra_05">Poeng!$D$48</definedName>
    <definedName name="Tra_06">Poeng!$D$49</definedName>
    <definedName name="Tra_c_user">Poeng!$Y$50</definedName>
    <definedName name="Tra_cont_tot">Poeng!$U$50</definedName>
    <definedName name="Tra_Credits">Poeng!$R$50</definedName>
    <definedName name="Tra_d_user">Poeng!$X$50</definedName>
    <definedName name="Tra_tot_user">Poeng!$W$50</definedName>
    <definedName name="Tra01_07">Poeng!$T$44</definedName>
    <definedName name="TRa01_08">Poeng!$U$44</definedName>
    <definedName name="TRA01_BuildType">'Assessment Details'!$L$24:$L$30</definedName>
    <definedName name="Tra01_credits">Poeng!$R$44</definedName>
    <definedName name="Tra01_minstd">Poeng!$AS$44</definedName>
    <definedName name="Tra01_tot">Poeng!$BF$44</definedName>
    <definedName name="Tra01_type7">'Assessment Details'!$L$30</definedName>
    <definedName name="Tra01_user">Poeng!$W$44</definedName>
    <definedName name="Tra02_06">Poeng!$T$45</definedName>
    <definedName name="Tra02_07">Poeng!$U$45</definedName>
    <definedName name="Tra02_credits">Poeng!$R$45</definedName>
    <definedName name="Tra02_minstd">Poeng!$AS$45</definedName>
    <definedName name="Tra02_tot">Poeng!$BF$45</definedName>
    <definedName name="Tra02_user">Poeng!$W$45</definedName>
    <definedName name="Tra03_02">'Assessment Details'!$M$64:$M$64</definedName>
    <definedName name="Tra03_13">Poeng!$T$46</definedName>
    <definedName name="Tra03_14">Poeng!$U$46</definedName>
    <definedName name="Tra03_credits">Poeng!$R$46</definedName>
    <definedName name="Tra03_minstd">Poeng!$AS$46</definedName>
    <definedName name="Tra03_tot">Poeng!$BF$46</definedName>
    <definedName name="Tra03_user">Poeng!$W$46</definedName>
    <definedName name="Tra04_09">Poeng!$T$47</definedName>
    <definedName name="Tra04_10">Poeng!$U$47</definedName>
    <definedName name="Tra04_credits">Poeng!$R$47</definedName>
    <definedName name="Tra04_minstd">Poeng!$AS$47</definedName>
    <definedName name="Tra04_tot">Poeng!$BF$47</definedName>
    <definedName name="Tra04_user">Poeng!$W$47</definedName>
    <definedName name="Tra05_04">Poeng!$T$48</definedName>
    <definedName name="Tra05_05">Poeng!$U$48</definedName>
    <definedName name="Tra05_credits">Poeng!$R$48</definedName>
    <definedName name="Tra05_minstd">Poeng!$AS$48</definedName>
    <definedName name="Tra05_tot">Poeng!$BF$48</definedName>
    <definedName name="Tra05_user">Poeng!$W$48</definedName>
    <definedName name="Tra06_04">Poeng!$T$49</definedName>
    <definedName name="Tra06_05">Poeng!$U$49</definedName>
    <definedName name="Tra06_credits">Poeng!$R$49</definedName>
    <definedName name="Tra06_minstd">Poeng!$AS$49</definedName>
    <definedName name="Tra06_user">Poeng!$W$49</definedName>
    <definedName name="TVC_current_date">'Version Control'!$C$5</definedName>
    <definedName name="TVC_current_version">'Version Control'!$B$5</definedName>
    <definedName name="Wat__Credits">Poeng!$R$57</definedName>
    <definedName name="Wat_01">Poeng!$D$53</definedName>
    <definedName name="Wat_02">Poeng!$D$54</definedName>
    <definedName name="Wat_03">Poeng!$D$55</definedName>
    <definedName name="Wat_04">Poeng!$D$56</definedName>
    <definedName name="Wat_c_user">Poeng!$Y$57</definedName>
    <definedName name="Wat_cont_tot">Poeng!$U$57</definedName>
    <definedName name="Wat_Credits">Poeng!$R$57</definedName>
    <definedName name="Wat_d_user">Poeng!$X$57</definedName>
    <definedName name="Wat_tot_user">Poeng!$W$57</definedName>
    <definedName name="Wat01_08">Poeng!$BG$53</definedName>
    <definedName name="Wat01_09">Poeng!$AS$53</definedName>
    <definedName name="Wat01_14">Poeng!$T$53</definedName>
    <definedName name="Wat01_15">Poeng!$U$53</definedName>
    <definedName name="Wat01_credits">Poeng!$R$53</definedName>
    <definedName name="Wat01_minstd">Poeng!$AS$53</definedName>
    <definedName name="Wat01_tot">Poeng!$BF$53</definedName>
    <definedName name="Wat01_user">Poeng!$W$53</definedName>
    <definedName name="Wat02_10">Poeng!$BG$54</definedName>
    <definedName name="Wat02_11">Poeng!$AS$54</definedName>
    <definedName name="Wat02_12">Poeng!$T$54</definedName>
    <definedName name="Wat02_13">Poeng!$U$54</definedName>
    <definedName name="Wat02_credits">Poeng!$R$54</definedName>
    <definedName name="Wat02_tot">Poeng!$BF$54</definedName>
    <definedName name="Wat02_user">Poeng!$W$54</definedName>
    <definedName name="Wat03_09">Poeng!$T$55</definedName>
    <definedName name="Wat03_10">Poeng!$U$55</definedName>
    <definedName name="Wat03_credits">Poeng!$R$55</definedName>
    <definedName name="Wat03_minstd">Poeng!$AS$55</definedName>
    <definedName name="Wat03_tot">Poeng!$BF$55</definedName>
    <definedName name="Wat03_user">Poeng!$W$55</definedName>
    <definedName name="Wat04_05">Poeng!$T$56</definedName>
    <definedName name="Wat04_06">Poeng!$U$56</definedName>
    <definedName name="Wat04_credits">Poeng!$R$56</definedName>
    <definedName name="Wat04_minstd">Poeng!$AS$56</definedName>
    <definedName name="Wat04_tot">Poeng!$BF$56</definedName>
    <definedName name="Wat04_user">Poeng!$W$56</definedName>
    <definedName name="Wst_01">Poeng!$D$67</definedName>
    <definedName name="Wst_02">Poeng!$D$68</definedName>
    <definedName name="Wst_03">Poeng!$D$69</definedName>
    <definedName name="Wst_04">Poeng!$D$70</definedName>
    <definedName name="Wst_c_user">Poeng!$Y$71</definedName>
    <definedName name="Wst_cont_tot">Poeng!$U$71</definedName>
    <definedName name="Wst_Credits">Poeng!$R$71</definedName>
    <definedName name="Wst_d_user">Poeng!$X$71</definedName>
    <definedName name="Wst_tot_user">Poeng!$W$71</definedName>
    <definedName name="Wst01_17">Poeng!$BG$67</definedName>
    <definedName name="Wst01_18">Poeng!$AS$67</definedName>
    <definedName name="Wst01_27">Poeng!$T$67</definedName>
    <definedName name="Wst01_28">Poeng!$U$67</definedName>
    <definedName name="Wst01_credits">Poeng!$R$67</definedName>
    <definedName name="Wst01_tot">Poeng!$BF$67</definedName>
    <definedName name="Wst01_user">Poeng!$W$67</definedName>
    <definedName name="Wst02_11">Poeng!$BG$68</definedName>
    <definedName name="Wst02_14">Poeng!$T$68</definedName>
    <definedName name="Wst02_15">Poeng!$U$68</definedName>
    <definedName name="Wst02_credits">Poeng!$R$68</definedName>
    <definedName name="Wst02_minstd">Poeng!$AS$68</definedName>
    <definedName name="Wst02_tot">Poeng!$BF$68</definedName>
    <definedName name="Wst02_user">Poeng!$W$68</definedName>
    <definedName name="Wst03_09">Poeng!$BG$69</definedName>
    <definedName name="Wst03_10">Poeng!$AS$69</definedName>
    <definedName name="Wst03_12">Poeng!$T$69</definedName>
    <definedName name="Wst03_13">Poeng!$U$69</definedName>
    <definedName name="Wst03_credits">Poeng!$R$69</definedName>
    <definedName name="Wst03_tot">Poeng!$BF$69</definedName>
    <definedName name="Wst03_user">Poeng!$W$69</definedName>
    <definedName name="Wst04_08">Poeng!$T$70</definedName>
    <definedName name="Wst04_09">Poeng!$U$70</definedName>
    <definedName name="Wst04_credits">Poeng!$R$70</definedName>
    <definedName name="Wst04_minstd">Poeng!$AS$70</definedName>
    <definedName name="Wst04_tot">Poeng!$BF$70</definedName>
    <definedName name="Wst04_user">Poeng!$W$70</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1" i="21" l="1"/>
  <c r="X13" i="21"/>
  <c r="X14" i="21"/>
  <c r="X15" i="21"/>
  <c r="X18" i="21"/>
  <c r="X20" i="21"/>
  <c r="X21" i="21"/>
  <c r="X22" i="21"/>
  <c r="X23" i="21"/>
  <c r="X28" i="21"/>
  <c r="X31" i="21"/>
  <c r="X32" i="21"/>
  <c r="X33" i="21"/>
  <c r="X34" i="21"/>
  <c r="X35" i="21"/>
  <c r="X36" i="21"/>
  <c r="X38" i="21"/>
  <c r="X39" i="21"/>
  <c r="X40" i="21"/>
  <c r="X41" i="21"/>
  <c r="X50" i="21"/>
  <c r="X53" i="21"/>
  <c r="X54" i="21"/>
  <c r="X55" i="21"/>
  <c r="X57" i="21"/>
  <c r="X64" i="21"/>
  <c r="X65" i="21"/>
  <c r="X66" i="21"/>
  <c r="X67" i="21"/>
  <c r="X70" i="21"/>
  <c r="X71" i="21"/>
  <c r="X72" i="21"/>
  <c r="X73" i="21"/>
  <c r="X74" i="21"/>
  <c r="X80" i="21"/>
  <c r="X81" i="21"/>
  <c r="X82" i="21"/>
  <c r="X83" i="21"/>
  <c r="X84" i="21"/>
  <c r="X86" i="21"/>
  <c r="X87" i="21"/>
  <c r="X88" i="21"/>
  <c r="X100" i="21"/>
  <c r="X10" i="21"/>
  <c r="V10" i="21"/>
  <c r="BS33" i="13"/>
  <c r="AF7" i="5" l="1"/>
  <c r="BS19" i="13"/>
  <c r="BS86" i="13"/>
  <c r="BS85" i="13"/>
  <c r="BS83" i="13"/>
  <c r="BS82" i="13"/>
  <c r="BS62" i="13"/>
  <c r="BS54" i="13"/>
  <c r="BS55" i="13"/>
  <c r="BS39" i="13"/>
  <c r="BS38" i="13"/>
  <c r="BS35" i="13"/>
  <c r="BS32" i="13"/>
  <c r="BS22" i="13"/>
  <c r="BS21" i="13"/>
  <c r="BS20" i="13"/>
  <c r="BP55" i="13"/>
  <c r="BP32" i="13"/>
  <c r="BP20" i="13"/>
  <c r="BP19" i="13"/>
  <c r="BK91" i="13"/>
  <c r="BK92" i="13"/>
  <c r="BK93" i="13"/>
  <c r="BK94" i="13"/>
  <c r="BK95" i="13"/>
  <c r="BK96" i="13"/>
  <c r="BK97" i="13"/>
  <c r="BK98" i="13"/>
  <c r="BK83" i="13"/>
  <c r="BK84" i="13"/>
  <c r="BK85" i="13"/>
  <c r="BK86" i="13"/>
  <c r="BK75" i="13"/>
  <c r="BK76" i="13"/>
  <c r="BK77" i="13"/>
  <c r="BK78" i="13"/>
  <c r="BK68" i="13"/>
  <c r="BK69" i="13"/>
  <c r="BK70" i="13"/>
  <c r="BK61" i="13"/>
  <c r="BK62" i="13"/>
  <c r="BK63" i="13"/>
  <c r="BK54" i="13"/>
  <c r="BK55" i="13"/>
  <c r="BK56" i="13"/>
  <c r="BK45" i="13"/>
  <c r="BK46" i="13"/>
  <c r="BK47" i="13"/>
  <c r="BK48" i="13"/>
  <c r="BK49" i="13"/>
  <c r="BK67" i="13"/>
  <c r="BK74" i="13"/>
  <c r="BK82" i="13"/>
  <c r="BK90" i="13"/>
  <c r="BK60" i="13"/>
  <c r="BK53" i="13"/>
  <c r="BK44" i="13"/>
  <c r="BK32" i="13"/>
  <c r="BK33" i="13"/>
  <c r="BK34" i="13"/>
  <c r="BK35" i="13"/>
  <c r="BK36" i="13"/>
  <c r="BK37" i="13"/>
  <c r="BK38" i="13"/>
  <c r="BK39" i="13"/>
  <c r="BK40" i="13"/>
  <c r="BK31" i="13"/>
  <c r="BK24" i="13"/>
  <c r="BK25" i="13"/>
  <c r="BK26" i="13"/>
  <c r="BK27" i="13"/>
  <c r="BK23" i="13"/>
  <c r="BK22" i="13"/>
  <c r="BK21" i="13"/>
  <c r="BK20" i="13"/>
  <c r="BK19" i="13"/>
  <c r="BK10" i="13"/>
  <c r="BK11" i="13"/>
  <c r="BK12" i="13"/>
  <c r="BK13" i="13"/>
  <c r="BK9" i="13"/>
  <c r="AN32" i="5" l="1"/>
  <c r="AN18" i="5"/>
  <c r="AE83" i="5"/>
  <c r="AE84" i="5"/>
  <c r="AE86" i="5"/>
  <c r="AE87" i="5"/>
  <c r="AE64" i="5"/>
  <c r="AE55" i="5"/>
  <c r="AE54" i="5"/>
  <c r="AE39" i="5"/>
  <c r="AE38" i="5"/>
  <c r="AE35" i="5"/>
  <c r="AE33" i="5"/>
  <c r="AE32" i="5"/>
  <c r="AE22" i="5"/>
  <c r="AE21" i="5"/>
  <c r="AE20" i="5"/>
  <c r="AE18" i="5"/>
  <c r="D172" i="13"/>
  <c r="BL101" i="13"/>
  <c r="BL89" i="13"/>
  <c r="BL81" i="13"/>
  <c r="BL73" i="13"/>
  <c r="BL66" i="13"/>
  <c r="BL59" i="13"/>
  <c r="BL52" i="13"/>
  <c r="BL43" i="13"/>
  <c r="BL30" i="13"/>
  <c r="BL18" i="13"/>
  <c r="BL8" i="13"/>
  <c r="D140" i="13"/>
  <c r="D141" i="13"/>
  <c r="D142" i="13"/>
  <c r="D143" i="13"/>
  <c r="D144" i="13"/>
  <c r="D145" i="13"/>
  <c r="D146" i="13"/>
  <c r="D147" i="13"/>
  <c r="D148" i="13"/>
  <c r="D149" i="13"/>
  <c r="D150" i="13"/>
  <c r="D151" i="13"/>
  <c r="D152" i="13"/>
  <c r="D153" i="13"/>
  <c r="D154" i="13"/>
  <c r="D155" i="13"/>
  <c r="D156" i="13"/>
  <c r="D157" i="13"/>
  <c r="D158" i="13"/>
  <c r="D159" i="13"/>
  <c r="BM4" i="13"/>
  <c r="BO18" i="13" l="1"/>
  <c r="BO30" i="13"/>
  <c r="BO81" i="13"/>
  <c r="BN30" i="13"/>
  <c r="BN81" i="13"/>
  <c r="BQ102" i="13"/>
  <c r="BQ66" i="13"/>
  <c r="BQ43" i="13"/>
  <c r="BO104" i="13"/>
  <c r="BO102" i="13"/>
  <c r="BQ89" i="13"/>
  <c r="BO66" i="13"/>
  <c r="BQ52" i="13"/>
  <c r="BO43" i="13"/>
  <c r="BQ104" i="13"/>
  <c r="BN104" i="13"/>
  <c r="BN102" i="13"/>
  <c r="BQ73" i="13"/>
  <c r="BN66" i="13"/>
  <c r="BN43" i="13"/>
  <c r="BQ18" i="13"/>
  <c r="BN59" i="13"/>
  <c r="BQ103" i="13"/>
  <c r="BQ101" i="13"/>
  <c r="BO89" i="13"/>
  <c r="BO52" i="13"/>
  <c r="BN89" i="13"/>
  <c r="BQ59" i="13"/>
  <c r="BQ30" i="13"/>
  <c r="BO103" i="13"/>
  <c r="BO101" i="13"/>
  <c r="BQ81" i="13"/>
  <c r="BN73" i="13"/>
  <c r="BN18" i="13"/>
  <c r="BO73" i="13"/>
  <c r="BN52" i="13"/>
  <c r="BN103" i="13"/>
  <c r="BN101" i="13"/>
  <c r="BO59" i="13"/>
  <c r="X99" i="21"/>
  <c r="X98" i="21"/>
  <c r="X97" i="21"/>
  <c r="X96" i="21"/>
  <c r="X95" i="21"/>
  <c r="X94" i="21"/>
  <c r="X93" i="21"/>
  <c r="X92" i="21"/>
  <c r="X91" i="21"/>
  <c r="X85" i="21"/>
  <c r="X79" i="21"/>
  <c r="X78" i="21"/>
  <c r="X77" i="21"/>
  <c r="X76" i="21"/>
  <c r="X75" i="21"/>
  <c r="X69" i="21"/>
  <c r="X68" i="21"/>
  <c r="X63" i="21"/>
  <c r="X62" i="21"/>
  <c r="X61" i="21"/>
  <c r="X60" i="21"/>
  <c r="X56" i="21"/>
  <c r="X49" i="21"/>
  <c r="X48" i="21"/>
  <c r="X47" i="21"/>
  <c r="X46" i="21"/>
  <c r="X45" i="21"/>
  <c r="X44" i="21"/>
  <c r="X37" i="21"/>
  <c r="X27" i="21"/>
  <c r="X26" i="21"/>
  <c r="X25" i="21"/>
  <c r="X24" i="21"/>
  <c r="X19" i="21"/>
  <c r="X12" i="21"/>
  <c r="AG5" i="5" l="1"/>
  <c r="AG4" i="5"/>
  <c r="AG3" i="5"/>
  <c r="AF4" i="5" s="1"/>
  <c r="X8" i="21" l="1"/>
  <c r="X8" i="5"/>
  <c r="X6" i="21"/>
  <c r="X5" i="21"/>
  <c r="X4" i="21"/>
  <c r="AO13" i="5"/>
  <c r="V1" i="5"/>
  <c r="P2" i="12"/>
  <c r="P2" i="8"/>
  <c r="V1" i="21"/>
  <c r="N2" i="11"/>
  <c r="AQ15" i="5" l="1"/>
  <c r="AO22" i="5"/>
  <c r="AQ13" i="5"/>
  <c r="AQ24" i="5"/>
  <c r="AQ26" i="5"/>
  <c r="AO75" i="5"/>
  <c r="AP90" i="5"/>
  <c r="AQ96" i="5"/>
  <c r="AO83" i="5"/>
  <c r="AP69" i="5"/>
  <c r="AQ60" i="5"/>
  <c r="AO95" i="5"/>
  <c r="AP52" i="5"/>
  <c r="AO84" i="5"/>
  <c r="AP41" i="5"/>
  <c r="AP30" i="5"/>
  <c r="AP24" i="5"/>
  <c r="AP21" i="5"/>
  <c r="AP35" i="5"/>
  <c r="AP93" i="5"/>
  <c r="AQ63" i="5"/>
  <c r="AO86" i="5"/>
  <c r="AQ29" i="5"/>
  <c r="AQ76" i="5"/>
  <c r="AO34" i="5"/>
  <c r="AP68" i="5"/>
  <c r="AQ78" i="5"/>
  <c r="AO36" i="5"/>
  <c r="AP11" i="5"/>
  <c r="AO19" i="5"/>
  <c r="AQ12" i="5"/>
  <c r="AP22" i="5"/>
  <c r="AO15" i="5"/>
  <c r="AQ11" i="5"/>
  <c r="AO11" i="5"/>
  <c r="AQ72" i="5"/>
  <c r="AO30" i="5"/>
  <c r="AO59" i="5"/>
  <c r="AO88" i="5"/>
  <c r="AO40" i="5"/>
  <c r="AP82" i="5"/>
  <c r="AO61" i="5"/>
  <c r="AQ39" i="5"/>
  <c r="AQ80" i="5"/>
  <c r="AO38" i="5"/>
  <c r="AO67" i="5"/>
  <c r="AO96" i="5"/>
  <c r="AP53" i="5"/>
  <c r="AP95" i="5"/>
  <c r="AO74" i="5"/>
  <c r="AQ52" i="5"/>
  <c r="AP31" i="5"/>
  <c r="AO87" i="5"/>
  <c r="AQ65" i="5"/>
  <c r="AP44" i="5"/>
  <c r="AP97" i="5"/>
  <c r="AO76" i="5"/>
  <c r="AQ54" i="5"/>
  <c r="AP33" i="5"/>
  <c r="AP86" i="5"/>
  <c r="AO65" i="5"/>
  <c r="AQ43" i="5"/>
  <c r="AR83" i="5"/>
  <c r="AP16" i="5"/>
  <c r="AQ10" i="5"/>
  <c r="AQ56" i="5"/>
  <c r="AQ16" i="5"/>
  <c r="AO16" i="5"/>
  <c r="AQ88" i="5"/>
  <c r="AO27" i="5"/>
  <c r="AP61" i="5"/>
  <c r="AO69" i="5"/>
  <c r="AO54" i="5"/>
  <c r="AP40" i="5"/>
  <c r="AP29" i="5"/>
  <c r="AP39" i="5"/>
  <c r="AQ73" i="5"/>
  <c r="AO31" i="5"/>
  <c r="AQ62" i="5"/>
  <c r="AP94" i="5"/>
  <c r="AQ51" i="5"/>
  <c r="AQ25" i="5"/>
  <c r="AP26" i="5"/>
  <c r="AO78" i="5"/>
  <c r="AP64" i="5"/>
  <c r="AO85" i="5"/>
  <c r="AP42" i="5"/>
  <c r="AP72" i="5"/>
  <c r="AQ58" i="5"/>
  <c r="AP55" i="5"/>
  <c r="AQ89" i="5"/>
  <c r="AO100" i="5"/>
  <c r="AP57" i="5"/>
  <c r="AO89" i="5"/>
  <c r="AQ67" i="5"/>
  <c r="AQ19" i="5"/>
  <c r="AP13" i="5"/>
  <c r="AP10" i="5"/>
  <c r="AP15" i="5"/>
  <c r="AQ14" i="5"/>
  <c r="AO23" i="5"/>
  <c r="AP67" i="5"/>
  <c r="AP96" i="5"/>
  <c r="AQ53" i="5"/>
  <c r="AQ82" i="5"/>
  <c r="AQ34" i="5"/>
  <c r="AQ79" i="5"/>
  <c r="AP58" i="5"/>
  <c r="AO37" i="5"/>
  <c r="AP75" i="5"/>
  <c r="AP27" i="5"/>
  <c r="AQ61" i="5"/>
  <c r="AQ90" i="5"/>
  <c r="AQ50" i="5"/>
  <c r="AQ92" i="5"/>
  <c r="AP71" i="5"/>
  <c r="AO50" i="5"/>
  <c r="AQ28" i="5"/>
  <c r="AP84" i="5"/>
  <c r="AO63" i="5"/>
  <c r="AQ41" i="5"/>
  <c r="AQ94" i="5"/>
  <c r="AP73" i="5"/>
  <c r="AO52" i="5"/>
  <c r="AQ30" i="5"/>
  <c r="AQ83" i="5"/>
  <c r="AP62" i="5"/>
  <c r="AO41" i="5"/>
  <c r="AR55" i="5"/>
  <c r="AP25" i="5"/>
  <c r="AO46" i="5"/>
  <c r="AQ47" i="5"/>
  <c r="AO82" i="5"/>
  <c r="AO73" i="5"/>
  <c r="AP12" i="5"/>
  <c r="AP17" i="5"/>
  <c r="AP45" i="5"/>
  <c r="AP43" i="5"/>
  <c r="AO98" i="5"/>
  <c r="AO47" i="5"/>
  <c r="AP46" i="5"/>
  <c r="AQ21" i="5"/>
  <c r="AO17" i="5"/>
  <c r="AQ23" i="5"/>
  <c r="AO14" i="5"/>
  <c r="AO24" i="5"/>
  <c r="AP23" i="5"/>
  <c r="AO62" i="5"/>
  <c r="AO91" i="5"/>
  <c r="AP48" i="5"/>
  <c r="AP77" i="5"/>
  <c r="AP98" i="5"/>
  <c r="AO77" i="5"/>
  <c r="AQ55" i="5"/>
  <c r="AP34" i="5"/>
  <c r="AO70" i="5"/>
  <c r="AO99" i="5"/>
  <c r="AP56" i="5"/>
  <c r="AP85" i="5"/>
  <c r="AO48" i="5"/>
  <c r="AO90" i="5"/>
  <c r="AQ68" i="5"/>
  <c r="AP47" i="5"/>
  <c r="AP99" i="5"/>
  <c r="AQ81" i="5"/>
  <c r="AP60" i="5"/>
  <c r="AO39" i="5"/>
  <c r="AO92" i="5"/>
  <c r="AQ70" i="5"/>
  <c r="AP49" i="5"/>
  <c r="AO28" i="5"/>
  <c r="AO81" i="5"/>
  <c r="AQ59" i="5"/>
  <c r="AP38" i="5"/>
  <c r="AS20" i="5"/>
  <c r="AP20" i="5"/>
  <c r="AQ85" i="5"/>
  <c r="AO43" i="5"/>
  <c r="AO72" i="5"/>
  <c r="AQ95" i="5"/>
  <c r="AP74" i="5"/>
  <c r="AO53" i="5"/>
  <c r="AQ31" i="5"/>
  <c r="AQ64" i="5"/>
  <c r="AQ93" i="5"/>
  <c r="AO51" i="5"/>
  <c r="AO80" i="5"/>
  <c r="AQ42" i="5"/>
  <c r="AP87" i="5"/>
  <c r="AO66" i="5"/>
  <c r="AQ44" i="5"/>
  <c r="AP100" i="5"/>
  <c r="AO79" i="5"/>
  <c r="AQ57" i="5"/>
  <c r="AP36" i="5"/>
  <c r="AP89" i="5"/>
  <c r="AO68" i="5"/>
  <c r="AQ46" i="5"/>
  <c r="AQ99" i="5"/>
  <c r="AP78" i="5"/>
  <c r="AO57" i="5"/>
  <c r="AQ35" i="5"/>
  <c r="AR20" i="5"/>
  <c r="AP19" i="5"/>
  <c r="AO26" i="5"/>
  <c r="AO25" i="5"/>
  <c r="AO12" i="5"/>
  <c r="AQ20" i="5"/>
  <c r="AO94" i="5"/>
  <c r="AP51" i="5"/>
  <c r="AP80" i="5"/>
  <c r="AQ37" i="5"/>
  <c r="AQ66" i="5"/>
  <c r="AO93" i="5"/>
  <c r="AQ71" i="5"/>
  <c r="AP50" i="5"/>
  <c r="AO29" i="5"/>
  <c r="AP59" i="5"/>
  <c r="AP88" i="5"/>
  <c r="AQ45" i="5"/>
  <c r="AQ74" i="5"/>
  <c r="AP37" i="5"/>
  <c r="AQ84" i="5"/>
  <c r="AP63" i="5"/>
  <c r="AO42" i="5"/>
  <c r="AQ97" i="5"/>
  <c r="AP76" i="5"/>
  <c r="AO55" i="5"/>
  <c r="AQ33" i="5"/>
  <c r="AQ86" i="5"/>
  <c r="AP65" i="5"/>
  <c r="AO44" i="5"/>
  <c r="AO97" i="5"/>
  <c r="AQ75" i="5"/>
  <c r="AP54" i="5"/>
  <c r="AO33" i="5"/>
  <c r="AQ18" i="5"/>
  <c r="AT18" i="5"/>
  <c r="AR32" i="5"/>
  <c r="AO18" i="5"/>
  <c r="AO32" i="5"/>
  <c r="AR18" i="5"/>
  <c r="AS32" i="5"/>
  <c r="AP32" i="5"/>
  <c r="AS18" i="5"/>
  <c r="AT32" i="5"/>
  <c r="AP18" i="5"/>
  <c r="AQ32" i="5"/>
  <c r="AO20" i="5"/>
  <c r="AO21" i="5"/>
  <c r="AQ22" i="5"/>
  <c r="AO10" i="5"/>
  <c r="AQ17" i="5"/>
  <c r="AP14" i="5"/>
  <c r="AP83" i="5"/>
  <c r="AQ40" i="5"/>
  <c r="AQ69" i="5"/>
  <c r="AQ98" i="5"/>
  <c r="AO56" i="5"/>
  <c r="AQ87" i="5"/>
  <c r="AP66" i="5"/>
  <c r="AO45" i="5"/>
  <c r="AP91" i="5"/>
  <c r="AQ48" i="5"/>
  <c r="AQ77" i="5"/>
  <c r="AO35" i="5"/>
  <c r="AO64" i="5"/>
  <c r="AQ100" i="5"/>
  <c r="AP79" i="5"/>
  <c r="AO58" i="5"/>
  <c r="AQ36" i="5"/>
  <c r="AP92" i="5"/>
  <c r="AO71" i="5"/>
  <c r="AQ49" i="5"/>
  <c r="AP28" i="5"/>
  <c r="AP81" i="5"/>
  <c r="AO60" i="5"/>
  <c r="AQ38" i="5"/>
  <c r="AQ91" i="5"/>
  <c r="AP70" i="5"/>
  <c r="AO49" i="5"/>
  <c r="AQ27" i="5"/>
  <c r="BL4" i="13"/>
  <c r="I10" i="21"/>
  <c r="AC10" i="21" s="1"/>
  <c r="J9" i="3"/>
  <c r="L20" i="13" s="1"/>
  <c r="J8" i="3"/>
  <c r="I8" i="13" s="1"/>
  <c r="J7" i="3"/>
  <c r="J6" i="3"/>
  <c r="S4" i="13"/>
  <c r="L25" i="13"/>
  <c r="E8" i="13"/>
  <c r="E81" i="13" s="1"/>
  <c r="F8" i="13"/>
  <c r="F59" i="13" s="1"/>
  <c r="G8" i="13"/>
  <c r="G59" i="13" s="1"/>
  <c r="J5" i="3"/>
  <c r="H8" i="13" s="1"/>
  <c r="D5" i="13"/>
  <c r="AP20" i="13" s="1"/>
  <c r="J46" i="21"/>
  <c r="J44" i="21"/>
  <c r="C45" i="21"/>
  <c r="E45" i="21"/>
  <c r="C26" i="5"/>
  <c r="C35" i="5"/>
  <c r="C36" i="5"/>
  <c r="C37" i="5"/>
  <c r="C10" i="5"/>
  <c r="C11" i="5"/>
  <c r="C12" i="5"/>
  <c r="C13" i="5"/>
  <c r="C14" i="5"/>
  <c r="C18" i="5"/>
  <c r="L24" i="13"/>
  <c r="C19" i="5"/>
  <c r="F19" i="5"/>
  <c r="F19" i="21" s="1"/>
  <c r="C20" i="5"/>
  <c r="C21" i="5"/>
  <c r="C22" i="5"/>
  <c r="C23" i="5"/>
  <c r="C24" i="5"/>
  <c r="C25" i="5"/>
  <c r="C27" i="5"/>
  <c r="C31" i="5"/>
  <c r="C32" i="5"/>
  <c r="C33" i="5"/>
  <c r="C34" i="5"/>
  <c r="C38" i="5"/>
  <c r="C39" i="5"/>
  <c r="C40" i="5"/>
  <c r="C44" i="5"/>
  <c r="L44" i="13"/>
  <c r="C45" i="5"/>
  <c r="C46" i="5"/>
  <c r="C47" i="5"/>
  <c r="C48" i="5"/>
  <c r="C49" i="5"/>
  <c r="C53" i="5"/>
  <c r="C54" i="5"/>
  <c r="C55" i="5"/>
  <c r="C56" i="5"/>
  <c r="C60" i="5"/>
  <c r="C61" i="5"/>
  <c r="F61" i="5"/>
  <c r="F61" i="21" s="1"/>
  <c r="C62" i="5"/>
  <c r="C63" i="5"/>
  <c r="F63" i="5"/>
  <c r="F63" i="21" s="1"/>
  <c r="C64" i="5"/>
  <c r="C68" i="5"/>
  <c r="C69" i="5"/>
  <c r="C70" i="5"/>
  <c r="C71" i="5"/>
  <c r="C75" i="5"/>
  <c r="C76" i="5"/>
  <c r="C77" i="5"/>
  <c r="C78" i="5"/>
  <c r="C79" i="5"/>
  <c r="C83" i="5"/>
  <c r="L82" i="13"/>
  <c r="C84" i="5"/>
  <c r="C85" i="5"/>
  <c r="C86" i="5"/>
  <c r="C87" i="5"/>
  <c r="C46" i="21"/>
  <c r="E46" i="21"/>
  <c r="C47" i="21"/>
  <c r="E47" i="21"/>
  <c r="C48" i="21"/>
  <c r="E48" i="21"/>
  <c r="C49" i="21"/>
  <c r="E49" i="21"/>
  <c r="E44" i="21"/>
  <c r="E62" i="21"/>
  <c r="E64" i="21"/>
  <c r="E83" i="21"/>
  <c r="E84" i="21"/>
  <c r="E85" i="21"/>
  <c r="E86" i="21"/>
  <c r="E87" i="21"/>
  <c r="E91" i="21"/>
  <c r="E92" i="21"/>
  <c r="E93" i="21"/>
  <c r="E94" i="21"/>
  <c r="E95" i="21"/>
  <c r="E96" i="21"/>
  <c r="E97" i="21"/>
  <c r="E98" i="21"/>
  <c r="E99" i="21"/>
  <c r="E31" i="21"/>
  <c r="E32" i="21"/>
  <c r="E33" i="21"/>
  <c r="E34" i="21"/>
  <c r="E35" i="21"/>
  <c r="E36" i="21"/>
  <c r="E37" i="21"/>
  <c r="E38" i="21"/>
  <c r="E39" i="21"/>
  <c r="E40" i="21"/>
  <c r="E18" i="21"/>
  <c r="E19" i="21"/>
  <c r="E20" i="21"/>
  <c r="E21" i="21"/>
  <c r="E22" i="21"/>
  <c r="E23" i="21"/>
  <c r="E24" i="21"/>
  <c r="E25" i="21"/>
  <c r="E26" i="21"/>
  <c r="E27" i="21"/>
  <c r="E75" i="21"/>
  <c r="E76" i="21"/>
  <c r="E77" i="21"/>
  <c r="E78" i="21"/>
  <c r="E79" i="21"/>
  <c r="E10" i="21"/>
  <c r="E11" i="21"/>
  <c r="E12" i="21"/>
  <c r="E13" i="21"/>
  <c r="E14" i="21"/>
  <c r="E60" i="21"/>
  <c r="E61" i="21"/>
  <c r="E63" i="21"/>
  <c r="C53" i="21"/>
  <c r="E53" i="21"/>
  <c r="C54" i="21"/>
  <c r="E54" i="21"/>
  <c r="C55" i="21"/>
  <c r="E55" i="21"/>
  <c r="C56" i="21"/>
  <c r="E56" i="21"/>
  <c r="E68" i="21"/>
  <c r="E69" i="21"/>
  <c r="E70" i="21"/>
  <c r="E71" i="21"/>
  <c r="J11" i="21"/>
  <c r="C10" i="21"/>
  <c r="N6" i="11"/>
  <c r="E54" i="3"/>
  <c r="D3" i="12"/>
  <c r="G95" i="16"/>
  <c r="P97" i="13" s="1"/>
  <c r="N88" i="16"/>
  <c r="N89" i="16"/>
  <c r="N90" i="16"/>
  <c r="N91" i="16"/>
  <c r="N92" i="16"/>
  <c r="G18" i="16"/>
  <c r="P20" i="13" s="1"/>
  <c r="G19" i="16"/>
  <c r="P21" i="13" s="1"/>
  <c r="G20" i="16"/>
  <c r="P22" i="13" s="1"/>
  <c r="G21" i="16"/>
  <c r="P23" i="13" s="1"/>
  <c r="G22" i="16"/>
  <c r="P24" i="13" s="1"/>
  <c r="G23" i="16"/>
  <c r="P25" i="13" s="1"/>
  <c r="L5" i="3"/>
  <c r="H27" i="16"/>
  <c r="H40" i="16"/>
  <c r="H56" i="16"/>
  <c r="H63" i="16"/>
  <c r="H70" i="16"/>
  <c r="H78" i="16"/>
  <c r="H86" i="16"/>
  <c r="H15" i="16"/>
  <c r="F2" i="3"/>
  <c r="B17" i="3"/>
  <c r="G8" i="16"/>
  <c r="P10" i="13" s="1"/>
  <c r="G9" i="16"/>
  <c r="P11" i="13" s="1"/>
  <c r="G10" i="16"/>
  <c r="P12" i="13" s="1"/>
  <c r="G11" i="16"/>
  <c r="P13" i="13" s="1"/>
  <c r="G12" i="16"/>
  <c r="G13" i="16"/>
  <c r="G16" i="16"/>
  <c r="H16" i="16" s="1"/>
  <c r="G17" i="16"/>
  <c r="G24" i="16"/>
  <c r="P26" i="13" s="1"/>
  <c r="G25" i="16"/>
  <c r="P27" i="13" s="1"/>
  <c r="G28" i="16"/>
  <c r="H28" i="16" s="1"/>
  <c r="G29" i="16"/>
  <c r="P31" i="13" s="1"/>
  <c r="G30" i="16"/>
  <c r="P32" i="13" s="1"/>
  <c r="G31" i="16"/>
  <c r="P33" i="13" s="1"/>
  <c r="G32" i="16"/>
  <c r="G33" i="16"/>
  <c r="P35" i="13" s="1"/>
  <c r="G34" i="16"/>
  <c r="P36" i="13" s="1"/>
  <c r="G35" i="16"/>
  <c r="P37" i="13" s="1"/>
  <c r="G36" i="16"/>
  <c r="P38" i="13" s="1"/>
  <c r="G37" i="16"/>
  <c r="P39" i="13" s="1"/>
  <c r="G38" i="16"/>
  <c r="P40" i="13" s="1"/>
  <c r="G41" i="16"/>
  <c r="H41" i="16" s="1"/>
  <c r="G42" i="16"/>
  <c r="P44" i="13" s="1"/>
  <c r="G43" i="16"/>
  <c r="P45" i="13" s="1"/>
  <c r="G44" i="16"/>
  <c r="P46" i="13" s="1"/>
  <c r="G45" i="16"/>
  <c r="P47" i="13" s="1"/>
  <c r="G46" i="16"/>
  <c r="P48" i="13" s="1"/>
  <c r="G47" i="16"/>
  <c r="P49" i="13" s="1"/>
  <c r="H49" i="16"/>
  <c r="G50" i="16"/>
  <c r="H50" i="16" s="1"/>
  <c r="G51" i="16"/>
  <c r="P53" i="13" s="1"/>
  <c r="G52" i="16"/>
  <c r="P54" i="13" s="1"/>
  <c r="G53" i="16"/>
  <c r="P55" i="13" s="1"/>
  <c r="G54" i="16"/>
  <c r="P56" i="13" s="1"/>
  <c r="G57" i="16"/>
  <c r="H57" i="16" s="1"/>
  <c r="G58" i="16"/>
  <c r="G59" i="16"/>
  <c r="P61" i="13" s="1"/>
  <c r="G60" i="16"/>
  <c r="P62" i="13" s="1"/>
  <c r="G61" i="16"/>
  <c r="G64" i="16"/>
  <c r="H64" i="16" s="1"/>
  <c r="G65" i="16"/>
  <c r="P67" i="13" s="1"/>
  <c r="G66" i="16"/>
  <c r="P68" i="13" s="1"/>
  <c r="G67" i="16"/>
  <c r="G68" i="16"/>
  <c r="P70" i="13" s="1"/>
  <c r="G71" i="16"/>
  <c r="H71" i="16" s="1"/>
  <c r="G72" i="16"/>
  <c r="P74" i="13" s="1"/>
  <c r="G73" i="16"/>
  <c r="P75" i="13" s="1"/>
  <c r="G74" i="16"/>
  <c r="P76" i="13" s="1"/>
  <c r="G75" i="16"/>
  <c r="P77" i="13" s="1"/>
  <c r="G76" i="16"/>
  <c r="P78" i="13" s="1"/>
  <c r="G79" i="16"/>
  <c r="H79" i="16" s="1"/>
  <c r="G80" i="16"/>
  <c r="P82" i="13" s="1"/>
  <c r="G81" i="16"/>
  <c r="P83" i="13" s="1"/>
  <c r="G82" i="16"/>
  <c r="P84" i="13" s="1"/>
  <c r="G83" i="16"/>
  <c r="P85" i="13" s="1"/>
  <c r="G84" i="16"/>
  <c r="P86" i="13" s="1"/>
  <c r="G87" i="16"/>
  <c r="H87" i="16" s="1"/>
  <c r="G88" i="16"/>
  <c r="P90" i="13" s="1"/>
  <c r="G89" i="16"/>
  <c r="P91" i="13" s="1"/>
  <c r="G90" i="16"/>
  <c r="P92" i="13" s="1"/>
  <c r="G91" i="16"/>
  <c r="P93" i="13" s="1"/>
  <c r="G92" i="16"/>
  <c r="P94" i="13" s="1"/>
  <c r="G93" i="16"/>
  <c r="P95" i="13" s="1"/>
  <c r="G94" i="16"/>
  <c r="P96" i="13" s="1"/>
  <c r="G7" i="16"/>
  <c r="N7"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52" i="16"/>
  <c r="N53" i="16"/>
  <c r="N54" i="16"/>
  <c r="N55" i="16"/>
  <c r="N56" i="16"/>
  <c r="N57" i="16"/>
  <c r="N58" i="16"/>
  <c r="N59" i="16"/>
  <c r="N60" i="16"/>
  <c r="N61" i="16"/>
  <c r="N62" i="16"/>
  <c r="N63" i="16"/>
  <c r="N64" i="16"/>
  <c r="N65" i="16"/>
  <c r="N66" i="16"/>
  <c r="N67" i="16"/>
  <c r="N68" i="16"/>
  <c r="N69" i="16"/>
  <c r="N70" i="16"/>
  <c r="N71" i="16"/>
  <c r="N72" i="16"/>
  <c r="N73" i="16"/>
  <c r="N74" i="16"/>
  <c r="N75" i="16"/>
  <c r="N76" i="16"/>
  <c r="N77" i="16"/>
  <c r="N78" i="16"/>
  <c r="N79" i="16"/>
  <c r="N80" i="16"/>
  <c r="N81" i="16"/>
  <c r="N82" i="16"/>
  <c r="N83" i="16"/>
  <c r="N84" i="16"/>
  <c r="N85" i="16"/>
  <c r="N86" i="16"/>
  <c r="N87" i="16"/>
  <c r="N6" i="16"/>
  <c r="P98" i="13"/>
  <c r="S98" i="16"/>
  <c r="G55" i="16"/>
  <c r="J10" i="21"/>
  <c r="AB9" i="21"/>
  <c r="AB16" i="21"/>
  <c r="AB17" i="21"/>
  <c r="AB29" i="21"/>
  <c r="AB30" i="21"/>
  <c r="AB42" i="21"/>
  <c r="AB43" i="21"/>
  <c r="AB51" i="21"/>
  <c r="AB52" i="21"/>
  <c r="AB58" i="21"/>
  <c r="AB59" i="21"/>
  <c r="AB66" i="21"/>
  <c r="AB67" i="21"/>
  <c r="AB73" i="21"/>
  <c r="AB74" i="21"/>
  <c r="AB81" i="21"/>
  <c r="AB82" i="21"/>
  <c r="AB89" i="21"/>
  <c r="AB90" i="21"/>
  <c r="H10" i="21"/>
  <c r="I11" i="21"/>
  <c r="AC11" i="21" s="1"/>
  <c r="I26" i="21"/>
  <c r="AC26" i="21" s="1"/>
  <c r="I32" i="21"/>
  <c r="AC32" i="21" s="1"/>
  <c r="C11" i="21"/>
  <c r="H11" i="21"/>
  <c r="I12" i="21"/>
  <c r="AC12" i="21" s="1"/>
  <c r="I35" i="21"/>
  <c r="AC35" i="21" s="1"/>
  <c r="I33" i="21"/>
  <c r="AC33" i="21" s="1"/>
  <c r="C12" i="21"/>
  <c r="H12" i="21"/>
  <c r="I13" i="21"/>
  <c r="AC13" i="21" s="1"/>
  <c r="I36" i="21"/>
  <c r="AC36" i="21" s="1"/>
  <c r="I34" i="21"/>
  <c r="AC34" i="21" s="1"/>
  <c r="J12" i="21"/>
  <c r="C13" i="21"/>
  <c r="H13" i="21"/>
  <c r="I14" i="21"/>
  <c r="AC14" i="21" s="1"/>
  <c r="I37" i="21"/>
  <c r="AC37" i="21" s="1"/>
  <c r="J13" i="21"/>
  <c r="C14" i="21"/>
  <c r="H14" i="21"/>
  <c r="I15" i="21"/>
  <c r="I39" i="21"/>
  <c r="AC39" i="21" s="1"/>
  <c r="J14" i="21"/>
  <c r="H15" i="21"/>
  <c r="J15" i="21"/>
  <c r="H17" i="21"/>
  <c r="I17" i="21"/>
  <c r="J17" i="21"/>
  <c r="C18" i="21"/>
  <c r="H18" i="21"/>
  <c r="I18" i="21"/>
  <c r="AC18" i="21" s="1"/>
  <c r="I21" i="21"/>
  <c r="AC21" i="21" s="1"/>
  <c r="I22" i="21"/>
  <c r="AC22" i="21" s="1"/>
  <c r="I40" i="21"/>
  <c r="AC40" i="21" s="1"/>
  <c r="J18" i="21"/>
  <c r="C19" i="21"/>
  <c r="H19" i="21"/>
  <c r="I19" i="21"/>
  <c r="AC19" i="21" s="1"/>
  <c r="I25" i="21"/>
  <c r="AC25" i="21" s="1"/>
  <c r="I30" i="21"/>
  <c r="J19" i="21"/>
  <c r="C20" i="21"/>
  <c r="H20" i="21"/>
  <c r="I20" i="21"/>
  <c r="AC20" i="21" s="1"/>
  <c r="I23" i="21"/>
  <c r="AC23" i="21" s="1"/>
  <c r="J20" i="21"/>
  <c r="C21" i="21"/>
  <c r="H21" i="21"/>
  <c r="I24" i="21"/>
  <c r="AC24" i="21" s="1"/>
  <c r="I45" i="21"/>
  <c r="AC45" i="21" s="1"/>
  <c r="J21" i="21"/>
  <c r="C22" i="21"/>
  <c r="H22" i="21"/>
  <c r="I48" i="21"/>
  <c r="AC48" i="21" s="1"/>
  <c r="J22" i="21"/>
  <c r="C23" i="21"/>
  <c r="H23" i="21"/>
  <c r="I54" i="21"/>
  <c r="AC54" i="21" s="1"/>
  <c r="J23" i="21"/>
  <c r="C24" i="21"/>
  <c r="H24" i="21"/>
  <c r="I27" i="21"/>
  <c r="AC27" i="21" s="1"/>
  <c r="I64" i="21"/>
  <c r="AC64" i="21" s="1"/>
  <c r="J24" i="21"/>
  <c r="I75" i="21"/>
  <c r="AC75" i="21" s="1"/>
  <c r="I94" i="21"/>
  <c r="AC94" i="21" s="1"/>
  <c r="I88" i="21"/>
  <c r="I44" i="21"/>
  <c r="AC44" i="21" s="1"/>
  <c r="L10" i="21"/>
  <c r="M10" i="21"/>
  <c r="N10" i="21"/>
  <c r="AD10" i="21" s="1"/>
  <c r="N11" i="21"/>
  <c r="AD11" i="21" s="1"/>
  <c r="N26" i="21"/>
  <c r="AD26" i="21" s="1"/>
  <c r="N32" i="21"/>
  <c r="AD32" i="21" s="1"/>
  <c r="O10" i="21"/>
  <c r="P10" i="21"/>
  <c r="R10" i="21"/>
  <c r="S10" i="21"/>
  <c r="T10" i="21"/>
  <c r="AE10" i="21" s="1"/>
  <c r="T11" i="21"/>
  <c r="AE11" i="21" s="1"/>
  <c r="T26" i="21"/>
  <c r="AE26" i="21" s="1"/>
  <c r="T32" i="21"/>
  <c r="AE32" i="21" s="1"/>
  <c r="U10" i="21"/>
  <c r="L11" i="21"/>
  <c r="M11" i="21"/>
  <c r="N12" i="21"/>
  <c r="AD12" i="21" s="1"/>
  <c r="N35" i="21"/>
  <c r="AD35" i="21" s="1"/>
  <c r="N33" i="21"/>
  <c r="AD33" i="21" s="1"/>
  <c r="O11" i="21"/>
  <c r="P11" i="21"/>
  <c r="R11" i="21"/>
  <c r="S11" i="21"/>
  <c r="T12" i="21"/>
  <c r="AE12" i="21" s="1"/>
  <c r="T35" i="21"/>
  <c r="AE35" i="21" s="1"/>
  <c r="T33" i="21"/>
  <c r="AE33" i="21" s="1"/>
  <c r="U11" i="21"/>
  <c r="V11" i="21"/>
  <c r="L12" i="21"/>
  <c r="M12" i="21"/>
  <c r="N13" i="21"/>
  <c r="AD13" i="21" s="1"/>
  <c r="N36" i="21"/>
  <c r="AD36" i="21" s="1"/>
  <c r="N34" i="21"/>
  <c r="AD34" i="21" s="1"/>
  <c r="O12" i="21"/>
  <c r="P12" i="21"/>
  <c r="R12" i="21"/>
  <c r="S12" i="21"/>
  <c r="T13" i="21"/>
  <c r="AE13" i="21" s="1"/>
  <c r="T36" i="21"/>
  <c r="AE36" i="21" s="1"/>
  <c r="T34" i="21"/>
  <c r="AE34" i="21" s="1"/>
  <c r="U12" i="21"/>
  <c r="V12" i="21"/>
  <c r="L13" i="21"/>
  <c r="M13" i="21"/>
  <c r="N14" i="21"/>
  <c r="AD14" i="21" s="1"/>
  <c r="N37" i="21"/>
  <c r="AD37" i="21" s="1"/>
  <c r="O13" i="21"/>
  <c r="P13" i="21"/>
  <c r="R13" i="21"/>
  <c r="S13" i="21"/>
  <c r="T14" i="21"/>
  <c r="AE14" i="21" s="1"/>
  <c r="T37" i="21"/>
  <c r="AE37" i="21" s="1"/>
  <c r="U13" i="21"/>
  <c r="V13" i="21"/>
  <c r="L14" i="21"/>
  <c r="M14" i="21"/>
  <c r="N15" i="21"/>
  <c r="N39" i="21"/>
  <c r="AD39" i="21" s="1"/>
  <c r="O14" i="21"/>
  <c r="P14" i="21"/>
  <c r="R14" i="21"/>
  <c r="S14" i="21"/>
  <c r="T15" i="21"/>
  <c r="T39" i="21"/>
  <c r="AE39" i="21" s="1"/>
  <c r="U14" i="21"/>
  <c r="V14" i="21"/>
  <c r="L15" i="21"/>
  <c r="M15" i="21"/>
  <c r="O15" i="21"/>
  <c r="P15" i="21"/>
  <c r="R15" i="21"/>
  <c r="S15" i="21"/>
  <c r="U15" i="21"/>
  <c r="V15" i="21"/>
  <c r="L17" i="21"/>
  <c r="M17" i="21"/>
  <c r="N17" i="21"/>
  <c r="O17" i="21"/>
  <c r="P17" i="21"/>
  <c r="R17" i="21"/>
  <c r="S17" i="21"/>
  <c r="T17" i="21"/>
  <c r="U17" i="21"/>
  <c r="V17" i="21"/>
  <c r="L18" i="21"/>
  <c r="M18" i="21"/>
  <c r="N18" i="21"/>
  <c r="AD18" i="21" s="1"/>
  <c r="N21" i="21"/>
  <c r="AD21" i="21" s="1"/>
  <c r="N22" i="21"/>
  <c r="AD22" i="21" s="1"/>
  <c r="N40" i="21"/>
  <c r="AD40" i="21" s="1"/>
  <c r="O18" i="21"/>
  <c r="P18" i="21"/>
  <c r="R18" i="21"/>
  <c r="S18" i="21"/>
  <c r="T18" i="21"/>
  <c r="AE18" i="21" s="1"/>
  <c r="T21" i="21"/>
  <c r="AE21" i="21" s="1"/>
  <c r="T22" i="21"/>
  <c r="AE22" i="21" s="1"/>
  <c r="T40" i="21"/>
  <c r="AE40" i="21" s="1"/>
  <c r="U18" i="21"/>
  <c r="V18" i="21"/>
  <c r="L19" i="21"/>
  <c r="M19" i="21"/>
  <c r="N19" i="21"/>
  <c r="AD19" i="21" s="1"/>
  <c r="N25" i="21"/>
  <c r="AD25" i="21" s="1"/>
  <c r="N30" i="21"/>
  <c r="O19" i="21"/>
  <c r="P19" i="21"/>
  <c r="R19" i="21"/>
  <c r="S19" i="21"/>
  <c r="T19" i="21"/>
  <c r="AE19" i="21" s="1"/>
  <c r="T25" i="21"/>
  <c r="AE25" i="21" s="1"/>
  <c r="T30" i="21"/>
  <c r="U19" i="21"/>
  <c r="V19" i="21"/>
  <c r="L20" i="21"/>
  <c r="M20" i="21"/>
  <c r="N20" i="21"/>
  <c r="AD20" i="21" s="1"/>
  <c r="N23" i="21"/>
  <c r="AD23" i="21" s="1"/>
  <c r="O20" i="21"/>
  <c r="P20" i="21"/>
  <c r="R20" i="21"/>
  <c r="S20" i="21"/>
  <c r="T20" i="21"/>
  <c r="AE20" i="21" s="1"/>
  <c r="T23" i="21"/>
  <c r="AE23" i="21" s="1"/>
  <c r="U20" i="21"/>
  <c r="V20" i="21"/>
  <c r="L21" i="21"/>
  <c r="M21" i="21"/>
  <c r="N24" i="21"/>
  <c r="AD24" i="21" s="1"/>
  <c r="N45" i="21"/>
  <c r="AD45" i="21" s="1"/>
  <c r="O21" i="21"/>
  <c r="P21" i="21"/>
  <c r="R21" i="21"/>
  <c r="S21" i="21"/>
  <c r="T24" i="21"/>
  <c r="AE24" i="21" s="1"/>
  <c r="T45" i="21"/>
  <c r="AE45" i="21" s="1"/>
  <c r="U21" i="21"/>
  <c r="V21" i="21"/>
  <c r="L22" i="21"/>
  <c r="M22" i="21"/>
  <c r="N48" i="21"/>
  <c r="AD48" i="21" s="1"/>
  <c r="O22" i="21"/>
  <c r="P22" i="21"/>
  <c r="R22" i="21"/>
  <c r="S22" i="21"/>
  <c r="T48" i="21"/>
  <c r="AE48" i="21" s="1"/>
  <c r="U22" i="21"/>
  <c r="V22" i="21"/>
  <c r="L23" i="21"/>
  <c r="M23" i="21"/>
  <c r="N54" i="21"/>
  <c r="AD54" i="21" s="1"/>
  <c r="O23" i="21"/>
  <c r="P23" i="21"/>
  <c r="R23" i="21"/>
  <c r="S23" i="21"/>
  <c r="T54" i="21"/>
  <c r="U23" i="21"/>
  <c r="V23" i="21"/>
  <c r="L24" i="21"/>
  <c r="M24" i="21"/>
  <c r="N27" i="21"/>
  <c r="AD27" i="21" s="1"/>
  <c r="N64" i="21"/>
  <c r="AD64" i="21" s="1"/>
  <c r="O24" i="21"/>
  <c r="P24" i="21"/>
  <c r="R24" i="21"/>
  <c r="S24" i="21"/>
  <c r="T27" i="21"/>
  <c r="AE27" i="21" s="1"/>
  <c r="T64" i="21"/>
  <c r="AE64" i="21" s="1"/>
  <c r="U24" i="21"/>
  <c r="V24" i="21"/>
  <c r="I28" i="21"/>
  <c r="I69" i="21"/>
  <c r="AC69" i="21" s="1"/>
  <c r="J25" i="21"/>
  <c r="L25" i="21"/>
  <c r="M25" i="21"/>
  <c r="N28" i="21"/>
  <c r="N69" i="21"/>
  <c r="AD69" i="21" s="1"/>
  <c r="O25" i="21"/>
  <c r="P25" i="21"/>
  <c r="R25" i="21"/>
  <c r="S25" i="21"/>
  <c r="T28" i="21"/>
  <c r="T69" i="21"/>
  <c r="AE69" i="21" s="1"/>
  <c r="U25" i="21"/>
  <c r="V25" i="21"/>
  <c r="I31" i="21"/>
  <c r="AC31" i="21" s="1"/>
  <c r="I70" i="21"/>
  <c r="AC70" i="21" s="1"/>
  <c r="J26" i="21"/>
  <c r="L26" i="21"/>
  <c r="M26" i="21"/>
  <c r="N31" i="21"/>
  <c r="AD31" i="21" s="1"/>
  <c r="N70" i="21"/>
  <c r="AD70" i="21" s="1"/>
  <c r="O26" i="21"/>
  <c r="P26" i="21"/>
  <c r="R26" i="21"/>
  <c r="S26" i="21"/>
  <c r="T31" i="21"/>
  <c r="AE31" i="21" s="1"/>
  <c r="T70" i="21"/>
  <c r="AE70" i="21" s="1"/>
  <c r="U26" i="21"/>
  <c r="V26" i="21"/>
  <c r="I71" i="21"/>
  <c r="AC71" i="21" s="1"/>
  <c r="J27" i="21"/>
  <c r="L27" i="21"/>
  <c r="M27" i="21"/>
  <c r="N71" i="21"/>
  <c r="AD71" i="21" s="1"/>
  <c r="O27" i="21"/>
  <c r="P27" i="21"/>
  <c r="R27" i="21"/>
  <c r="S27" i="21"/>
  <c r="T71" i="21"/>
  <c r="AE71" i="21" s="1"/>
  <c r="U27" i="21"/>
  <c r="V27" i="21"/>
  <c r="J28" i="21"/>
  <c r="L28" i="21"/>
  <c r="M28" i="21"/>
  <c r="O28" i="21"/>
  <c r="P28" i="21"/>
  <c r="R28" i="21"/>
  <c r="S28" i="21"/>
  <c r="U28" i="21"/>
  <c r="V28" i="21"/>
  <c r="J30" i="21"/>
  <c r="L30" i="21"/>
  <c r="M30" i="21"/>
  <c r="O30" i="21"/>
  <c r="P30" i="21"/>
  <c r="R30" i="21"/>
  <c r="S30" i="21"/>
  <c r="U30" i="21"/>
  <c r="V30" i="21"/>
  <c r="I92" i="21"/>
  <c r="AC92" i="21" s="1"/>
  <c r="J31" i="21"/>
  <c r="L31" i="21"/>
  <c r="M31" i="21"/>
  <c r="N92" i="21"/>
  <c r="AD92" i="21" s="1"/>
  <c r="O31" i="21"/>
  <c r="P31" i="21"/>
  <c r="R31" i="21"/>
  <c r="S31" i="21"/>
  <c r="T92" i="21"/>
  <c r="AE92" i="21" s="1"/>
  <c r="U31" i="21"/>
  <c r="V31" i="21"/>
  <c r="I93" i="21"/>
  <c r="AC93" i="21" s="1"/>
  <c r="I91" i="21"/>
  <c r="AC91" i="21" s="1"/>
  <c r="J32" i="21"/>
  <c r="L32" i="21"/>
  <c r="M32" i="21"/>
  <c r="N93" i="21"/>
  <c r="AD93" i="21" s="1"/>
  <c r="N91" i="21"/>
  <c r="AD91" i="21" s="1"/>
  <c r="O32" i="21"/>
  <c r="P32" i="21"/>
  <c r="R32" i="21"/>
  <c r="S32" i="21"/>
  <c r="T93" i="21"/>
  <c r="AE93" i="21" s="1"/>
  <c r="T91" i="21"/>
  <c r="AE91" i="21" s="1"/>
  <c r="U32" i="21"/>
  <c r="V32" i="21"/>
  <c r="I38" i="21"/>
  <c r="AC38" i="21" s="1"/>
  <c r="J33" i="21"/>
  <c r="L33" i="21"/>
  <c r="M33" i="21"/>
  <c r="N38" i="21"/>
  <c r="AD38" i="21" s="1"/>
  <c r="N94" i="21"/>
  <c r="AD94" i="21" s="1"/>
  <c r="O33" i="21"/>
  <c r="P33" i="21"/>
  <c r="R33" i="21"/>
  <c r="S33" i="21"/>
  <c r="T38" i="21"/>
  <c r="AE38" i="21" s="1"/>
  <c r="T94" i="21"/>
  <c r="AE94" i="21" s="1"/>
  <c r="U33" i="21"/>
  <c r="V33" i="21"/>
  <c r="I96" i="21"/>
  <c r="AC96" i="21" s="1"/>
  <c r="J34" i="21"/>
  <c r="L34" i="21"/>
  <c r="M34" i="21"/>
  <c r="N96" i="21"/>
  <c r="AD96" i="21" s="1"/>
  <c r="O34" i="21"/>
  <c r="P34" i="21"/>
  <c r="R34" i="21"/>
  <c r="S34" i="21"/>
  <c r="T96" i="21"/>
  <c r="AE96" i="21" s="1"/>
  <c r="U34" i="21"/>
  <c r="V34" i="21"/>
  <c r="I97" i="21"/>
  <c r="AC97" i="21" s="1"/>
  <c r="J35" i="21"/>
  <c r="L35" i="21"/>
  <c r="M35" i="21"/>
  <c r="N97" i="21"/>
  <c r="AD97" i="21" s="1"/>
  <c r="O35" i="21"/>
  <c r="P35" i="21"/>
  <c r="R35" i="21"/>
  <c r="S35" i="21"/>
  <c r="T97" i="21"/>
  <c r="AE97" i="21" s="1"/>
  <c r="U35" i="21"/>
  <c r="V35" i="21"/>
  <c r="I41" i="21"/>
  <c r="I98" i="21"/>
  <c r="AC98" i="21" s="1"/>
  <c r="I95" i="21"/>
  <c r="AC95" i="21" s="1"/>
  <c r="J36" i="21"/>
  <c r="L36" i="21"/>
  <c r="M36" i="21"/>
  <c r="N41" i="21"/>
  <c r="N98" i="21"/>
  <c r="AD98" i="21" s="1"/>
  <c r="N95" i="21"/>
  <c r="AD95" i="21" s="1"/>
  <c r="O36" i="21"/>
  <c r="P36" i="21"/>
  <c r="R36" i="21"/>
  <c r="S36" i="21"/>
  <c r="T41" i="21"/>
  <c r="T98" i="21"/>
  <c r="AE98" i="21" s="1"/>
  <c r="T95" i="21"/>
  <c r="AE95" i="21" s="1"/>
  <c r="U36" i="21"/>
  <c r="V36" i="21"/>
  <c r="J37" i="21"/>
  <c r="L37" i="21"/>
  <c r="M37" i="21"/>
  <c r="N44" i="21"/>
  <c r="AD44" i="21" s="1"/>
  <c r="O37" i="21"/>
  <c r="P37" i="21"/>
  <c r="R37" i="21"/>
  <c r="S37" i="21"/>
  <c r="T44" i="21"/>
  <c r="AE44" i="21" s="1"/>
  <c r="U37" i="21"/>
  <c r="V37" i="21"/>
  <c r="J38" i="21"/>
  <c r="L38" i="21"/>
  <c r="M38" i="21"/>
  <c r="O38" i="21"/>
  <c r="P38" i="21"/>
  <c r="R38" i="21"/>
  <c r="S38" i="21"/>
  <c r="U38" i="21"/>
  <c r="V38" i="21"/>
  <c r="I46" i="21"/>
  <c r="AC46" i="21" s="1"/>
  <c r="J39" i="21"/>
  <c r="L39" i="21"/>
  <c r="M39" i="21"/>
  <c r="N46" i="21"/>
  <c r="AD46" i="21" s="1"/>
  <c r="O39" i="21"/>
  <c r="P39" i="21"/>
  <c r="R39" i="21"/>
  <c r="S39" i="21"/>
  <c r="T46" i="21"/>
  <c r="AE46" i="21" s="1"/>
  <c r="U39" i="21"/>
  <c r="V39" i="21"/>
  <c r="I47" i="21"/>
  <c r="AC47" i="21" s="1"/>
  <c r="I99" i="21"/>
  <c r="AC99" i="21" s="1"/>
  <c r="J40" i="21"/>
  <c r="L40" i="21"/>
  <c r="M40" i="21"/>
  <c r="N47" i="21"/>
  <c r="AD47" i="21" s="1"/>
  <c r="N99" i="21"/>
  <c r="AD99" i="21" s="1"/>
  <c r="O40" i="21"/>
  <c r="P40" i="21"/>
  <c r="R40" i="21"/>
  <c r="S40" i="21"/>
  <c r="T47" i="21"/>
  <c r="AE47" i="21" s="1"/>
  <c r="T99" i="21"/>
  <c r="AE99" i="21" s="1"/>
  <c r="U40" i="21"/>
  <c r="V40" i="21"/>
  <c r="J41" i="21"/>
  <c r="L41" i="21"/>
  <c r="M41" i="21"/>
  <c r="O41" i="21"/>
  <c r="P41" i="21"/>
  <c r="R41" i="21"/>
  <c r="S41" i="21"/>
  <c r="U41" i="21"/>
  <c r="V41" i="21"/>
  <c r="I53" i="21"/>
  <c r="AC53" i="21" s="1"/>
  <c r="I55" i="21"/>
  <c r="AC55" i="21" s="1"/>
  <c r="I77" i="21"/>
  <c r="AC77" i="21" s="1"/>
  <c r="L44" i="21"/>
  <c r="M44" i="21"/>
  <c r="N53" i="21"/>
  <c r="AD53" i="21" s="1"/>
  <c r="N55" i="21"/>
  <c r="AD55" i="21" s="1"/>
  <c r="N77" i="21"/>
  <c r="AD77" i="21" s="1"/>
  <c r="O44" i="21"/>
  <c r="P44" i="21"/>
  <c r="R44" i="21"/>
  <c r="S44" i="21"/>
  <c r="T53" i="21"/>
  <c r="AE53" i="21" s="1"/>
  <c r="T55" i="21"/>
  <c r="AE55" i="21" s="1"/>
  <c r="T77" i="21"/>
  <c r="AE77" i="21" s="1"/>
  <c r="U44" i="21"/>
  <c r="V44" i="21"/>
  <c r="I76" i="21"/>
  <c r="AC76" i="21" s="1"/>
  <c r="I78" i="21"/>
  <c r="AC78" i="21" s="1"/>
  <c r="J45" i="21"/>
  <c r="L45" i="21"/>
  <c r="M45" i="21"/>
  <c r="N76" i="21"/>
  <c r="AD76" i="21" s="1"/>
  <c r="N78" i="21"/>
  <c r="AD78" i="21" s="1"/>
  <c r="O45" i="21"/>
  <c r="P45" i="21"/>
  <c r="R45" i="21"/>
  <c r="S45" i="21"/>
  <c r="T76" i="21"/>
  <c r="AE76" i="21" s="1"/>
  <c r="T78" i="21"/>
  <c r="AE78" i="21" s="1"/>
  <c r="U45" i="21"/>
  <c r="V45" i="21"/>
  <c r="I79" i="21"/>
  <c r="AC79" i="21" s="1"/>
  <c r="L46" i="21"/>
  <c r="M46" i="21"/>
  <c r="N79" i="21"/>
  <c r="AD79" i="21" s="1"/>
  <c r="O46" i="21"/>
  <c r="P46" i="21"/>
  <c r="R46" i="21"/>
  <c r="S46" i="21"/>
  <c r="T79" i="21"/>
  <c r="AE79" i="21" s="1"/>
  <c r="U46" i="21"/>
  <c r="V46" i="21"/>
  <c r="I56" i="21"/>
  <c r="AC56" i="21" s="1"/>
  <c r="J47" i="21"/>
  <c r="L47" i="21"/>
  <c r="M47" i="21"/>
  <c r="N56" i="21"/>
  <c r="AD56" i="21" s="1"/>
  <c r="O47" i="21"/>
  <c r="P47" i="21"/>
  <c r="R47" i="21"/>
  <c r="S47" i="21"/>
  <c r="T56" i="21"/>
  <c r="AE56" i="21" s="1"/>
  <c r="U47" i="21"/>
  <c r="V47" i="21"/>
  <c r="I57" i="21"/>
  <c r="J48" i="21"/>
  <c r="L48" i="21"/>
  <c r="M48" i="21"/>
  <c r="N57" i="21"/>
  <c r="O48" i="21"/>
  <c r="P48" i="21"/>
  <c r="R48" i="21"/>
  <c r="S48" i="21"/>
  <c r="T57" i="21"/>
  <c r="U48" i="21"/>
  <c r="V48" i="21"/>
  <c r="I49" i="21"/>
  <c r="AC49" i="21" s="1"/>
  <c r="I60" i="21"/>
  <c r="AC60" i="21" s="1"/>
  <c r="J49" i="21"/>
  <c r="L49" i="21"/>
  <c r="M49" i="21"/>
  <c r="N49" i="21"/>
  <c r="AD49" i="21" s="1"/>
  <c r="N60" i="21"/>
  <c r="AD60" i="21" s="1"/>
  <c r="O49" i="21"/>
  <c r="P49" i="21"/>
  <c r="R49" i="21"/>
  <c r="S49" i="21"/>
  <c r="T49" i="21"/>
  <c r="AE49" i="21" s="1"/>
  <c r="T60" i="21"/>
  <c r="AE60" i="21" s="1"/>
  <c r="U49" i="21"/>
  <c r="V49" i="21"/>
  <c r="I50" i="21"/>
  <c r="J50" i="21"/>
  <c r="L50" i="21"/>
  <c r="M50" i="21"/>
  <c r="N50" i="21"/>
  <c r="O50" i="21"/>
  <c r="P50" i="21"/>
  <c r="R50" i="21"/>
  <c r="S50" i="21"/>
  <c r="T50" i="21"/>
  <c r="U50" i="21"/>
  <c r="V50" i="21"/>
  <c r="I62" i="21"/>
  <c r="AC62" i="21" s="1"/>
  <c r="J53" i="21"/>
  <c r="L53" i="21"/>
  <c r="M53" i="21"/>
  <c r="N62" i="21"/>
  <c r="AD62" i="21" s="1"/>
  <c r="O53" i="21"/>
  <c r="P53" i="21"/>
  <c r="R53" i="21"/>
  <c r="S53" i="21"/>
  <c r="T62" i="21"/>
  <c r="AE62" i="21" s="1"/>
  <c r="U53" i="21"/>
  <c r="V53" i="21"/>
  <c r="I65" i="21"/>
  <c r="I68" i="21"/>
  <c r="AC68" i="21" s="1"/>
  <c r="I61" i="21"/>
  <c r="AC61" i="21" s="1"/>
  <c r="J54" i="21"/>
  <c r="L54" i="21"/>
  <c r="M54" i="21"/>
  <c r="N65" i="21"/>
  <c r="N68" i="21"/>
  <c r="AD68" i="21" s="1"/>
  <c r="N61" i="21"/>
  <c r="AD61" i="21" s="1"/>
  <c r="O54" i="21"/>
  <c r="P54" i="21"/>
  <c r="R54" i="21"/>
  <c r="S54" i="21"/>
  <c r="T65" i="21"/>
  <c r="T68" i="21"/>
  <c r="AE68" i="21" s="1"/>
  <c r="T61" i="21"/>
  <c r="AE61" i="21" s="1"/>
  <c r="AE54" i="21"/>
  <c r="U54" i="21"/>
  <c r="V54" i="21"/>
  <c r="I63" i="21"/>
  <c r="AC63" i="21" s="1"/>
  <c r="J55" i="21"/>
  <c r="L55" i="21"/>
  <c r="M55" i="21"/>
  <c r="N75" i="21"/>
  <c r="AD75" i="21" s="1"/>
  <c r="N63" i="21"/>
  <c r="AD63" i="21" s="1"/>
  <c r="O55" i="21"/>
  <c r="P55" i="21"/>
  <c r="R55" i="21"/>
  <c r="S55" i="21"/>
  <c r="T75" i="21"/>
  <c r="AE75" i="21" s="1"/>
  <c r="T63" i="21"/>
  <c r="AE63" i="21" s="1"/>
  <c r="U55" i="21"/>
  <c r="V55" i="21"/>
  <c r="J56" i="21"/>
  <c r="L56" i="21"/>
  <c r="M56" i="21"/>
  <c r="O56" i="21"/>
  <c r="P56" i="21"/>
  <c r="R56" i="21"/>
  <c r="S56" i="21"/>
  <c r="U56" i="21"/>
  <c r="V56" i="21"/>
  <c r="J57" i="21"/>
  <c r="L57" i="21"/>
  <c r="M57" i="21"/>
  <c r="O57" i="21"/>
  <c r="P57" i="21"/>
  <c r="R57" i="21"/>
  <c r="S57" i="21"/>
  <c r="U57" i="21"/>
  <c r="V57" i="21"/>
  <c r="I84" i="21"/>
  <c r="AC84" i="21" s="1"/>
  <c r="J60" i="21"/>
  <c r="L60" i="21"/>
  <c r="M60" i="21"/>
  <c r="N84" i="21"/>
  <c r="AD84" i="21" s="1"/>
  <c r="O60" i="21"/>
  <c r="P60" i="21"/>
  <c r="R60" i="21"/>
  <c r="S60" i="21"/>
  <c r="T84" i="21"/>
  <c r="AE84" i="21" s="1"/>
  <c r="U60" i="21"/>
  <c r="V60" i="21"/>
  <c r="I85" i="21"/>
  <c r="AC85" i="21" s="1"/>
  <c r="J61" i="21"/>
  <c r="L61" i="21"/>
  <c r="M61" i="21"/>
  <c r="N85" i="21"/>
  <c r="AD85" i="21" s="1"/>
  <c r="O61" i="21"/>
  <c r="P61" i="21"/>
  <c r="R61" i="21"/>
  <c r="S61" i="21"/>
  <c r="T85" i="21"/>
  <c r="AE85" i="21" s="1"/>
  <c r="U61" i="21"/>
  <c r="V61" i="21"/>
  <c r="I86" i="21"/>
  <c r="AC86" i="21" s="1"/>
  <c r="J62" i="21"/>
  <c r="L62" i="21"/>
  <c r="M62" i="21"/>
  <c r="N86" i="21"/>
  <c r="AD86" i="21" s="1"/>
  <c r="O62" i="21"/>
  <c r="P62" i="21"/>
  <c r="R62" i="21"/>
  <c r="S62" i="21"/>
  <c r="T86" i="21"/>
  <c r="AE86" i="21" s="1"/>
  <c r="U62" i="21"/>
  <c r="V62" i="21"/>
  <c r="I87" i="21"/>
  <c r="AC87" i="21" s="1"/>
  <c r="J63" i="21"/>
  <c r="L63" i="21"/>
  <c r="M63" i="21"/>
  <c r="N87" i="21"/>
  <c r="AD87" i="21" s="1"/>
  <c r="O63" i="21"/>
  <c r="P63" i="21"/>
  <c r="R63" i="21"/>
  <c r="S63" i="21"/>
  <c r="T87" i="21"/>
  <c r="AE87" i="21" s="1"/>
  <c r="U63" i="21"/>
  <c r="V63" i="21"/>
  <c r="J64" i="21"/>
  <c r="L64" i="21"/>
  <c r="M64" i="21"/>
  <c r="O64" i="21"/>
  <c r="P64" i="21"/>
  <c r="R64" i="21"/>
  <c r="S64" i="21"/>
  <c r="U64" i="21"/>
  <c r="V64" i="21"/>
  <c r="J65" i="21"/>
  <c r="L65" i="21"/>
  <c r="M65" i="21"/>
  <c r="O65" i="21"/>
  <c r="P65" i="21"/>
  <c r="R65" i="21"/>
  <c r="S65" i="21"/>
  <c r="U65" i="21"/>
  <c r="V65" i="21"/>
  <c r="I80" i="21"/>
  <c r="J68" i="21"/>
  <c r="L68" i="21"/>
  <c r="M68" i="21"/>
  <c r="N80" i="21"/>
  <c r="O68" i="21"/>
  <c r="P68" i="21"/>
  <c r="R68" i="21"/>
  <c r="S68" i="21"/>
  <c r="T80" i="21"/>
  <c r="U68" i="21"/>
  <c r="V68" i="21"/>
  <c r="J69" i="21"/>
  <c r="L69" i="21"/>
  <c r="M69" i="21"/>
  <c r="O69" i="21"/>
  <c r="P69" i="21"/>
  <c r="R69" i="21"/>
  <c r="S69" i="21"/>
  <c r="U69" i="21"/>
  <c r="V69" i="21"/>
  <c r="J70" i="21"/>
  <c r="L70" i="21"/>
  <c r="M70" i="21"/>
  <c r="O70" i="21"/>
  <c r="P70" i="21"/>
  <c r="R70" i="21"/>
  <c r="S70" i="21"/>
  <c r="U70" i="21"/>
  <c r="V70" i="21"/>
  <c r="J71" i="21"/>
  <c r="L71" i="21"/>
  <c r="M71" i="21"/>
  <c r="N88" i="21"/>
  <c r="O71" i="21"/>
  <c r="P71" i="21"/>
  <c r="R71" i="21"/>
  <c r="S71" i="21"/>
  <c r="T88" i="21"/>
  <c r="U71" i="21"/>
  <c r="V71" i="21"/>
  <c r="I72" i="21"/>
  <c r="J72" i="21"/>
  <c r="L72" i="21"/>
  <c r="M72" i="21"/>
  <c r="N72" i="21"/>
  <c r="O72" i="21"/>
  <c r="P72" i="21"/>
  <c r="R72" i="21"/>
  <c r="S72" i="21"/>
  <c r="T72" i="21"/>
  <c r="U72" i="21"/>
  <c r="V72" i="21"/>
  <c r="J75" i="21"/>
  <c r="L75" i="21"/>
  <c r="M75" i="21"/>
  <c r="O75" i="21"/>
  <c r="P75" i="21"/>
  <c r="R75" i="21"/>
  <c r="S75" i="21"/>
  <c r="U75" i="21"/>
  <c r="V75" i="21"/>
  <c r="J76" i="21"/>
  <c r="L76" i="21"/>
  <c r="M76" i="21"/>
  <c r="O76" i="21"/>
  <c r="P76" i="21"/>
  <c r="R76" i="21"/>
  <c r="S76" i="21"/>
  <c r="U76" i="21"/>
  <c r="V76" i="21"/>
  <c r="J77" i="21"/>
  <c r="L77" i="21"/>
  <c r="M77" i="21"/>
  <c r="O77" i="21"/>
  <c r="P77" i="21"/>
  <c r="R77" i="21"/>
  <c r="S77" i="21"/>
  <c r="U77" i="21"/>
  <c r="V77" i="21"/>
  <c r="J78" i="21"/>
  <c r="L78" i="21"/>
  <c r="M78" i="21"/>
  <c r="O78" i="21"/>
  <c r="P78" i="21"/>
  <c r="R78" i="21"/>
  <c r="S78" i="21"/>
  <c r="U78" i="21"/>
  <c r="V78" i="21"/>
  <c r="J79" i="21"/>
  <c r="L79" i="21"/>
  <c r="M79" i="21"/>
  <c r="O79" i="21"/>
  <c r="P79" i="21"/>
  <c r="R79" i="21"/>
  <c r="S79" i="21"/>
  <c r="U79" i="21"/>
  <c r="V79" i="21"/>
  <c r="J80" i="21"/>
  <c r="L80" i="21"/>
  <c r="M80" i="21"/>
  <c r="O80" i="21"/>
  <c r="P80" i="21"/>
  <c r="R80" i="21"/>
  <c r="S80" i="21"/>
  <c r="U80" i="21"/>
  <c r="V80" i="21"/>
  <c r="I83" i="21"/>
  <c r="AC83" i="21" s="1"/>
  <c r="J83" i="21"/>
  <c r="L83" i="21"/>
  <c r="M83" i="21"/>
  <c r="N83" i="21"/>
  <c r="AD83" i="21" s="1"/>
  <c r="O83" i="21"/>
  <c r="P83" i="21"/>
  <c r="R83" i="21"/>
  <c r="S83" i="21"/>
  <c r="T83" i="21"/>
  <c r="AE83" i="21" s="1"/>
  <c r="U83" i="21"/>
  <c r="V83" i="21"/>
  <c r="J84" i="21"/>
  <c r="L84" i="21"/>
  <c r="M84" i="21"/>
  <c r="O84" i="21"/>
  <c r="P84" i="21"/>
  <c r="R84" i="21"/>
  <c r="S84" i="21"/>
  <c r="U84" i="21"/>
  <c r="V84" i="21"/>
  <c r="J85" i="21"/>
  <c r="L85" i="21"/>
  <c r="M85" i="21"/>
  <c r="O85" i="21"/>
  <c r="P85" i="21"/>
  <c r="R85" i="21"/>
  <c r="S85" i="21"/>
  <c r="U85" i="21"/>
  <c r="V85" i="21"/>
  <c r="J86" i="21"/>
  <c r="L86" i="21"/>
  <c r="M86" i="21"/>
  <c r="O86" i="21"/>
  <c r="P86" i="21"/>
  <c r="R86" i="21"/>
  <c r="S86" i="21"/>
  <c r="U86" i="21"/>
  <c r="V86" i="21"/>
  <c r="J87" i="21"/>
  <c r="L87" i="21"/>
  <c r="M87" i="21"/>
  <c r="O87" i="21"/>
  <c r="P87" i="21"/>
  <c r="R87" i="21"/>
  <c r="S87" i="21"/>
  <c r="U87" i="21"/>
  <c r="V87" i="21"/>
  <c r="J88" i="21"/>
  <c r="L88" i="21"/>
  <c r="M88" i="21"/>
  <c r="O88" i="21"/>
  <c r="P88" i="21"/>
  <c r="R88" i="21"/>
  <c r="S88" i="21"/>
  <c r="U88" i="21"/>
  <c r="V88" i="21"/>
  <c r="J91" i="21"/>
  <c r="L91" i="21"/>
  <c r="M91" i="21"/>
  <c r="O91" i="21"/>
  <c r="P91" i="21"/>
  <c r="R91" i="21"/>
  <c r="S91" i="21"/>
  <c r="U91" i="21"/>
  <c r="V91" i="21"/>
  <c r="J92" i="21"/>
  <c r="L92" i="21"/>
  <c r="M92" i="21"/>
  <c r="O92" i="21"/>
  <c r="P92" i="21"/>
  <c r="R92" i="21"/>
  <c r="S92" i="21"/>
  <c r="U92" i="21"/>
  <c r="V92" i="21"/>
  <c r="J93" i="21"/>
  <c r="L93" i="21"/>
  <c r="M93" i="21"/>
  <c r="O93" i="21"/>
  <c r="P93" i="21"/>
  <c r="R93" i="21"/>
  <c r="S93" i="21"/>
  <c r="U93" i="21"/>
  <c r="V93" i="21"/>
  <c r="J94" i="21"/>
  <c r="L94" i="21"/>
  <c r="M94" i="21"/>
  <c r="O94" i="21"/>
  <c r="P94" i="21"/>
  <c r="R94" i="21"/>
  <c r="S94" i="21"/>
  <c r="U94" i="21"/>
  <c r="V94" i="21"/>
  <c r="J95" i="21"/>
  <c r="L95" i="21"/>
  <c r="M95" i="21"/>
  <c r="O95" i="21"/>
  <c r="P95" i="21"/>
  <c r="R95" i="21"/>
  <c r="S95" i="21"/>
  <c r="U95" i="21"/>
  <c r="V95" i="21"/>
  <c r="J96" i="21"/>
  <c r="L96" i="21"/>
  <c r="M96" i="21"/>
  <c r="O96" i="21"/>
  <c r="P96" i="21"/>
  <c r="R96" i="21"/>
  <c r="S96" i="21"/>
  <c r="U96" i="21"/>
  <c r="V96" i="21"/>
  <c r="J97" i="21"/>
  <c r="L97" i="21"/>
  <c r="M97" i="21"/>
  <c r="O97" i="21"/>
  <c r="P97" i="21"/>
  <c r="R97" i="21"/>
  <c r="S97" i="21"/>
  <c r="U97" i="21"/>
  <c r="V97" i="21"/>
  <c r="J98" i="21"/>
  <c r="L98" i="21"/>
  <c r="M98" i="21"/>
  <c r="O98" i="21"/>
  <c r="P98" i="21"/>
  <c r="R98" i="21"/>
  <c r="S98" i="21"/>
  <c r="U98" i="21"/>
  <c r="V98" i="21"/>
  <c r="J99" i="21"/>
  <c r="L99" i="21"/>
  <c r="M99" i="21"/>
  <c r="O99" i="21"/>
  <c r="P99" i="21"/>
  <c r="R99" i="21"/>
  <c r="S99" i="21"/>
  <c r="U99" i="21"/>
  <c r="V99" i="21"/>
  <c r="I100" i="21"/>
  <c r="J100" i="21"/>
  <c r="L100" i="21"/>
  <c r="M100" i="21"/>
  <c r="N100" i="21"/>
  <c r="O100" i="21"/>
  <c r="P100" i="21"/>
  <c r="R100" i="21"/>
  <c r="S100" i="21"/>
  <c r="T100" i="21"/>
  <c r="U100" i="21"/>
  <c r="V100" i="21"/>
  <c r="H25" i="21"/>
  <c r="H26" i="21"/>
  <c r="H27" i="21"/>
  <c r="H28" i="21"/>
  <c r="H30" i="21"/>
  <c r="H31" i="21"/>
  <c r="H32" i="21"/>
  <c r="H33" i="21"/>
  <c r="H34" i="21"/>
  <c r="H35" i="21"/>
  <c r="H36" i="21"/>
  <c r="H37" i="21"/>
  <c r="H38" i="21"/>
  <c r="H39" i="21"/>
  <c r="H40" i="21"/>
  <c r="H41" i="21"/>
  <c r="H44" i="21"/>
  <c r="H45" i="21"/>
  <c r="H46" i="21"/>
  <c r="H47" i="21"/>
  <c r="H48" i="21"/>
  <c r="H49" i="21"/>
  <c r="H50" i="21"/>
  <c r="H53" i="21"/>
  <c r="H54" i="21"/>
  <c r="H55" i="21"/>
  <c r="H56" i="21"/>
  <c r="H57" i="21"/>
  <c r="H60" i="21"/>
  <c r="H61" i="21"/>
  <c r="H62" i="21"/>
  <c r="H63" i="21"/>
  <c r="H64" i="21"/>
  <c r="H65" i="21"/>
  <c r="H68" i="21"/>
  <c r="H69" i="21"/>
  <c r="H70" i="21"/>
  <c r="H71" i="21"/>
  <c r="H72" i="21"/>
  <c r="H75" i="21"/>
  <c r="H76" i="21"/>
  <c r="H77" i="21"/>
  <c r="H78" i="21"/>
  <c r="H79" i="21"/>
  <c r="H80" i="21"/>
  <c r="H83" i="21"/>
  <c r="H84" i="21"/>
  <c r="H85" i="21"/>
  <c r="H86" i="21"/>
  <c r="H87" i="21"/>
  <c r="H88" i="21"/>
  <c r="H91" i="21"/>
  <c r="H92" i="21"/>
  <c r="H93" i="21"/>
  <c r="H94" i="21"/>
  <c r="H95" i="21"/>
  <c r="H96" i="21"/>
  <c r="H97" i="21"/>
  <c r="H98" i="21"/>
  <c r="H99" i="21"/>
  <c r="H100" i="21"/>
  <c r="C87" i="21"/>
  <c r="C86" i="21"/>
  <c r="C85" i="21"/>
  <c r="C84" i="21"/>
  <c r="C83" i="21"/>
  <c r="C79" i="21"/>
  <c r="C78" i="21"/>
  <c r="C77" i="21"/>
  <c r="C76" i="21"/>
  <c r="C75" i="21"/>
  <c r="C71" i="21"/>
  <c r="C70" i="21"/>
  <c r="C69" i="21"/>
  <c r="C68" i="21"/>
  <c r="C64" i="21"/>
  <c r="C63" i="21"/>
  <c r="C62" i="21"/>
  <c r="C61" i="21"/>
  <c r="C60" i="21"/>
  <c r="C44" i="21"/>
  <c r="C40" i="21"/>
  <c r="C39" i="21"/>
  <c r="C38" i="21"/>
  <c r="C37" i="21"/>
  <c r="C36" i="21"/>
  <c r="C35" i="21"/>
  <c r="C34" i="21"/>
  <c r="C33" i="21"/>
  <c r="C32" i="21"/>
  <c r="C31" i="21"/>
  <c r="C27" i="21"/>
  <c r="C26" i="21"/>
  <c r="C25" i="21"/>
  <c r="L8" i="3"/>
  <c r="L9" i="3"/>
  <c r="L10" i="3"/>
  <c r="L11" i="3"/>
  <c r="L12" i="3"/>
  <c r="L13" i="3"/>
  <c r="L6" i="3"/>
  <c r="L7" i="3"/>
  <c r="Z98" i="5"/>
  <c r="AA98" i="5"/>
  <c r="AB98" i="5"/>
  <c r="Z48" i="5"/>
  <c r="AA48" i="5"/>
  <c r="AB48" i="5"/>
  <c r="O49" i="13"/>
  <c r="F50" i="13"/>
  <c r="G50" i="13"/>
  <c r="H50" i="13"/>
  <c r="I50" i="13"/>
  <c r="E50" i="13"/>
  <c r="AB51" i="11"/>
  <c r="R4" i="5"/>
  <c r="L4" i="5"/>
  <c r="B40" i="3"/>
  <c r="AL117" i="13"/>
  <c r="AC22" i="11"/>
  <c r="AC23" i="11"/>
  <c r="AC24" i="11"/>
  <c r="AC25" i="11"/>
  <c r="AC26" i="11"/>
  <c r="AC27" i="11"/>
  <c r="AC28" i="11"/>
  <c r="AC29" i="11"/>
  <c r="AC30" i="11"/>
  <c r="AC31" i="11"/>
  <c r="AF21" i="11"/>
  <c r="AE35" i="11" s="1"/>
  <c r="AE21" i="11"/>
  <c r="AD35" i="11" s="1"/>
  <c r="AD21" i="11"/>
  <c r="AC35" i="11"/>
  <c r="AB50" i="11"/>
  <c r="AB49" i="11"/>
  <c r="AB48" i="11"/>
  <c r="AB47" i="11"/>
  <c r="AB46" i="11"/>
  <c r="AB43" i="11"/>
  <c r="AB40" i="11"/>
  <c r="AB39" i="11"/>
  <c r="AB38" i="11"/>
  <c r="AB37" i="11"/>
  <c r="AB36" i="11"/>
  <c r="AB35" i="11"/>
  <c r="D6" i="11"/>
  <c r="C3" i="12"/>
  <c r="C6" i="5"/>
  <c r="C6" i="21" s="1"/>
  <c r="M6" i="11"/>
  <c r="G101" i="13"/>
  <c r="H101" i="13"/>
  <c r="F101" i="13"/>
  <c r="O98" i="13"/>
  <c r="L56" i="13"/>
  <c r="Y16" i="5"/>
  <c r="Y17" i="5"/>
  <c r="Y29" i="5"/>
  <c r="Y30" i="5"/>
  <c r="Y42" i="5"/>
  <c r="Y43" i="5"/>
  <c r="Y51" i="5"/>
  <c r="Y52" i="5"/>
  <c r="Y58" i="5"/>
  <c r="Y59" i="5"/>
  <c r="Y66" i="5"/>
  <c r="Y67" i="5"/>
  <c r="Y73" i="5"/>
  <c r="Y74" i="5"/>
  <c r="Y81" i="5"/>
  <c r="Y82" i="5"/>
  <c r="Y89" i="5"/>
  <c r="Y90" i="5"/>
  <c r="Y9" i="5"/>
  <c r="Z18" i="5"/>
  <c r="AA18" i="5"/>
  <c r="AB18" i="5"/>
  <c r="Z19" i="5"/>
  <c r="AA19" i="5"/>
  <c r="AB19" i="5"/>
  <c r="Z20" i="5"/>
  <c r="AA20" i="5"/>
  <c r="AB20" i="5"/>
  <c r="Z21" i="5"/>
  <c r="AA21" i="5"/>
  <c r="AB21" i="5"/>
  <c r="Z22" i="5"/>
  <c r="AA22" i="5"/>
  <c r="AB22" i="5"/>
  <c r="Z23" i="5"/>
  <c r="AA23" i="5"/>
  <c r="AB23" i="5"/>
  <c r="Z24" i="5"/>
  <c r="AA24" i="5"/>
  <c r="AB24" i="5"/>
  <c r="Z25" i="5"/>
  <c r="AA25" i="5"/>
  <c r="AB25" i="5"/>
  <c r="Z26" i="5"/>
  <c r="AA26" i="5"/>
  <c r="AB26" i="5"/>
  <c r="Z27" i="5"/>
  <c r="AA27" i="5"/>
  <c r="AB27" i="5"/>
  <c r="Z31" i="5"/>
  <c r="AA31" i="5"/>
  <c r="AB31" i="5"/>
  <c r="Z32" i="5"/>
  <c r="AA32" i="5"/>
  <c r="AB32" i="5"/>
  <c r="Z33" i="5"/>
  <c r="AA33" i="5"/>
  <c r="AB33" i="5"/>
  <c r="Z34" i="5"/>
  <c r="AA34" i="5"/>
  <c r="AB34" i="5"/>
  <c r="Z35" i="5"/>
  <c r="AA35" i="5"/>
  <c r="AB35" i="5"/>
  <c r="Z36" i="5"/>
  <c r="AA36" i="5"/>
  <c r="AB36" i="5"/>
  <c r="Z37" i="5"/>
  <c r="AA37" i="5"/>
  <c r="AB37" i="5"/>
  <c r="Z38" i="5"/>
  <c r="AA38" i="5"/>
  <c r="AB38" i="5"/>
  <c r="Z39" i="5"/>
  <c r="AA39" i="5"/>
  <c r="AB39" i="5"/>
  <c r="Z40" i="5"/>
  <c r="AA40" i="5"/>
  <c r="AB40" i="5"/>
  <c r="Z44" i="5"/>
  <c r="AA44" i="5"/>
  <c r="AB44" i="5"/>
  <c r="Z45" i="5"/>
  <c r="AA45" i="5"/>
  <c r="AB45" i="5"/>
  <c r="Z46" i="5"/>
  <c r="AA46" i="5"/>
  <c r="AB46" i="5"/>
  <c r="Z47" i="5"/>
  <c r="AA47" i="5"/>
  <c r="AB47" i="5"/>
  <c r="Z49" i="5"/>
  <c r="AA49" i="5"/>
  <c r="AB49" i="5"/>
  <c r="Z53" i="5"/>
  <c r="AA53" i="5"/>
  <c r="AB53" i="5"/>
  <c r="Z54" i="5"/>
  <c r="AA54" i="5"/>
  <c r="AB54" i="5"/>
  <c r="Z55" i="5"/>
  <c r="AA55" i="5"/>
  <c r="AB55" i="5"/>
  <c r="Z56" i="5"/>
  <c r="AA56" i="5"/>
  <c r="AB56" i="5"/>
  <c r="Z60" i="5"/>
  <c r="AA60" i="5"/>
  <c r="AB60" i="5"/>
  <c r="Z61" i="5"/>
  <c r="AA61" i="5"/>
  <c r="AB61" i="5"/>
  <c r="Z62" i="5"/>
  <c r="AA62" i="5"/>
  <c r="AB62" i="5"/>
  <c r="Z63" i="5"/>
  <c r="AA63" i="5"/>
  <c r="AB63" i="5"/>
  <c r="Z64" i="5"/>
  <c r="AA64" i="5"/>
  <c r="AB64" i="5"/>
  <c r="Z68" i="5"/>
  <c r="AA68" i="5"/>
  <c r="AB68" i="5"/>
  <c r="Z69" i="5"/>
  <c r="AA69" i="5"/>
  <c r="AB69" i="5"/>
  <c r="Z70" i="5"/>
  <c r="AA70" i="5"/>
  <c r="AB70" i="5"/>
  <c r="Z71" i="5"/>
  <c r="AA71" i="5"/>
  <c r="AB71" i="5"/>
  <c r="Z75" i="5"/>
  <c r="AA75" i="5"/>
  <c r="AB75" i="5"/>
  <c r="Z76" i="5"/>
  <c r="AA76" i="5"/>
  <c r="AB76" i="5"/>
  <c r="Z77" i="5"/>
  <c r="AA77" i="5"/>
  <c r="AB77" i="5"/>
  <c r="Z78" i="5"/>
  <c r="AA78" i="5"/>
  <c r="AB78" i="5"/>
  <c r="Z79" i="5"/>
  <c r="AA79" i="5"/>
  <c r="AB79" i="5"/>
  <c r="Z83" i="5"/>
  <c r="AA83" i="5"/>
  <c r="AB83" i="5"/>
  <c r="Z84" i="5"/>
  <c r="AA84" i="5"/>
  <c r="AB84" i="5"/>
  <c r="Z85" i="5"/>
  <c r="AA85" i="5"/>
  <c r="AB85" i="5"/>
  <c r="Z86" i="5"/>
  <c r="AA86" i="5"/>
  <c r="AB86" i="5"/>
  <c r="Z87" i="5"/>
  <c r="AA87" i="5"/>
  <c r="AB87" i="5"/>
  <c r="Z91" i="5"/>
  <c r="AA91" i="5"/>
  <c r="AB91" i="5"/>
  <c r="Z92" i="5"/>
  <c r="AA92" i="5"/>
  <c r="AB92" i="5"/>
  <c r="Z93" i="5"/>
  <c r="AA93" i="5"/>
  <c r="AB93" i="5"/>
  <c r="Z94" i="5"/>
  <c r="AA94" i="5"/>
  <c r="AB94" i="5"/>
  <c r="Z95" i="5"/>
  <c r="AA95" i="5"/>
  <c r="AB95" i="5"/>
  <c r="Z96" i="5"/>
  <c r="AA96" i="5"/>
  <c r="AB96" i="5"/>
  <c r="Z97" i="5"/>
  <c r="AA97" i="5"/>
  <c r="AB97" i="5"/>
  <c r="Z99" i="5"/>
  <c r="AA99" i="5"/>
  <c r="AB99" i="5"/>
  <c r="Z11" i="5"/>
  <c r="AA11" i="5"/>
  <c r="AB11" i="5"/>
  <c r="Z12" i="5"/>
  <c r="AA12" i="5"/>
  <c r="AB12" i="5"/>
  <c r="Z13" i="5"/>
  <c r="AA13" i="5"/>
  <c r="AB13" i="5"/>
  <c r="Z14" i="5"/>
  <c r="AA14" i="5"/>
  <c r="AB14" i="5"/>
  <c r="AB10" i="5"/>
  <c r="AA10" i="5"/>
  <c r="Z10" i="5"/>
  <c r="I99" i="13"/>
  <c r="F99" i="13"/>
  <c r="G99" i="13"/>
  <c r="H99" i="13"/>
  <c r="E99" i="13"/>
  <c r="D98" i="13"/>
  <c r="F41" i="13"/>
  <c r="G41" i="13"/>
  <c r="H41" i="13"/>
  <c r="I41" i="13"/>
  <c r="E41" i="13"/>
  <c r="E28" i="13"/>
  <c r="O24" i="13"/>
  <c r="O25" i="13"/>
  <c r="O26" i="13"/>
  <c r="O27" i="13"/>
  <c r="O31" i="13"/>
  <c r="O32" i="13"/>
  <c r="O33" i="13"/>
  <c r="O34" i="13"/>
  <c r="O35" i="13"/>
  <c r="O36" i="13"/>
  <c r="O37" i="13"/>
  <c r="O38" i="13"/>
  <c r="O39" i="13"/>
  <c r="O40" i="13"/>
  <c r="O44" i="13"/>
  <c r="O45" i="13"/>
  <c r="O46" i="13"/>
  <c r="O47" i="13"/>
  <c r="O48" i="13"/>
  <c r="O53" i="13"/>
  <c r="O54" i="13"/>
  <c r="O55" i="13"/>
  <c r="O56" i="13"/>
  <c r="O60" i="13"/>
  <c r="O61" i="13"/>
  <c r="O62" i="13"/>
  <c r="O63" i="13"/>
  <c r="O67" i="13"/>
  <c r="O68" i="13"/>
  <c r="O69" i="13"/>
  <c r="O70" i="13"/>
  <c r="O74" i="13"/>
  <c r="O75" i="13"/>
  <c r="O76" i="13"/>
  <c r="O77" i="13"/>
  <c r="O78" i="13"/>
  <c r="O82" i="13"/>
  <c r="O83" i="13"/>
  <c r="O84" i="13"/>
  <c r="O85" i="13"/>
  <c r="O86" i="13"/>
  <c r="O90" i="13"/>
  <c r="O91" i="13"/>
  <c r="O92" i="13"/>
  <c r="O93" i="13"/>
  <c r="O94" i="13"/>
  <c r="O95" i="13"/>
  <c r="O96" i="13"/>
  <c r="O97" i="13"/>
  <c r="O10" i="13"/>
  <c r="O11" i="13"/>
  <c r="O12" i="13"/>
  <c r="O13" i="13"/>
  <c r="O14" i="13"/>
  <c r="O15" i="13"/>
  <c r="O19" i="13"/>
  <c r="O20" i="13"/>
  <c r="O21" i="13"/>
  <c r="O22" i="13"/>
  <c r="O23" i="13"/>
  <c r="O9" i="13"/>
  <c r="AM104" i="13"/>
  <c r="AB45" i="11"/>
  <c r="AB42" i="11"/>
  <c r="AO103" i="13"/>
  <c r="AQ61" i="13"/>
  <c r="AR61" i="13" s="1"/>
  <c r="AS61" i="13" s="1"/>
  <c r="K101" i="13"/>
  <c r="K89" i="13"/>
  <c r="I87" i="13"/>
  <c r="H87" i="13"/>
  <c r="G87" i="13"/>
  <c r="F87" i="13"/>
  <c r="E87" i="13"/>
  <c r="I79" i="13"/>
  <c r="H79" i="13"/>
  <c r="G79" i="13"/>
  <c r="F79" i="13"/>
  <c r="E79" i="13"/>
  <c r="I71" i="13"/>
  <c r="H71" i="13"/>
  <c r="G71" i="13"/>
  <c r="F71" i="13"/>
  <c r="E71" i="13"/>
  <c r="I64" i="13"/>
  <c r="H64" i="13"/>
  <c r="G64" i="13"/>
  <c r="F64" i="13"/>
  <c r="E64" i="13"/>
  <c r="I57" i="13"/>
  <c r="H57" i="13"/>
  <c r="G57" i="13"/>
  <c r="F57" i="13"/>
  <c r="E57" i="13"/>
  <c r="D91" i="13"/>
  <c r="D92" i="13"/>
  <c r="D93" i="13"/>
  <c r="C94" i="21"/>
  <c r="D94" i="13"/>
  <c r="D95" i="13"/>
  <c r="D96" i="13"/>
  <c r="D97" i="13"/>
  <c r="D90" i="13"/>
  <c r="F28" i="13"/>
  <c r="G28" i="13"/>
  <c r="H28" i="13"/>
  <c r="I28" i="13"/>
  <c r="F16" i="13"/>
  <c r="G16" i="13"/>
  <c r="H16" i="13"/>
  <c r="I16" i="13"/>
  <c r="E16" i="13"/>
  <c r="V309" i="11"/>
  <c r="V306" i="11"/>
  <c r="V305" i="11"/>
  <c r="V304" i="11"/>
  <c r="V303" i="11"/>
  <c r="V302" i="11"/>
  <c r="V307" i="11"/>
  <c r="T309" i="11"/>
  <c r="T308" i="11"/>
  <c r="T307" i="11"/>
  <c r="T306" i="11"/>
  <c r="T305" i="11"/>
  <c r="T304" i="11"/>
  <c r="T303" i="11"/>
  <c r="T302" i="11"/>
  <c r="T301" i="11"/>
  <c r="T300" i="11"/>
  <c r="V300" i="11"/>
  <c r="V308" i="11"/>
  <c r="V301" i="11"/>
  <c r="C54" i="3"/>
  <c r="C5" i="5"/>
  <c r="C5" i="21" s="1"/>
  <c r="K8" i="13" l="1"/>
  <c r="K30" i="13"/>
  <c r="AQ14" i="13"/>
  <c r="AR14" i="13" s="1"/>
  <c r="AS14" i="13" s="1"/>
  <c r="AO102" i="13"/>
  <c r="BE24" i="13"/>
  <c r="AB41" i="11" s="1"/>
  <c r="K59" i="13"/>
  <c r="AM7" i="13"/>
  <c r="AM102" i="13"/>
  <c r="AQ104" i="13"/>
  <c r="K81" i="13"/>
  <c r="AQ15" i="13"/>
  <c r="AX15" i="13" s="1"/>
  <c r="AY15" i="13" s="1"/>
  <c r="AQ102" i="13"/>
  <c r="AN104" i="13"/>
  <c r="AN102" i="13"/>
  <c r="K52" i="13"/>
  <c r="AQ63" i="13"/>
  <c r="AU63" i="13" s="1"/>
  <c r="AV63" i="13" s="1"/>
  <c r="AQ103" i="13"/>
  <c r="AN103" i="13"/>
  <c r="AO104" i="13"/>
  <c r="AM103" i="13"/>
  <c r="K73" i="13"/>
  <c r="K43" i="13"/>
  <c r="AQ60" i="13"/>
  <c r="AR60" i="13" s="1"/>
  <c r="AS60" i="13" s="1"/>
  <c r="AP102" i="13"/>
  <c r="AQ19" i="13"/>
  <c r="AR19" i="13" s="1"/>
  <c r="AS19" i="13" s="1"/>
  <c r="AP104" i="13"/>
  <c r="K66" i="13"/>
  <c r="K18" i="13"/>
  <c r="AP103" i="13"/>
  <c r="BE27" i="13"/>
  <c r="AB44" i="11" s="1"/>
  <c r="AQ98" i="13"/>
  <c r="AR98" i="13" s="1"/>
  <c r="AS98" i="13" s="1"/>
  <c r="G99" i="5" s="1"/>
  <c r="G99" i="21" s="1"/>
  <c r="AP31" i="13"/>
  <c r="AQ32" i="13"/>
  <c r="BM45" i="13"/>
  <c r="BM48" i="13"/>
  <c r="C98" i="21"/>
  <c r="C96" i="21"/>
  <c r="C99" i="21"/>
  <c r="C95" i="5"/>
  <c r="AR15" i="13"/>
  <c r="AS15" i="13" s="1"/>
  <c r="C93" i="5"/>
  <c r="C97" i="5"/>
  <c r="C92" i="5"/>
  <c r="BL78" i="13"/>
  <c r="BL45" i="13"/>
  <c r="K9" i="13"/>
  <c r="C7" i="16" s="1"/>
  <c r="K50" i="13"/>
  <c r="C48" i="16" s="1"/>
  <c r="AQ34" i="13"/>
  <c r="AP69" i="13"/>
  <c r="AQ92" i="13"/>
  <c r="AQ47" i="13"/>
  <c r="AQ36" i="13"/>
  <c r="AX63" i="13"/>
  <c r="AY63" i="13" s="1"/>
  <c r="G14" i="16"/>
  <c r="AU61" i="13"/>
  <c r="AV61" i="13" s="1"/>
  <c r="C95" i="21"/>
  <c r="P9" i="13"/>
  <c r="AR63" i="13"/>
  <c r="AS63" i="13" s="1"/>
  <c r="AQ96" i="13"/>
  <c r="AQ90" i="13"/>
  <c r="AQ83" i="13"/>
  <c r="AR83" i="13" s="1"/>
  <c r="AS83" i="13" s="1"/>
  <c r="G84" i="5" s="1"/>
  <c r="G84" i="21" s="1"/>
  <c r="AQ78" i="13"/>
  <c r="AQ74" i="13"/>
  <c r="AQ68" i="13"/>
  <c r="AQ54" i="13"/>
  <c r="AQ39" i="13"/>
  <c r="AQ31" i="13"/>
  <c r="AQ23" i="13"/>
  <c r="AR23" i="13" s="1"/>
  <c r="AS23" i="13" s="1"/>
  <c r="G23" i="5" s="1"/>
  <c r="G23" i="21" s="1"/>
  <c r="AP12" i="13"/>
  <c r="K93" i="13"/>
  <c r="C91" i="16" s="1"/>
  <c r="AQ33" i="13"/>
  <c r="AQ12" i="13"/>
  <c r="AQ95" i="13"/>
  <c r="AQ86" i="13"/>
  <c r="AQ82" i="13"/>
  <c r="AQ77" i="13"/>
  <c r="AQ67" i="13"/>
  <c r="AQ53" i="13"/>
  <c r="AQ45" i="13"/>
  <c r="AQ38" i="13"/>
  <c r="AX38" i="13" s="1"/>
  <c r="AY38" i="13" s="1"/>
  <c r="AO27" i="13"/>
  <c r="AQ11" i="13"/>
  <c r="G89" i="13"/>
  <c r="AQ94" i="13"/>
  <c r="AQ70" i="13"/>
  <c r="AO32" i="13"/>
  <c r="AQ10" i="13"/>
  <c r="G73" i="13"/>
  <c r="AQ93" i="13"/>
  <c r="AQ85" i="13"/>
  <c r="AQ76" i="13"/>
  <c r="AQ62" i="13"/>
  <c r="AQ56" i="13"/>
  <c r="AX56" i="13" s="1"/>
  <c r="AY56" i="13" s="1"/>
  <c r="AQ49" i="13"/>
  <c r="AQ37" i="13"/>
  <c r="AU37" i="13" s="1"/>
  <c r="AV37" i="13" s="1"/>
  <c r="AP32" i="13"/>
  <c r="AQ26" i="13"/>
  <c r="AO20" i="13"/>
  <c r="AQ97" i="13"/>
  <c r="AQ91" i="13"/>
  <c r="AQ84" i="13"/>
  <c r="AX84" i="13" s="1"/>
  <c r="AY84" i="13" s="1"/>
  <c r="AQ75" i="13"/>
  <c r="AQ69" i="13"/>
  <c r="AQ55" i="13"/>
  <c r="AU55" i="13" s="1"/>
  <c r="AV55" i="13" s="1"/>
  <c r="AQ40" i="13"/>
  <c r="AQ35" i="13"/>
  <c r="AQ24" i="13"/>
  <c r="AQ20" i="13"/>
  <c r="AQ13" i="13"/>
  <c r="AU19" i="13"/>
  <c r="AV19" i="13" s="1"/>
  <c r="F73" i="13"/>
  <c r="K41" i="13"/>
  <c r="C39" i="16" s="1"/>
  <c r="AP27" i="13"/>
  <c r="G66" i="13"/>
  <c r="K14" i="13"/>
  <c r="C12" i="16" s="1"/>
  <c r="AX19" i="13"/>
  <c r="AY19" i="13" s="1"/>
  <c r="K85" i="13"/>
  <c r="C83" i="16" s="1"/>
  <c r="AP53" i="13"/>
  <c r="AQ46" i="13"/>
  <c r="AP34" i="13"/>
  <c r="AQ27" i="13"/>
  <c r="AQ22" i="13"/>
  <c r="AN12" i="13"/>
  <c r="G43" i="13"/>
  <c r="G30" i="13"/>
  <c r="K87" i="13"/>
  <c r="C85" i="16" s="1"/>
  <c r="K23" i="13"/>
  <c r="C21" i="16" s="1"/>
  <c r="K40" i="13"/>
  <c r="K10" i="13"/>
  <c r="Q10" i="13" s="1"/>
  <c r="K35" i="13"/>
  <c r="L35" i="13" s="1"/>
  <c r="Q35" i="13" s="1"/>
  <c r="R35" i="13" s="1"/>
  <c r="I73" i="13"/>
  <c r="I81" i="13"/>
  <c r="K57" i="13"/>
  <c r="C55" i="16" s="1"/>
  <c r="K92" i="13"/>
  <c r="C90" i="16" s="1"/>
  <c r="K84" i="13"/>
  <c r="C82" i="16" s="1"/>
  <c r="K63" i="13"/>
  <c r="C61" i="16" s="1"/>
  <c r="K56" i="13"/>
  <c r="C54" i="16" s="1"/>
  <c r="AQ48" i="13"/>
  <c r="AQ44" i="13"/>
  <c r="AX44" i="13" s="1"/>
  <c r="AY44" i="13" s="1"/>
  <c r="K44" i="13"/>
  <c r="C42" i="16" s="1"/>
  <c r="K39" i="13"/>
  <c r="C37" i="16" s="1"/>
  <c r="K34" i="13"/>
  <c r="C32" i="16" s="1"/>
  <c r="K22" i="13"/>
  <c r="C20" i="16" s="1"/>
  <c r="AP13" i="13"/>
  <c r="AP11" i="13"/>
  <c r="K13" i="13"/>
  <c r="C11" i="16" s="1"/>
  <c r="F89" i="13"/>
  <c r="F66" i="13"/>
  <c r="G18" i="13"/>
  <c r="G85" i="16"/>
  <c r="K16" i="13"/>
  <c r="C14" i="16" s="1"/>
  <c r="AX61" i="13"/>
  <c r="AY61" i="13" s="1"/>
  <c r="K28" i="13"/>
  <c r="C26" i="16" s="1"/>
  <c r="K99" i="13"/>
  <c r="C97" i="16" s="1"/>
  <c r="F106" i="13"/>
  <c r="K98" i="13"/>
  <c r="C96" i="16" s="1"/>
  <c r="E96" i="16" s="1"/>
  <c r="H96" i="16" s="1"/>
  <c r="K91" i="13"/>
  <c r="C89" i="16" s="1"/>
  <c r="K78" i="13"/>
  <c r="C76" i="16" s="1"/>
  <c r="K70" i="13"/>
  <c r="C68" i="16" s="1"/>
  <c r="K104" i="13"/>
  <c r="R104" i="13" s="1"/>
  <c r="D63" i="5" s="1"/>
  <c r="K62" i="13"/>
  <c r="K55" i="13"/>
  <c r="K49" i="13"/>
  <c r="K38" i="13"/>
  <c r="C36" i="16" s="1"/>
  <c r="K33" i="13"/>
  <c r="C31" i="16" s="1"/>
  <c r="E89" i="13"/>
  <c r="G52" i="13"/>
  <c r="F18" i="13"/>
  <c r="G48" i="16"/>
  <c r="K97" i="13"/>
  <c r="C95" i="16" s="1"/>
  <c r="K90" i="13"/>
  <c r="C88" i="16" s="1"/>
  <c r="K83" i="13"/>
  <c r="K77" i="13"/>
  <c r="C75" i="16" s="1"/>
  <c r="K69" i="13"/>
  <c r="C67" i="16" s="1"/>
  <c r="K54" i="13"/>
  <c r="C52" i="16" s="1"/>
  <c r="K48" i="13"/>
  <c r="C46" i="16" s="1"/>
  <c r="K37" i="13"/>
  <c r="C35" i="16" s="1"/>
  <c r="K32" i="13"/>
  <c r="C30" i="16" s="1"/>
  <c r="K102" i="13"/>
  <c r="R102" i="13" s="1"/>
  <c r="D19" i="5" s="1"/>
  <c r="K12" i="13"/>
  <c r="C10" i="16" s="1"/>
  <c r="K45" i="13"/>
  <c r="C43" i="16" s="1"/>
  <c r="F52" i="13"/>
  <c r="E18" i="13"/>
  <c r="K64" i="13"/>
  <c r="C62" i="16" s="1"/>
  <c r="K71" i="13"/>
  <c r="C69" i="16" s="1"/>
  <c r="K79" i="13"/>
  <c r="C77" i="16" s="1"/>
  <c r="H106" i="13"/>
  <c r="E101" i="13"/>
  <c r="K76" i="13"/>
  <c r="K68" i="13"/>
  <c r="C66" i="16" s="1"/>
  <c r="K61" i="13"/>
  <c r="C59" i="16" s="1"/>
  <c r="K53" i="13"/>
  <c r="C51" i="16" s="1"/>
  <c r="K31" i="13"/>
  <c r="C29" i="16" s="1"/>
  <c r="AQ25" i="13"/>
  <c r="AQ21" i="13"/>
  <c r="K21" i="13"/>
  <c r="L21" i="13" s="1"/>
  <c r="AM12" i="13"/>
  <c r="K11" i="13"/>
  <c r="C9" i="16" s="1"/>
  <c r="G81" i="13"/>
  <c r="E52" i="13"/>
  <c r="G106" i="13"/>
  <c r="C97" i="21"/>
  <c r="C93" i="21"/>
  <c r="I106" i="13"/>
  <c r="K96" i="13"/>
  <c r="C94" i="16" s="1"/>
  <c r="K67" i="13"/>
  <c r="C65" i="16" s="1"/>
  <c r="K60" i="13"/>
  <c r="C58" i="16" s="1"/>
  <c r="K47" i="13"/>
  <c r="K27" i="13"/>
  <c r="C25" i="16" s="1"/>
  <c r="K26" i="13"/>
  <c r="C24" i="16" s="1"/>
  <c r="F81" i="13"/>
  <c r="K95" i="13"/>
  <c r="C93" i="16" s="1"/>
  <c r="K82" i="13"/>
  <c r="K75" i="13"/>
  <c r="C73" i="16" s="1"/>
  <c r="K103" i="13"/>
  <c r="R103" i="13" s="1"/>
  <c r="D61" i="5" s="1"/>
  <c r="K46" i="13"/>
  <c r="C44" i="16" s="1"/>
  <c r="K36" i="13"/>
  <c r="K20" i="13"/>
  <c r="Q20" i="13" s="1"/>
  <c r="AO12" i="13"/>
  <c r="AQ9" i="13"/>
  <c r="F43" i="13"/>
  <c r="C92" i="21"/>
  <c r="K94" i="13"/>
  <c r="K86" i="13"/>
  <c r="C84" i="16" s="1"/>
  <c r="K74" i="13"/>
  <c r="C72" i="16" s="1"/>
  <c r="K24" i="13"/>
  <c r="C22" i="16" s="1"/>
  <c r="K19" i="13"/>
  <c r="C17" i="16" s="1"/>
  <c r="K15" i="13"/>
  <c r="C13" i="16" s="1"/>
  <c r="K25" i="13"/>
  <c r="E43" i="13"/>
  <c r="C91" i="5"/>
  <c r="C91" i="21"/>
  <c r="AU15" i="13"/>
  <c r="AV15" i="13" s="1"/>
  <c r="C98" i="5"/>
  <c r="C94" i="5"/>
  <c r="BL20" i="13" s="1"/>
  <c r="AU14" i="13"/>
  <c r="AV14" i="13" s="1"/>
  <c r="G77" i="16"/>
  <c r="G26" i="16"/>
  <c r="P19" i="13"/>
  <c r="G39" i="16"/>
  <c r="P34" i="13"/>
  <c r="C96" i="5"/>
  <c r="H52" i="13"/>
  <c r="H18" i="13"/>
  <c r="H89" i="13"/>
  <c r="H66" i="13"/>
  <c r="H43" i="13"/>
  <c r="H81" i="13"/>
  <c r="H59" i="13"/>
  <c r="H30" i="13"/>
  <c r="H73" i="13"/>
  <c r="P60" i="13"/>
  <c r="G62" i="16"/>
  <c r="E106" i="13"/>
  <c r="AX14" i="13"/>
  <c r="AY14" i="13" s="1"/>
  <c r="C99" i="5"/>
  <c r="BM56" i="13" s="1"/>
  <c r="P69" i="13"/>
  <c r="G69" i="16"/>
  <c r="E66" i="13"/>
  <c r="I30" i="13"/>
  <c r="I101" i="13"/>
  <c r="G97" i="16"/>
  <c r="I59" i="13"/>
  <c r="E73" i="13"/>
  <c r="I43" i="13"/>
  <c r="F30" i="13"/>
  <c r="I66" i="13"/>
  <c r="E30" i="13"/>
  <c r="I89" i="13"/>
  <c r="E59" i="13"/>
  <c r="I18" i="13"/>
  <c r="I52" i="13"/>
  <c r="E100" i="21"/>
  <c r="E80" i="21"/>
  <c r="E28" i="21"/>
  <c r="E50" i="21"/>
  <c r="E15" i="21"/>
  <c r="E72" i="21"/>
  <c r="E57" i="21"/>
  <c r="E65" i="21"/>
  <c r="E88" i="21"/>
  <c r="E41" i="21"/>
  <c r="BL56" i="13" l="1"/>
  <c r="BM78" i="13"/>
  <c r="BL25" i="13"/>
  <c r="BM37" i="13"/>
  <c r="BL68" i="13"/>
  <c r="BM68" i="13"/>
  <c r="X19" i="13"/>
  <c r="BL49" i="13"/>
  <c r="BN49" i="13" s="1"/>
  <c r="BM49" i="13"/>
  <c r="BL48" i="13"/>
  <c r="BO48" i="13" s="1"/>
  <c r="BM25" i="13"/>
  <c r="BL37" i="13"/>
  <c r="BL35" i="13"/>
  <c r="BL85" i="13"/>
  <c r="BQ85" i="13" s="1"/>
  <c r="BM33" i="13"/>
  <c r="BL69" i="13"/>
  <c r="BO69" i="13" s="1"/>
  <c r="BM70" i="13"/>
  <c r="BM85" i="13"/>
  <c r="BL70" i="13"/>
  <c r="BQ70" i="13" s="1"/>
  <c r="BL39" i="13"/>
  <c r="BN39" i="13" s="1"/>
  <c r="BU39" i="13" s="1"/>
  <c r="BM62" i="13"/>
  <c r="BL54" i="13"/>
  <c r="BQ54" i="13" s="1"/>
  <c r="BL22" i="13"/>
  <c r="BM54" i="13"/>
  <c r="BM36" i="13"/>
  <c r="BL86" i="13"/>
  <c r="BN86" i="13" s="1"/>
  <c r="BU86" i="13" s="1"/>
  <c r="BM22" i="13"/>
  <c r="BL36" i="13"/>
  <c r="BN36" i="13" s="1"/>
  <c r="BM69" i="13"/>
  <c r="BM35" i="13"/>
  <c r="BM39" i="13"/>
  <c r="BL62" i="13"/>
  <c r="BN62" i="13" s="1"/>
  <c r="BU62" i="13" s="1"/>
  <c r="BL33" i="13"/>
  <c r="BM86" i="13"/>
  <c r="BL84" i="13"/>
  <c r="BN84" i="13" s="1"/>
  <c r="BL38" i="13"/>
  <c r="BQ38" i="13" s="1"/>
  <c r="BL21" i="13"/>
  <c r="BL82" i="13"/>
  <c r="BQ82" i="13" s="1"/>
  <c r="BL53" i="13"/>
  <c r="BN53" i="13" s="1"/>
  <c r="BL67" i="13"/>
  <c r="BN67" i="13" s="1"/>
  <c r="BM23" i="13"/>
  <c r="BM38" i="13"/>
  <c r="BM84" i="13"/>
  <c r="BM12" i="13"/>
  <c r="BM34" i="13"/>
  <c r="BL44" i="13"/>
  <c r="BO44" i="13" s="1"/>
  <c r="BL61" i="13"/>
  <c r="BN61" i="13" s="1"/>
  <c r="BM40" i="13"/>
  <c r="BM103" i="13"/>
  <c r="BM30" i="13"/>
  <c r="BM76" i="13"/>
  <c r="BL9" i="13"/>
  <c r="BN9" i="13" s="1"/>
  <c r="BM27" i="13"/>
  <c r="BM26" i="13"/>
  <c r="X102" i="13"/>
  <c r="AU102" i="13" s="1"/>
  <c r="BG22" i="13" s="1"/>
  <c r="AD39" i="11" s="1"/>
  <c r="BL83" i="13"/>
  <c r="BN83" i="13" s="1"/>
  <c r="BU83" i="13" s="1"/>
  <c r="BL74" i="13"/>
  <c r="BL34" i="13"/>
  <c r="BN34" i="13" s="1"/>
  <c r="BL40" i="13"/>
  <c r="BN40" i="13" s="1"/>
  <c r="BM32" i="13"/>
  <c r="BM21" i="13"/>
  <c r="BM19" i="13"/>
  <c r="BM18" i="13"/>
  <c r="W104" i="13"/>
  <c r="AR104" i="13" s="1"/>
  <c r="AS104" i="13" s="1"/>
  <c r="Y102" i="13"/>
  <c r="AX102" i="13" s="1"/>
  <c r="AY102" i="13" s="1"/>
  <c r="BL55" i="13"/>
  <c r="BN55" i="13" s="1"/>
  <c r="BU55" i="13" s="1"/>
  <c r="BL26" i="13"/>
  <c r="BO26" i="13" s="1"/>
  <c r="BL32" i="13"/>
  <c r="BN32" i="13" s="1"/>
  <c r="BU32" i="13" s="1"/>
  <c r="BL31" i="13"/>
  <c r="BO31" i="13" s="1"/>
  <c r="BM24" i="13"/>
  <c r="BM81" i="13"/>
  <c r="BM13" i="13"/>
  <c r="BM60" i="13"/>
  <c r="BM83" i="13"/>
  <c r="BM10" i="13"/>
  <c r="BM11" i="13"/>
  <c r="BL46" i="13"/>
  <c r="BN46" i="13" s="1"/>
  <c r="BL27" i="13"/>
  <c r="BQ27" i="13" s="1"/>
  <c r="BL60" i="13"/>
  <c r="BN60" i="13" s="1"/>
  <c r="BL23" i="13"/>
  <c r="BN23" i="13" s="1"/>
  <c r="BM104" i="13"/>
  <c r="BM102" i="13"/>
  <c r="BM52" i="13"/>
  <c r="BM75" i="13"/>
  <c r="BL19" i="13"/>
  <c r="BL10" i="13"/>
  <c r="BN10" i="13" s="1"/>
  <c r="BL75" i="13"/>
  <c r="BQ75" i="13" s="1"/>
  <c r="BL24" i="13"/>
  <c r="BN24" i="13" s="1"/>
  <c r="BL13" i="13"/>
  <c r="BM31" i="13"/>
  <c r="BM77" i="13"/>
  <c r="BM55" i="13"/>
  <c r="BM44" i="13"/>
  <c r="BM67" i="13"/>
  <c r="BM82" i="13"/>
  <c r="BM9" i="13"/>
  <c r="BM47" i="13"/>
  <c r="BM59" i="13"/>
  <c r="BM74" i="13"/>
  <c r="Y19" i="13"/>
  <c r="BL47" i="13"/>
  <c r="BN47" i="13" s="1"/>
  <c r="BL11" i="13"/>
  <c r="BO11" i="13" s="1"/>
  <c r="BL12" i="13"/>
  <c r="BO12" i="13" s="1"/>
  <c r="BL77" i="13"/>
  <c r="BN77" i="13" s="1"/>
  <c r="BL76" i="13"/>
  <c r="BM46" i="13"/>
  <c r="BM61" i="13"/>
  <c r="BM53" i="13"/>
  <c r="BM20" i="13"/>
  <c r="BM43" i="13"/>
  <c r="BM66" i="13"/>
  <c r="AU60" i="13"/>
  <c r="AV60" i="13" s="1"/>
  <c r="AU98" i="13"/>
  <c r="AV98" i="13" s="1"/>
  <c r="AX60" i="13"/>
  <c r="AY60" i="13" s="1"/>
  <c r="AX98" i="13"/>
  <c r="AY98" i="13" s="1"/>
  <c r="Q92" i="13"/>
  <c r="R92" i="13" s="1"/>
  <c r="E90" i="16" s="1"/>
  <c r="H90" i="16" s="1"/>
  <c r="AR55" i="13"/>
  <c r="AS55" i="13" s="1"/>
  <c r="G55" i="5" s="1"/>
  <c r="G55" i="21" s="1"/>
  <c r="R10" i="13"/>
  <c r="BL80" i="13"/>
  <c r="BO80" i="13" s="1"/>
  <c r="Q63" i="13"/>
  <c r="R63" i="13" s="1"/>
  <c r="Q34" i="13"/>
  <c r="BM96" i="13"/>
  <c r="BM80" i="13"/>
  <c r="BM16" i="13"/>
  <c r="BM63" i="13"/>
  <c r="BM29" i="13"/>
  <c r="BM50" i="13"/>
  <c r="BL42" i="13"/>
  <c r="BO42" i="13" s="1"/>
  <c r="BM95" i="13"/>
  <c r="BM72" i="13"/>
  <c r="BM57" i="13"/>
  <c r="BM17" i="13"/>
  <c r="BM101" i="13"/>
  <c r="BM28" i="13"/>
  <c r="BM73" i="13"/>
  <c r="BM42" i="13"/>
  <c r="BM92" i="13"/>
  <c r="BM64" i="13"/>
  <c r="BM97" i="13"/>
  <c r="BM71" i="13"/>
  <c r="BM89" i="13"/>
  <c r="BM51" i="13"/>
  <c r="BM99" i="13"/>
  <c r="BL41" i="13"/>
  <c r="BN41" i="13" s="1"/>
  <c r="BM15" i="13"/>
  <c r="BM94" i="13"/>
  <c r="BM93" i="13"/>
  <c r="BM65" i="13"/>
  <c r="BM79" i="13"/>
  <c r="BL63" i="13"/>
  <c r="BN63" i="13" s="1"/>
  <c r="BM91" i="13"/>
  <c r="BM41" i="13"/>
  <c r="BM100" i="13"/>
  <c r="BM98" i="13"/>
  <c r="BM88" i="13"/>
  <c r="BM87" i="13"/>
  <c r="BM14" i="13"/>
  <c r="BM58" i="13"/>
  <c r="BM90" i="13"/>
  <c r="AR44" i="13"/>
  <c r="AS44" i="13" s="1"/>
  <c r="G44" i="5" s="1"/>
  <c r="G44" i="21" s="1"/>
  <c r="Q14" i="13"/>
  <c r="R14" i="13" s="1"/>
  <c r="BL100" i="13"/>
  <c r="BL71" i="13"/>
  <c r="BN78" i="13"/>
  <c r="BQ78" i="13"/>
  <c r="BO78" i="13"/>
  <c r="BO61" i="13"/>
  <c r="BL14" i="13"/>
  <c r="R34" i="13"/>
  <c r="D34" i="5" s="1"/>
  <c r="AU23" i="13"/>
  <c r="AV23" i="13" s="1"/>
  <c r="BL28" i="13"/>
  <c r="BL92" i="13"/>
  <c r="BN20" i="13"/>
  <c r="BU20" i="13" s="1"/>
  <c r="BL72" i="13"/>
  <c r="BL96" i="13"/>
  <c r="BN75" i="13"/>
  <c r="BL51" i="13"/>
  <c r="BL87" i="13"/>
  <c r="BL57" i="13"/>
  <c r="BN74" i="13"/>
  <c r="BQ74" i="13"/>
  <c r="BO74" i="13"/>
  <c r="BL50" i="13"/>
  <c r="BL93" i="13"/>
  <c r="BL58" i="13"/>
  <c r="BL15" i="13"/>
  <c r="BN33" i="13"/>
  <c r="BQ33" i="13"/>
  <c r="Q96" i="13"/>
  <c r="R96" i="13" s="1"/>
  <c r="W96" i="13" s="1"/>
  <c r="BL64" i="13"/>
  <c r="BL65" i="13"/>
  <c r="BN45" i="13"/>
  <c r="BQ45" i="13"/>
  <c r="BO45" i="13"/>
  <c r="BN56" i="13"/>
  <c r="BQ56" i="13"/>
  <c r="BO56" i="13"/>
  <c r="BN35" i="13"/>
  <c r="BU35" i="13" s="1"/>
  <c r="BQ35" i="13"/>
  <c r="BL97" i="13"/>
  <c r="BN25" i="13"/>
  <c r="BQ25" i="13"/>
  <c r="BO25" i="13"/>
  <c r="BL95" i="13"/>
  <c r="BN31" i="13"/>
  <c r="BQ31" i="13"/>
  <c r="BL29" i="13"/>
  <c r="BL98" i="13"/>
  <c r="BL88" i="13"/>
  <c r="BL16" i="13"/>
  <c r="BL94" i="13"/>
  <c r="BN22" i="13"/>
  <c r="BU22" i="13" s="1"/>
  <c r="BQ22" i="13"/>
  <c r="BN68" i="13"/>
  <c r="BO68" i="13"/>
  <c r="BO47" i="13"/>
  <c r="BO46" i="13"/>
  <c r="BL99" i="13"/>
  <c r="BL90" i="13"/>
  <c r="BL17" i="13"/>
  <c r="BL79" i="13"/>
  <c r="BN13" i="13"/>
  <c r="BO13" i="13"/>
  <c r="BN48" i="13"/>
  <c r="BQ48" i="13"/>
  <c r="BN21" i="13"/>
  <c r="BU21" i="13" s="1"/>
  <c r="BQ21" i="13"/>
  <c r="BN37" i="13"/>
  <c r="BQ37" i="13"/>
  <c r="BO37" i="13"/>
  <c r="BL91" i="13"/>
  <c r="BN19" i="13"/>
  <c r="BU19" i="13" s="1"/>
  <c r="BQ19" i="13"/>
  <c r="BN76" i="13"/>
  <c r="BO76" i="13"/>
  <c r="BQ76" i="13"/>
  <c r="Y103" i="13"/>
  <c r="AX103" i="13" s="1"/>
  <c r="AY103" i="13" s="1"/>
  <c r="Q27" i="13"/>
  <c r="R27" i="13" s="1"/>
  <c r="D27" i="5" s="1"/>
  <c r="Q75" i="13"/>
  <c r="R75" i="13" s="1"/>
  <c r="D76" i="5" s="1"/>
  <c r="Q70" i="13"/>
  <c r="R70" i="13" s="1"/>
  <c r="X70" i="13" s="1"/>
  <c r="C33" i="16"/>
  <c r="AR84" i="13"/>
  <c r="AS84" i="13" s="1"/>
  <c r="G85" i="5" s="1"/>
  <c r="G85" i="21" s="1"/>
  <c r="C81" i="16"/>
  <c r="L83" i="13"/>
  <c r="Q83" i="13" s="1"/>
  <c r="R83" i="13" s="1"/>
  <c r="D84" i="5" s="1"/>
  <c r="AU84" i="13"/>
  <c r="AV84" i="13" s="1"/>
  <c r="C80" i="16"/>
  <c r="M82" i="13"/>
  <c r="AX83" i="13"/>
  <c r="AY83" i="13" s="1"/>
  <c r="AU83" i="13"/>
  <c r="AV83" i="13" s="1"/>
  <c r="Q93" i="13"/>
  <c r="R93" i="13" s="1"/>
  <c r="W93" i="13" s="1"/>
  <c r="Q68" i="13"/>
  <c r="R68" i="13" s="1"/>
  <c r="AR36" i="13"/>
  <c r="AS36" i="13" s="1"/>
  <c r="G36" i="5" s="1"/>
  <c r="G36" i="21" s="1"/>
  <c r="AX36" i="13"/>
  <c r="AY36" i="13" s="1"/>
  <c r="AU36" i="13"/>
  <c r="AV36" i="13" s="1"/>
  <c r="AU44" i="13"/>
  <c r="AV44" i="13" s="1"/>
  <c r="AR47" i="13"/>
  <c r="AS47" i="13" s="1"/>
  <c r="G47" i="5" s="1"/>
  <c r="G47" i="21" s="1"/>
  <c r="AU47" i="13"/>
  <c r="AV47" i="13" s="1"/>
  <c r="AX47" i="13"/>
  <c r="AY47" i="13" s="1"/>
  <c r="Q85" i="13"/>
  <c r="R85" i="13" s="1"/>
  <c r="D86" i="5" s="1"/>
  <c r="AR92" i="13"/>
  <c r="AS92" i="13" s="1"/>
  <c r="G93" i="5" s="1"/>
  <c r="G93" i="21" s="1"/>
  <c r="AU92" i="13"/>
  <c r="AV92" i="13" s="1"/>
  <c r="AX92" i="13"/>
  <c r="AY92" i="13" s="1"/>
  <c r="W103" i="13"/>
  <c r="AR103" i="13" s="1"/>
  <c r="AS103" i="13" s="1"/>
  <c r="G61" i="5" s="1"/>
  <c r="G61" i="21" s="1"/>
  <c r="BH22" i="13"/>
  <c r="AE39" i="11" s="1"/>
  <c r="AV102" i="13"/>
  <c r="X104" i="13"/>
  <c r="AU104" i="13" s="1"/>
  <c r="AV104" i="13" s="1"/>
  <c r="X103" i="13"/>
  <c r="AU103" i="13" s="1"/>
  <c r="W102" i="13"/>
  <c r="AR102" i="13" s="1"/>
  <c r="AS102" i="13" s="1"/>
  <c r="Y104" i="13"/>
  <c r="AX104" i="13" s="1"/>
  <c r="AY104" i="13" s="1"/>
  <c r="Q77" i="13"/>
  <c r="R77" i="13" s="1"/>
  <c r="X77" i="13" s="1"/>
  <c r="Q61" i="13"/>
  <c r="R61" i="13" s="1"/>
  <c r="Q74" i="13"/>
  <c r="R74" i="13" s="1"/>
  <c r="AX55" i="13"/>
  <c r="AY55" i="13" s="1"/>
  <c r="Q45" i="13"/>
  <c r="R45" i="13" s="1"/>
  <c r="W45" i="13" s="1"/>
  <c r="AX23" i="13"/>
  <c r="AY23" i="13" s="1"/>
  <c r="AR93" i="13"/>
  <c r="AS93" i="13" s="1"/>
  <c r="G94" i="5" s="1"/>
  <c r="G94" i="21" s="1"/>
  <c r="AX93" i="13"/>
  <c r="AY93" i="13" s="1"/>
  <c r="AU93" i="13"/>
  <c r="AV93" i="13" s="1"/>
  <c r="AU95" i="13"/>
  <c r="AV95" i="13" s="1"/>
  <c r="AR95" i="13"/>
  <c r="AS95" i="13" s="1"/>
  <c r="G96" i="5" s="1"/>
  <c r="G96" i="21" s="1"/>
  <c r="AX95" i="13"/>
  <c r="AY95" i="13" s="1"/>
  <c r="AR54" i="13"/>
  <c r="AS54" i="13" s="1"/>
  <c r="G54" i="5" s="1"/>
  <c r="G54" i="21" s="1"/>
  <c r="AX54" i="13"/>
  <c r="AY54" i="13" s="1"/>
  <c r="AU54" i="13"/>
  <c r="AV54" i="13" s="1"/>
  <c r="Q32" i="13"/>
  <c r="R32" i="13" s="1"/>
  <c r="AR38" i="13"/>
  <c r="AS38" i="13" s="1"/>
  <c r="G38" i="5" s="1"/>
  <c r="G38" i="21" s="1"/>
  <c r="AU38" i="13"/>
  <c r="AV38" i="13" s="1"/>
  <c r="AR68" i="13"/>
  <c r="AS68" i="13" s="1"/>
  <c r="G69" i="5" s="1"/>
  <c r="G69" i="21" s="1"/>
  <c r="AX68" i="13"/>
  <c r="AY68" i="13" s="1"/>
  <c r="AU68" i="13"/>
  <c r="AV68" i="13" s="1"/>
  <c r="AR37" i="13"/>
  <c r="AS37" i="13" s="1"/>
  <c r="G37" i="5" s="1"/>
  <c r="G37" i="21" s="1"/>
  <c r="AX37" i="13"/>
  <c r="AY37" i="13" s="1"/>
  <c r="AR10" i="13"/>
  <c r="AS10" i="13" s="1"/>
  <c r="G11" i="5" s="1"/>
  <c r="G11" i="21" s="1"/>
  <c r="AX10" i="13"/>
  <c r="AY10" i="13" s="1"/>
  <c r="AU10" i="13"/>
  <c r="AV10" i="13" s="1"/>
  <c r="AR45" i="13"/>
  <c r="AS45" i="13" s="1"/>
  <c r="G45" i="5" s="1"/>
  <c r="G45" i="21" s="1"/>
  <c r="AU45" i="13"/>
  <c r="AV45" i="13" s="1"/>
  <c r="AX45" i="13"/>
  <c r="AY45" i="13" s="1"/>
  <c r="AR33" i="13"/>
  <c r="AS33" i="13" s="1"/>
  <c r="G33" i="5" s="1"/>
  <c r="G33" i="21" s="1"/>
  <c r="AU33" i="13"/>
  <c r="AV33" i="13" s="1"/>
  <c r="AX33" i="13"/>
  <c r="AY33" i="13" s="1"/>
  <c r="AR74" i="13"/>
  <c r="AS74" i="13" s="1"/>
  <c r="G75" i="5" s="1"/>
  <c r="G75" i="21" s="1"/>
  <c r="AU74" i="13"/>
  <c r="AV74" i="13" s="1"/>
  <c r="AX74" i="13"/>
  <c r="AY74" i="13" s="1"/>
  <c r="Q97" i="13"/>
  <c r="R97" i="13" s="1"/>
  <c r="AR75" i="13"/>
  <c r="AS75" i="13" s="1"/>
  <c r="G76" i="5" s="1"/>
  <c r="G76" i="21" s="1"/>
  <c r="AU75" i="13"/>
  <c r="AV75" i="13" s="1"/>
  <c r="AX75" i="13"/>
  <c r="AY75" i="13" s="1"/>
  <c r="AR49" i="13"/>
  <c r="AS49" i="13" s="1"/>
  <c r="G49" i="5" s="1"/>
  <c r="G49" i="21" s="1"/>
  <c r="AX49" i="13"/>
  <c r="AY49" i="13" s="1"/>
  <c r="AU49" i="13"/>
  <c r="AV49" i="13" s="1"/>
  <c r="AX78" i="13"/>
  <c r="AY78" i="13" s="1"/>
  <c r="AU78" i="13"/>
  <c r="AV78" i="13" s="1"/>
  <c r="AR78" i="13"/>
  <c r="AS78" i="13" s="1"/>
  <c r="G79" i="5" s="1"/>
  <c r="G79" i="21" s="1"/>
  <c r="R20" i="13"/>
  <c r="Q24" i="13"/>
  <c r="R24" i="13" s="1"/>
  <c r="X24" i="13" s="1"/>
  <c r="Q13" i="13"/>
  <c r="R13" i="13" s="1"/>
  <c r="E11" i="16" s="1"/>
  <c r="H11" i="16" s="1"/>
  <c r="AR56" i="13"/>
  <c r="AS56" i="13" s="1"/>
  <c r="G56" i="5" s="1"/>
  <c r="G56" i="21" s="1"/>
  <c r="AU56" i="13"/>
  <c r="AV56" i="13" s="1"/>
  <c r="AR70" i="13"/>
  <c r="AS70" i="13" s="1"/>
  <c r="G71" i="5" s="1"/>
  <c r="G71" i="21" s="1"/>
  <c r="AU70" i="13"/>
  <c r="AV70" i="13" s="1"/>
  <c r="AX70" i="13"/>
  <c r="AY70" i="13" s="1"/>
  <c r="AR91" i="13"/>
  <c r="AS91" i="13" s="1"/>
  <c r="G92" i="5" s="1"/>
  <c r="G92" i="21" s="1"/>
  <c r="AX91" i="13"/>
  <c r="AY91" i="13" s="1"/>
  <c r="AU91" i="13"/>
  <c r="AV91" i="13" s="1"/>
  <c r="AR62" i="13"/>
  <c r="AS62" i="13" s="1"/>
  <c r="G64" i="5" s="1"/>
  <c r="G64" i="21" s="1"/>
  <c r="AX62" i="13"/>
  <c r="AY62" i="13" s="1"/>
  <c r="AU62" i="13"/>
  <c r="AV62" i="13" s="1"/>
  <c r="AR94" i="13"/>
  <c r="AS94" i="13" s="1"/>
  <c r="G95" i="5" s="1"/>
  <c r="G95" i="21" s="1"/>
  <c r="AX94" i="13"/>
  <c r="AY94" i="13" s="1"/>
  <c r="AU94" i="13"/>
  <c r="AV94" i="13" s="1"/>
  <c r="AR77" i="13"/>
  <c r="AS77" i="13" s="1"/>
  <c r="G78" i="5" s="1"/>
  <c r="G78" i="21" s="1"/>
  <c r="AU77" i="13"/>
  <c r="AV77" i="13" s="1"/>
  <c r="AX77" i="13"/>
  <c r="AY77" i="13" s="1"/>
  <c r="AU90" i="13"/>
  <c r="AV90" i="13" s="1"/>
  <c r="AX90" i="13"/>
  <c r="AY90" i="13" s="1"/>
  <c r="AR90" i="13"/>
  <c r="AS90" i="13" s="1"/>
  <c r="G91" i="5" s="1"/>
  <c r="G91" i="21" s="1"/>
  <c r="Q86" i="13"/>
  <c r="R86" i="13" s="1"/>
  <c r="AR24" i="13"/>
  <c r="AS24" i="13" s="1"/>
  <c r="G24" i="5" s="1"/>
  <c r="G24" i="21" s="1"/>
  <c r="AU24" i="13"/>
  <c r="AV24" i="13" s="1"/>
  <c r="AX24" i="13"/>
  <c r="AY24" i="13" s="1"/>
  <c r="AR97" i="13"/>
  <c r="AS97" i="13" s="1"/>
  <c r="G98" i="5" s="1"/>
  <c r="G98" i="21" s="1"/>
  <c r="AX97" i="13"/>
  <c r="AY97" i="13" s="1"/>
  <c r="AU97" i="13"/>
  <c r="AV97" i="13" s="1"/>
  <c r="AR76" i="13"/>
  <c r="AS76" i="13" s="1"/>
  <c r="G77" i="5" s="1"/>
  <c r="G77" i="21" s="1"/>
  <c r="AU76" i="13"/>
  <c r="AV76" i="13" s="1"/>
  <c r="AX76" i="13"/>
  <c r="AY76" i="13" s="1"/>
  <c r="AR82" i="13"/>
  <c r="AS82" i="13" s="1"/>
  <c r="G83" i="5" s="1"/>
  <c r="G83" i="21" s="1"/>
  <c r="AX82" i="13"/>
  <c r="AY82" i="13" s="1"/>
  <c r="AU82" i="13"/>
  <c r="AV82" i="13" s="1"/>
  <c r="AX96" i="13"/>
  <c r="AY96" i="13" s="1"/>
  <c r="AU96" i="13"/>
  <c r="AV96" i="13" s="1"/>
  <c r="AR96" i="13"/>
  <c r="AS96" i="13" s="1"/>
  <c r="G97" i="5" s="1"/>
  <c r="G97" i="21" s="1"/>
  <c r="C18" i="16"/>
  <c r="Q56" i="13"/>
  <c r="R56" i="13" s="1"/>
  <c r="D56" i="5" s="1"/>
  <c r="D56" i="21" s="1"/>
  <c r="AB56" i="21" s="1"/>
  <c r="AR35" i="13"/>
  <c r="AS35" i="13" s="1"/>
  <c r="G35" i="5" s="1"/>
  <c r="G35" i="21" s="1"/>
  <c r="AX35" i="13"/>
  <c r="AY35" i="13" s="1"/>
  <c r="AU35" i="13"/>
  <c r="AV35" i="13" s="1"/>
  <c r="AR85" i="13"/>
  <c r="AS85" i="13" s="1"/>
  <c r="G86" i="5" s="1"/>
  <c r="G86" i="21" s="1"/>
  <c r="AX85" i="13"/>
  <c r="AY85" i="13" s="1"/>
  <c r="AU85" i="13"/>
  <c r="AV85" i="13" s="1"/>
  <c r="AR86" i="13"/>
  <c r="AS86" i="13" s="1"/>
  <c r="G87" i="5" s="1"/>
  <c r="G87" i="21" s="1"/>
  <c r="AU86" i="13"/>
  <c r="AV86" i="13" s="1"/>
  <c r="AX86" i="13"/>
  <c r="AY86" i="13" s="1"/>
  <c r="AR39" i="13"/>
  <c r="AS39" i="13" s="1"/>
  <c r="G39" i="5" s="1"/>
  <c r="G39" i="21" s="1"/>
  <c r="AU39" i="13"/>
  <c r="AV39" i="13" s="1"/>
  <c r="AX39" i="13"/>
  <c r="AY39" i="13" s="1"/>
  <c r="Q22" i="13"/>
  <c r="R22" i="13" s="1"/>
  <c r="C8" i="16"/>
  <c r="Q40" i="13"/>
  <c r="R40" i="13" s="1"/>
  <c r="C38" i="16"/>
  <c r="AR46" i="13"/>
  <c r="AS46" i="13" s="1"/>
  <c r="G46" i="5" s="1"/>
  <c r="G46" i="21" s="1"/>
  <c r="AU46" i="13"/>
  <c r="AV46" i="13" s="1"/>
  <c r="AX46" i="13"/>
  <c r="AY46" i="13" s="1"/>
  <c r="Q12" i="13"/>
  <c r="R12" i="13" s="1"/>
  <c r="D13" i="5" s="1"/>
  <c r="Q78" i="13"/>
  <c r="R78" i="13" s="1"/>
  <c r="W78" i="13" s="1"/>
  <c r="Q31" i="13"/>
  <c r="R31" i="13" s="1"/>
  <c r="W31" i="13" s="1"/>
  <c r="AR31" i="13" s="1"/>
  <c r="AS31" i="13" s="1"/>
  <c r="G31" i="5" s="1"/>
  <c r="G31" i="21" s="1"/>
  <c r="Q33" i="13"/>
  <c r="R33" i="13" s="1"/>
  <c r="Q23" i="13"/>
  <c r="R23" i="13" s="1"/>
  <c r="Q53" i="13"/>
  <c r="R53" i="13" s="1"/>
  <c r="D53" i="5" s="1"/>
  <c r="Q26" i="13"/>
  <c r="R26" i="13" s="1"/>
  <c r="D26" i="5" s="1"/>
  <c r="Q46" i="13"/>
  <c r="R46" i="13" s="1"/>
  <c r="W46" i="13" s="1"/>
  <c r="Q82" i="13"/>
  <c r="R82" i="13" s="1"/>
  <c r="Q48" i="13"/>
  <c r="R48" i="13" s="1"/>
  <c r="W48" i="13" s="1"/>
  <c r="Q11" i="13"/>
  <c r="R11" i="13" s="1"/>
  <c r="W11" i="13" s="1"/>
  <c r="AR11" i="13" s="1"/>
  <c r="Q44" i="13"/>
  <c r="R44" i="13" s="1"/>
  <c r="Y44" i="13" s="1"/>
  <c r="Q69" i="13"/>
  <c r="R69" i="13" s="1"/>
  <c r="Q15" i="13"/>
  <c r="R15" i="13" s="1"/>
  <c r="U15" i="13" s="1"/>
  <c r="Q60" i="13"/>
  <c r="R60" i="13" s="1"/>
  <c r="Q91" i="13"/>
  <c r="R91" i="13" s="1"/>
  <c r="D92" i="5" s="1"/>
  <c r="AR22" i="13"/>
  <c r="AS22" i="13" s="1"/>
  <c r="G22" i="5" s="1"/>
  <c r="G22" i="21" s="1"/>
  <c r="AU22" i="13"/>
  <c r="AV22" i="13" s="1"/>
  <c r="AX22" i="13"/>
  <c r="AY22" i="13" s="1"/>
  <c r="Q21" i="13"/>
  <c r="R21" i="13" s="1"/>
  <c r="C19" i="16"/>
  <c r="Q49" i="13"/>
  <c r="R49" i="13" s="1"/>
  <c r="Y49" i="13" s="1"/>
  <c r="C47" i="16"/>
  <c r="AR9" i="13"/>
  <c r="AS9" i="13" s="1"/>
  <c r="G10" i="5" s="1"/>
  <c r="G10" i="21" s="1"/>
  <c r="AX9" i="13"/>
  <c r="AY9" i="13" s="1"/>
  <c r="AU9" i="13"/>
  <c r="AV9" i="13" s="1"/>
  <c r="Q76" i="13"/>
  <c r="R76" i="13" s="1"/>
  <c r="C74" i="16"/>
  <c r="AR21" i="13"/>
  <c r="AS21" i="13" s="1"/>
  <c r="G21" i="5" s="1"/>
  <c r="G21" i="21" s="1"/>
  <c r="AX21" i="13"/>
  <c r="AY21" i="13" s="1"/>
  <c r="AU21" i="13"/>
  <c r="AV21" i="13" s="1"/>
  <c r="Q55" i="13"/>
  <c r="R55" i="13" s="1"/>
  <c r="C53" i="16"/>
  <c r="Q98" i="13"/>
  <c r="R98" i="13" s="1"/>
  <c r="Q9" i="13"/>
  <c r="R9" i="13" s="1"/>
  <c r="G98" i="16"/>
  <c r="Q54" i="13"/>
  <c r="R54" i="13" s="1"/>
  <c r="D54" i="5" s="1"/>
  <c r="D54" i="21" s="1"/>
  <c r="AB54" i="21" s="1"/>
  <c r="C34" i="16"/>
  <c r="L36" i="13"/>
  <c r="Q36" i="13" s="1"/>
  <c r="AX25" i="13"/>
  <c r="AY25" i="13" s="1"/>
  <c r="AU25" i="13"/>
  <c r="AV25" i="13" s="1"/>
  <c r="AR25" i="13"/>
  <c r="AS25" i="13" s="1"/>
  <c r="G25" i="5" s="1"/>
  <c r="G25" i="21" s="1"/>
  <c r="Q84" i="13"/>
  <c r="R84" i="13" s="1"/>
  <c r="Q67" i="13"/>
  <c r="R67" i="13" s="1"/>
  <c r="W67" i="13" s="1"/>
  <c r="Q62" i="13"/>
  <c r="R62" i="13" s="1"/>
  <c r="D64" i="5" s="1"/>
  <c r="D64" i="21" s="1"/>
  <c r="AB64" i="21" s="1"/>
  <c r="C60" i="16"/>
  <c r="AR48" i="13"/>
  <c r="AS48" i="13" s="1"/>
  <c r="G48" i="5" s="1"/>
  <c r="G48" i="21" s="1"/>
  <c r="AX48" i="13"/>
  <c r="AY48" i="13" s="1"/>
  <c r="AU48" i="13"/>
  <c r="AV48" i="13" s="1"/>
  <c r="Q19" i="13"/>
  <c r="R19" i="13" s="1"/>
  <c r="Q95" i="13"/>
  <c r="R95" i="13" s="1"/>
  <c r="Q94" i="13"/>
  <c r="R94" i="13" s="1"/>
  <c r="E92" i="16" s="1"/>
  <c r="H92" i="16" s="1"/>
  <c r="C92" i="16"/>
  <c r="Q47" i="13"/>
  <c r="R47" i="13" s="1"/>
  <c r="W47" i="13" s="1"/>
  <c r="C45" i="16"/>
  <c r="D63" i="21"/>
  <c r="AB63" i="21" s="1"/>
  <c r="Y63" i="5"/>
  <c r="K106" i="13"/>
  <c r="F30" i="3" s="1"/>
  <c r="Q25" i="13"/>
  <c r="R25" i="13" s="1"/>
  <c r="C23" i="16"/>
  <c r="D61" i="21"/>
  <c r="AB61" i="21" s="1"/>
  <c r="Y61" i="5"/>
  <c r="L37" i="13"/>
  <c r="Q37" i="13" s="1"/>
  <c r="R37" i="13" s="1"/>
  <c r="Q38" i="13"/>
  <c r="R38" i="13" s="1"/>
  <c r="E36" i="16" s="1"/>
  <c r="H36" i="16" s="1"/>
  <c r="Q39" i="13"/>
  <c r="R39" i="13" s="1"/>
  <c r="D19" i="21"/>
  <c r="AB19" i="21" s="1"/>
  <c r="Y19" i="5"/>
  <c r="Q90" i="13"/>
  <c r="E61" i="16"/>
  <c r="H61" i="16" s="1"/>
  <c r="U63" i="13"/>
  <c r="D11" i="5"/>
  <c r="W10" i="13"/>
  <c r="Y10" i="13"/>
  <c r="X10" i="13"/>
  <c r="E8" i="16"/>
  <c r="H8" i="16" s="1"/>
  <c r="Y93" i="13"/>
  <c r="W13" i="13"/>
  <c r="AR13" i="13" s="1"/>
  <c r="W92" i="13"/>
  <c r="D93" i="5"/>
  <c r="X92" i="13"/>
  <c r="E91" i="16"/>
  <c r="H91" i="16" s="1"/>
  <c r="U14" i="13"/>
  <c r="E12" i="16"/>
  <c r="H12" i="16" s="1"/>
  <c r="X26" i="13"/>
  <c r="AU26" i="13" s="1"/>
  <c r="AV26" i="13" s="1"/>
  <c r="E33" i="16"/>
  <c r="H33" i="16" s="1"/>
  <c r="D35" i="5"/>
  <c r="BQ47" i="13" l="1"/>
  <c r="BO75" i="13"/>
  <c r="BO49" i="13"/>
  <c r="BF32" i="13"/>
  <c r="AC49" i="11" s="1"/>
  <c r="BO23" i="13"/>
  <c r="BN11" i="13"/>
  <c r="BO27" i="13"/>
  <c r="BN44" i="13"/>
  <c r="BO10" i="13"/>
  <c r="BN82" i="13"/>
  <c r="BU82" i="13" s="1"/>
  <c r="Y82" i="13" s="1"/>
  <c r="BQ23" i="13"/>
  <c r="BQ83" i="13"/>
  <c r="BQ49" i="13"/>
  <c r="BO53" i="13"/>
  <c r="BQ69" i="13"/>
  <c r="BQ12" i="13"/>
  <c r="BQ62" i="13"/>
  <c r="BQ24" i="13"/>
  <c r="BO60" i="13"/>
  <c r="BN69" i="13"/>
  <c r="BN12" i="13"/>
  <c r="BO67" i="13"/>
  <c r="BO24" i="13"/>
  <c r="BQ77" i="13"/>
  <c r="BO77" i="13"/>
  <c r="BQ34" i="13"/>
  <c r="BO34" i="13"/>
  <c r="BN85" i="13"/>
  <c r="BU85" i="13" s="1"/>
  <c r="BN27" i="13"/>
  <c r="BQ11" i="13"/>
  <c r="BQ44" i="13"/>
  <c r="BN54" i="13"/>
  <c r="BU54" i="13" s="1"/>
  <c r="W54" i="13" s="1"/>
  <c r="BQ10" i="13"/>
  <c r="Y26" i="13"/>
  <c r="AX26" i="13" s="1"/>
  <c r="AY26" i="13" s="1"/>
  <c r="W26" i="13"/>
  <c r="AR26" i="13" s="1"/>
  <c r="X13" i="13"/>
  <c r="AU13" i="13" s="1"/>
  <c r="E24" i="16"/>
  <c r="H24" i="16" s="1"/>
  <c r="Y13" i="13"/>
  <c r="AX13" i="13" s="1"/>
  <c r="D14" i="5"/>
  <c r="BQ39" i="13"/>
  <c r="BQ9" i="13"/>
  <c r="BO9" i="13"/>
  <c r="BQ32" i="13"/>
  <c r="BQ36" i="13"/>
  <c r="BN38" i="13"/>
  <c r="BU38" i="13" s="1"/>
  <c r="BO36" i="13"/>
  <c r="BO40" i="13"/>
  <c r="BO84" i="13"/>
  <c r="BN70" i="13"/>
  <c r="BN26" i="13"/>
  <c r="BQ84" i="13"/>
  <c r="BQ40" i="13"/>
  <c r="BQ86" i="13"/>
  <c r="BO70" i="13"/>
  <c r="BQ26" i="13"/>
  <c r="BQ55" i="13"/>
  <c r="W32" i="13"/>
  <c r="AR32" i="13" s="1"/>
  <c r="W19" i="13"/>
  <c r="X55" i="13"/>
  <c r="E73" i="16"/>
  <c r="H73" i="16" s="1"/>
  <c r="E44" i="16"/>
  <c r="H44" i="16" s="1"/>
  <c r="Y92" i="13"/>
  <c r="X27" i="13"/>
  <c r="AU27" i="13" s="1"/>
  <c r="AV27" i="13" s="1"/>
  <c r="Y27" i="13"/>
  <c r="AX27" i="13" s="1"/>
  <c r="AY27" i="13" s="1"/>
  <c r="W70" i="13"/>
  <c r="E25" i="16"/>
  <c r="H25" i="16" s="1"/>
  <c r="W27" i="13"/>
  <c r="AR27" i="13" s="1"/>
  <c r="BF25" i="13" s="1"/>
  <c r="AC42" i="11" s="1"/>
  <c r="X75" i="13"/>
  <c r="W34" i="13"/>
  <c r="AR34" i="13" s="1"/>
  <c r="BF28" i="13" s="1"/>
  <c r="AC45" i="11" s="1"/>
  <c r="W75" i="13"/>
  <c r="Y75" i="13"/>
  <c r="X32" i="13"/>
  <c r="AU32" i="13" s="1"/>
  <c r="Y32" i="13"/>
  <c r="AX32" i="13" s="1"/>
  <c r="D71" i="5"/>
  <c r="D71" i="21" s="1"/>
  <c r="AB71" i="21" s="1"/>
  <c r="W55" i="13"/>
  <c r="W20" i="13"/>
  <c r="AR20" i="13" s="1"/>
  <c r="Y55" i="13"/>
  <c r="X20" i="13"/>
  <c r="Y20" i="13"/>
  <c r="AX20" i="13" s="1"/>
  <c r="BN42" i="13"/>
  <c r="BQ42" i="13"/>
  <c r="BO41" i="13"/>
  <c r="BQ41" i="13"/>
  <c r="X96" i="13"/>
  <c r="E94" i="16"/>
  <c r="H94" i="16" s="1"/>
  <c r="Y96" i="13"/>
  <c r="D97" i="5"/>
  <c r="D97" i="21" s="1"/>
  <c r="AB97" i="21" s="1"/>
  <c r="Y70" i="13"/>
  <c r="X93" i="13"/>
  <c r="D94" i="5"/>
  <c r="Y94" i="5" s="1"/>
  <c r="E68" i="16"/>
  <c r="H68" i="16" s="1"/>
  <c r="D85" i="5"/>
  <c r="D85" i="21" s="1"/>
  <c r="AB85" i="21" s="1"/>
  <c r="W84" i="13"/>
  <c r="Q57" i="13"/>
  <c r="W86" i="13"/>
  <c r="Y86" i="13"/>
  <c r="X86" i="13"/>
  <c r="X82" i="13"/>
  <c r="W85" i="13"/>
  <c r="Y85" i="13"/>
  <c r="X85" i="13"/>
  <c r="Y83" i="13"/>
  <c r="X83" i="13"/>
  <c r="W83" i="13"/>
  <c r="W62" i="13"/>
  <c r="Y62" i="13"/>
  <c r="X62" i="13"/>
  <c r="W39" i="13"/>
  <c r="X39" i="13"/>
  <c r="Y39" i="13"/>
  <c r="W38" i="13"/>
  <c r="Y38" i="13"/>
  <c r="X38" i="13"/>
  <c r="W35" i="13"/>
  <c r="Y35" i="13"/>
  <c r="X35" i="13"/>
  <c r="BN80" i="13"/>
  <c r="BQ80" i="13"/>
  <c r="W22" i="13"/>
  <c r="Y22" i="13"/>
  <c r="X22" i="13"/>
  <c r="W21" i="13"/>
  <c r="Y21" i="13"/>
  <c r="X21" i="13"/>
  <c r="BU33" i="13"/>
  <c r="D55" i="5"/>
  <c r="Y55" i="5" s="1"/>
  <c r="BO63" i="13"/>
  <c r="BQ63" i="13"/>
  <c r="Y77" i="13"/>
  <c r="E32" i="16"/>
  <c r="H32" i="16" s="1"/>
  <c r="X34" i="13"/>
  <c r="AU34" i="13" s="1"/>
  <c r="AV34" i="13" s="1"/>
  <c r="BF31" i="13"/>
  <c r="AC48" i="11" s="1"/>
  <c r="BN15" i="13"/>
  <c r="BQ15" i="13"/>
  <c r="BO15" i="13"/>
  <c r="BN72" i="13"/>
  <c r="BQ72" i="13"/>
  <c r="BO72" i="13"/>
  <c r="BN65" i="13"/>
  <c r="BQ65" i="13"/>
  <c r="BO65" i="13"/>
  <c r="BN58" i="13"/>
  <c r="BO58" i="13"/>
  <c r="BQ58" i="13"/>
  <c r="BN87" i="13"/>
  <c r="BO87" i="13"/>
  <c r="BQ87" i="13"/>
  <c r="BN90" i="13"/>
  <c r="BQ90" i="13"/>
  <c r="BO90" i="13"/>
  <c r="BN57" i="13"/>
  <c r="BO57" i="13"/>
  <c r="BQ57" i="13"/>
  <c r="Y34" i="13"/>
  <c r="AX34" i="13" s="1"/>
  <c r="BH28" i="13" s="1"/>
  <c r="AE45" i="11" s="1"/>
  <c r="BN94" i="13"/>
  <c r="BO94" i="13"/>
  <c r="BQ94" i="13"/>
  <c r="BN29" i="13"/>
  <c r="BQ29" i="13"/>
  <c r="BO29" i="13"/>
  <c r="BN64" i="13"/>
  <c r="BQ64" i="13"/>
  <c r="BO64" i="13"/>
  <c r="BN71" i="13"/>
  <c r="BO71" i="13"/>
  <c r="BQ71" i="13"/>
  <c r="BN95" i="13"/>
  <c r="BO95" i="13"/>
  <c r="BQ95" i="13"/>
  <c r="BN50" i="13"/>
  <c r="BO50" i="13"/>
  <c r="BQ50" i="13"/>
  <c r="BO100" i="13"/>
  <c r="BN100" i="13"/>
  <c r="BQ100" i="13"/>
  <c r="BN97" i="13"/>
  <c r="BO97" i="13"/>
  <c r="BQ97" i="13"/>
  <c r="BN91" i="13"/>
  <c r="BO91" i="13"/>
  <c r="BQ91" i="13"/>
  <c r="BN99" i="13"/>
  <c r="BO99" i="13"/>
  <c r="BQ99" i="13"/>
  <c r="BN98" i="13"/>
  <c r="BQ98" i="13"/>
  <c r="BO98" i="13"/>
  <c r="BO92" i="13"/>
  <c r="BN92" i="13"/>
  <c r="BQ92" i="13"/>
  <c r="BN14" i="13"/>
  <c r="BQ14" i="13"/>
  <c r="BO14" i="13"/>
  <c r="BN88" i="13"/>
  <c r="BO88" i="13"/>
  <c r="BQ88" i="13"/>
  <c r="E7" i="16"/>
  <c r="H7" i="16" s="1"/>
  <c r="W9" i="13"/>
  <c r="BN79" i="13"/>
  <c r="BO79" i="13"/>
  <c r="BQ79" i="13"/>
  <c r="BN93" i="13"/>
  <c r="BO93" i="13"/>
  <c r="BQ93" i="13"/>
  <c r="BN51" i="13"/>
  <c r="BQ51" i="13"/>
  <c r="BO51" i="13"/>
  <c r="BQ28" i="13"/>
  <c r="BN28" i="13"/>
  <c r="BO28" i="13"/>
  <c r="BN17" i="13"/>
  <c r="BO17" i="13"/>
  <c r="BQ17" i="13"/>
  <c r="BN16" i="13"/>
  <c r="BQ16" i="13"/>
  <c r="BO16" i="13"/>
  <c r="BO96" i="13"/>
  <c r="BQ96" i="13"/>
  <c r="BN96" i="13"/>
  <c r="X45" i="13"/>
  <c r="E29" i="16"/>
  <c r="H29" i="16" s="1"/>
  <c r="D46" i="5"/>
  <c r="D46" i="21" s="1"/>
  <c r="AB46" i="21" s="1"/>
  <c r="X46" i="13"/>
  <c r="Y46" i="13"/>
  <c r="E53" i="16"/>
  <c r="H53" i="16" s="1"/>
  <c r="E83" i="16"/>
  <c r="H83" i="16" s="1"/>
  <c r="D47" i="5"/>
  <c r="BH31" i="13"/>
  <c r="AE48" i="11" s="1"/>
  <c r="X78" i="13"/>
  <c r="E81" i="16"/>
  <c r="H81" i="16" s="1"/>
  <c r="D22" i="5"/>
  <c r="Y22" i="5" s="1"/>
  <c r="D48" i="5"/>
  <c r="W56" i="13"/>
  <c r="Y84" i="13"/>
  <c r="Y11" i="13"/>
  <c r="AX11" i="13" s="1"/>
  <c r="AY11" i="13" s="1"/>
  <c r="X11" i="13"/>
  <c r="AU11" i="13" s="1"/>
  <c r="BG19" i="13" s="1"/>
  <c r="AD36" i="11" s="1"/>
  <c r="D38" i="5"/>
  <c r="D38" i="21" s="1"/>
  <c r="AB38" i="21" s="1"/>
  <c r="E9" i="16"/>
  <c r="H9" i="16" s="1"/>
  <c r="D12" i="5"/>
  <c r="D12" i="21" s="1"/>
  <c r="AB12" i="21" s="1"/>
  <c r="Y45" i="13"/>
  <c r="D45" i="5"/>
  <c r="D45" i="21" s="1"/>
  <c r="AB45" i="21" s="1"/>
  <c r="E18" i="16"/>
  <c r="H18" i="16" s="1"/>
  <c r="E43" i="16"/>
  <c r="H43" i="16" s="1"/>
  <c r="D49" i="5"/>
  <c r="D49" i="21" s="1"/>
  <c r="AB49" i="21" s="1"/>
  <c r="E22" i="16"/>
  <c r="H22" i="16" s="1"/>
  <c r="D95" i="5"/>
  <c r="D95" i="21" s="1"/>
  <c r="AB95" i="21" s="1"/>
  <c r="X44" i="13"/>
  <c r="W91" i="13"/>
  <c r="Y56" i="5"/>
  <c r="Y94" i="13"/>
  <c r="Y91" i="13"/>
  <c r="D44" i="5"/>
  <c r="D44" i="21" s="1"/>
  <c r="AB44" i="21" s="1"/>
  <c r="Y24" i="13"/>
  <c r="W94" i="13"/>
  <c r="X91" i="13"/>
  <c r="D24" i="5"/>
  <c r="Y24" i="5" s="1"/>
  <c r="W24" i="13"/>
  <c r="X94" i="13"/>
  <c r="E89" i="16"/>
  <c r="H89" i="16" s="1"/>
  <c r="U56" i="13"/>
  <c r="F56" i="5" s="1"/>
  <c r="F56" i="21" s="1"/>
  <c r="E54" i="16"/>
  <c r="H54" i="16" s="1"/>
  <c r="Y56" i="13"/>
  <c r="E60" i="16"/>
  <c r="H60" i="16" s="1"/>
  <c r="X56" i="13"/>
  <c r="BF22" i="13"/>
  <c r="AC39" i="11" s="1"/>
  <c r="W61" i="13"/>
  <c r="D62" i="5"/>
  <c r="D62" i="21" s="1"/>
  <c r="AB62" i="21" s="1"/>
  <c r="X61" i="13"/>
  <c r="E59" i="16"/>
  <c r="H59" i="16" s="1"/>
  <c r="Y61" i="13"/>
  <c r="W44" i="13"/>
  <c r="E31" i="16"/>
  <c r="H31" i="16" s="1"/>
  <c r="D33" i="5"/>
  <c r="Y33" i="5" s="1"/>
  <c r="E84" i="16"/>
  <c r="H84" i="16" s="1"/>
  <c r="D87" i="5"/>
  <c r="D87" i="21" s="1"/>
  <c r="AB87" i="21" s="1"/>
  <c r="E42" i="16"/>
  <c r="H42" i="16" s="1"/>
  <c r="D20" i="5"/>
  <c r="D20" i="21" s="1"/>
  <c r="AB20" i="21" s="1"/>
  <c r="AS26" i="13"/>
  <c r="G26" i="5" s="1"/>
  <c r="G26" i="21" s="1"/>
  <c r="BF24" i="13"/>
  <c r="AC41" i="11" s="1"/>
  <c r="BG24" i="13"/>
  <c r="AD41" i="11" s="1"/>
  <c r="BH24" i="13"/>
  <c r="AE41" i="11" s="1"/>
  <c r="E20" i="16"/>
  <c r="H20" i="16" s="1"/>
  <c r="X9" i="13"/>
  <c r="X84" i="13"/>
  <c r="X12" i="13"/>
  <c r="AU12" i="13" s="1"/>
  <c r="BG20" i="13" s="1"/>
  <c r="AD37" i="11" s="1"/>
  <c r="Y78" i="13"/>
  <c r="X53" i="13"/>
  <c r="AU53" i="13" s="1"/>
  <c r="BG30" i="13" s="1"/>
  <c r="AD47" i="11" s="1"/>
  <c r="X48" i="13"/>
  <c r="E76" i="16"/>
  <c r="H76" i="16" s="1"/>
  <c r="D25" i="5"/>
  <c r="D25" i="21" s="1"/>
  <c r="AB25" i="21" s="1"/>
  <c r="Y48" i="13"/>
  <c r="D79" i="5"/>
  <c r="D79" i="21" s="1"/>
  <c r="AB79" i="21" s="1"/>
  <c r="E46" i="16"/>
  <c r="H46" i="16" s="1"/>
  <c r="BG32" i="13"/>
  <c r="AD49" i="11" s="1"/>
  <c r="G60" i="5"/>
  <c r="G60" i="21" s="1"/>
  <c r="BH32" i="13"/>
  <c r="AE49" i="11" s="1"/>
  <c r="BG31" i="13"/>
  <c r="AD48" i="11" s="1"/>
  <c r="AV103" i="13"/>
  <c r="Y85" i="5"/>
  <c r="Y64" i="5"/>
  <c r="D18" i="5"/>
  <c r="D18" i="21" s="1"/>
  <c r="AB18" i="21" s="1"/>
  <c r="E17" i="16"/>
  <c r="H17" i="16" s="1"/>
  <c r="W97" i="13"/>
  <c r="D98" i="5"/>
  <c r="D98" i="21" s="1"/>
  <c r="AB98" i="21" s="1"/>
  <c r="E95" i="16"/>
  <c r="H95" i="16" s="1"/>
  <c r="X97" i="13"/>
  <c r="Y97" i="13"/>
  <c r="W60" i="13"/>
  <c r="D60" i="5"/>
  <c r="D60" i="21" s="1"/>
  <c r="AB60" i="21" s="1"/>
  <c r="E58" i="16"/>
  <c r="H58" i="16" s="1"/>
  <c r="X60" i="13"/>
  <c r="Y60" i="13"/>
  <c r="R64" i="13"/>
  <c r="T63" i="13" s="1"/>
  <c r="E47" i="16"/>
  <c r="H47" i="16" s="1"/>
  <c r="D32" i="5"/>
  <c r="D32" i="21" s="1"/>
  <c r="AB32" i="21" s="1"/>
  <c r="E75" i="16"/>
  <c r="H75" i="16" s="1"/>
  <c r="D68" i="5"/>
  <c r="D68" i="21" s="1"/>
  <c r="AB68" i="21" s="1"/>
  <c r="W49" i="13"/>
  <c r="W77" i="13"/>
  <c r="Y53" i="13"/>
  <c r="AX53" i="13" s="1"/>
  <c r="Y31" i="13"/>
  <c r="AX31" i="13" s="1"/>
  <c r="BH26" i="13" s="1"/>
  <c r="AE43" i="11" s="1"/>
  <c r="E51" i="16"/>
  <c r="H51" i="16" s="1"/>
  <c r="X31" i="13"/>
  <c r="AU31" i="13" s="1"/>
  <c r="AV31" i="13" s="1"/>
  <c r="E13" i="16"/>
  <c r="H13" i="16" s="1"/>
  <c r="W53" i="13"/>
  <c r="AR53" i="13" s="1"/>
  <c r="E52" i="16"/>
  <c r="H52" i="16" s="1"/>
  <c r="Y54" i="5"/>
  <c r="Q16" i="13"/>
  <c r="X49" i="13"/>
  <c r="E30" i="16"/>
  <c r="H30" i="16" s="1"/>
  <c r="D78" i="5"/>
  <c r="D78" i="21" s="1"/>
  <c r="AB78" i="21" s="1"/>
  <c r="Y67" i="13"/>
  <c r="AX67" i="13" s="1"/>
  <c r="D77" i="5"/>
  <c r="Y77" i="5" s="1"/>
  <c r="W76" i="13"/>
  <c r="X76" i="13"/>
  <c r="E74" i="16"/>
  <c r="H74" i="16" s="1"/>
  <c r="Y76" i="13"/>
  <c r="X69" i="13"/>
  <c r="AU69" i="13" s="1"/>
  <c r="AV69" i="13" s="1"/>
  <c r="W69" i="13"/>
  <c r="AR69" i="13" s="1"/>
  <c r="AS69" i="13" s="1"/>
  <c r="G70" i="5" s="1"/>
  <c r="G70" i="21" s="1"/>
  <c r="D70" i="5"/>
  <c r="D70" i="21" s="1"/>
  <c r="AB70" i="21" s="1"/>
  <c r="E67" i="16"/>
  <c r="H67" i="16" s="1"/>
  <c r="Y69" i="13"/>
  <c r="AX69" i="13" s="1"/>
  <c r="AY69" i="13" s="1"/>
  <c r="Q87" i="13"/>
  <c r="Q79" i="13"/>
  <c r="E82" i="16"/>
  <c r="H82" i="16" s="1"/>
  <c r="D10" i="5"/>
  <c r="Y10" i="5" s="1"/>
  <c r="Q64" i="13"/>
  <c r="Q99" i="13"/>
  <c r="W98" i="13"/>
  <c r="Y98" i="13"/>
  <c r="D99" i="5"/>
  <c r="D99" i="21" s="1"/>
  <c r="AB99" i="21" s="1"/>
  <c r="X98" i="13"/>
  <c r="R50" i="13"/>
  <c r="T45" i="13" s="1"/>
  <c r="U45" i="13" s="1"/>
  <c r="F45" i="5" s="1"/>
  <c r="F45" i="21" s="1"/>
  <c r="X25" i="13"/>
  <c r="Y12" i="13"/>
  <c r="AX12" i="13" s="1"/>
  <c r="BH20" i="13" s="1"/>
  <c r="AE37" i="11" s="1"/>
  <c r="D31" i="5"/>
  <c r="E10" i="16"/>
  <c r="H10" i="16" s="1"/>
  <c r="W12" i="13"/>
  <c r="AR12" i="13" s="1"/>
  <c r="BF26" i="13"/>
  <c r="AC43" i="11" s="1"/>
  <c r="X23" i="13"/>
  <c r="E21" i="16"/>
  <c r="H21" i="16" s="1"/>
  <c r="Y23" i="13"/>
  <c r="D23" i="5"/>
  <c r="W23" i="13"/>
  <c r="R16" i="13"/>
  <c r="D40" i="5"/>
  <c r="Y40" i="13"/>
  <c r="AX40" i="13" s="1"/>
  <c r="W40" i="13"/>
  <c r="AR40" i="13" s="1"/>
  <c r="X40" i="13"/>
  <c r="AU40" i="13" s="1"/>
  <c r="E38" i="16"/>
  <c r="H38" i="16" s="1"/>
  <c r="R36" i="13"/>
  <c r="Q41" i="13"/>
  <c r="D39" i="5"/>
  <c r="D39" i="21" s="1"/>
  <c r="AB39" i="21" s="1"/>
  <c r="E37" i="16"/>
  <c r="H37" i="16" s="1"/>
  <c r="E35" i="16"/>
  <c r="H35" i="16" s="1"/>
  <c r="Y37" i="13"/>
  <c r="D37" i="5"/>
  <c r="Y37" i="5" s="1"/>
  <c r="X37" i="13"/>
  <c r="W37" i="13"/>
  <c r="U37" i="13"/>
  <c r="F37" i="5" s="1"/>
  <c r="F37" i="21" s="1"/>
  <c r="W95" i="13"/>
  <c r="Y95" i="13"/>
  <c r="X95" i="13"/>
  <c r="E93" i="16"/>
  <c r="H93" i="16" s="1"/>
  <c r="D96" i="5"/>
  <c r="D96" i="21" s="1"/>
  <c r="AB96" i="21" s="1"/>
  <c r="E23" i="16"/>
  <c r="H23" i="16" s="1"/>
  <c r="Y25" i="13"/>
  <c r="R90" i="13"/>
  <c r="Q71" i="13"/>
  <c r="W25" i="13"/>
  <c r="X67" i="13"/>
  <c r="AU67" i="13" s="1"/>
  <c r="Y9" i="13"/>
  <c r="Y47" i="13"/>
  <c r="E19" i="16"/>
  <c r="H19" i="16" s="1"/>
  <c r="D21" i="5"/>
  <c r="Q50" i="13"/>
  <c r="E65" i="16"/>
  <c r="H65" i="16" s="1"/>
  <c r="Q28" i="13"/>
  <c r="R57" i="13"/>
  <c r="E45" i="16"/>
  <c r="H45" i="16" s="1"/>
  <c r="X47" i="13"/>
  <c r="R28" i="13"/>
  <c r="D47" i="21"/>
  <c r="AB47" i="21" s="1"/>
  <c r="Y47" i="5"/>
  <c r="Y27" i="5"/>
  <c r="D27" i="21"/>
  <c r="AB27" i="21" s="1"/>
  <c r="AY13" i="13"/>
  <c r="BH21" i="13"/>
  <c r="AE38" i="11" s="1"/>
  <c r="D75" i="5"/>
  <c r="E72" i="16"/>
  <c r="X74" i="13"/>
  <c r="Y74" i="13"/>
  <c r="R79" i="13"/>
  <c r="W74" i="13"/>
  <c r="G63" i="5"/>
  <c r="G63" i="21" s="1"/>
  <c r="G62" i="5"/>
  <c r="G62" i="21" s="1"/>
  <c r="Y11" i="5"/>
  <c r="D11" i="21"/>
  <c r="AB11" i="21" s="1"/>
  <c r="D35" i="21"/>
  <c r="AB35" i="21" s="1"/>
  <c r="Y35" i="5"/>
  <c r="Y48" i="5"/>
  <c r="D48" i="21"/>
  <c r="AB48" i="21" s="1"/>
  <c r="D14" i="21"/>
  <c r="AB14" i="21" s="1"/>
  <c r="Y14" i="5"/>
  <c r="Y84" i="5"/>
  <c r="D84" i="21"/>
  <c r="AB84" i="21" s="1"/>
  <c r="D76" i="21"/>
  <c r="AB76" i="21" s="1"/>
  <c r="Y76" i="5"/>
  <c r="AR67" i="13"/>
  <c r="Y44" i="5"/>
  <c r="AS13" i="13"/>
  <c r="G14" i="5" s="1"/>
  <c r="G14" i="21" s="1"/>
  <c r="BF21" i="13"/>
  <c r="AC38" i="11" s="1"/>
  <c r="Y86" i="5"/>
  <c r="D86" i="21"/>
  <c r="AB86" i="21" s="1"/>
  <c r="D69" i="5"/>
  <c r="Y68" i="13"/>
  <c r="X68" i="13"/>
  <c r="E66" i="16"/>
  <c r="H66" i="16" s="1"/>
  <c r="W68" i="13"/>
  <c r="D93" i="21"/>
  <c r="AB93" i="21" s="1"/>
  <c r="Y93" i="5"/>
  <c r="R71" i="13"/>
  <c r="E80" i="16"/>
  <c r="D83" i="5"/>
  <c r="R87" i="13"/>
  <c r="Y53" i="5"/>
  <c r="D53" i="21"/>
  <c r="AB53" i="21" s="1"/>
  <c r="D26" i="21"/>
  <c r="AB26" i="21" s="1"/>
  <c r="Y26" i="5"/>
  <c r="D34" i="21"/>
  <c r="AB34" i="21" s="1"/>
  <c r="Y34" i="5"/>
  <c r="D92" i="21"/>
  <c r="AB92" i="21" s="1"/>
  <c r="Y92" i="5"/>
  <c r="AV13" i="13"/>
  <c r="BG21" i="13"/>
  <c r="AD38" i="11" s="1"/>
  <c r="G19" i="5"/>
  <c r="G19" i="21" s="1"/>
  <c r="G18" i="5"/>
  <c r="G18" i="21" s="1"/>
  <c r="Y13" i="5"/>
  <c r="D13" i="21"/>
  <c r="AB13" i="21" s="1"/>
  <c r="AS11" i="13"/>
  <c r="G12" i="5" s="1"/>
  <c r="G12" i="21" s="1"/>
  <c r="BF19" i="13"/>
  <c r="AC36" i="11" s="1"/>
  <c r="X54" i="13" l="1"/>
  <c r="X57" i="13" s="1"/>
  <c r="F39" i="11" s="1"/>
  <c r="Y54" i="13"/>
  <c r="Y57" i="13" s="1"/>
  <c r="H39" i="11" s="1"/>
  <c r="W82" i="13"/>
  <c r="W87" i="13" s="1"/>
  <c r="D43" i="11" s="1"/>
  <c r="Y38" i="5"/>
  <c r="Y71" i="5"/>
  <c r="AU20" i="13"/>
  <c r="AV20" i="13" s="1"/>
  <c r="AS20" i="13"/>
  <c r="G20" i="5" s="1"/>
  <c r="G20" i="21" s="1"/>
  <c r="AS34" i="13"/>
  <c r="G34" i="5" s="1"/>
  <c r="G34" i="21" s="1"/>
  <c r="BH25" i="13"/>
  <c r="AE42" i="11" s="1"/>
  <c r="BG25" i="13"/>
  <c r="AD42" i="11" s="1"/>
  <c r="C40" i="11"/>
  <c r="Y97" i="5"/>
  <c r="AS27" i="13"/>
  <c r="G27" i="5" s="1"/>
  <c r="G27" i="21" s="1"/>
  <c r="D94" i="21"/>
  <c r="AB94" i="21" s="1"/>
  <c r="D55" i="21"/>
  <c r="AB55" i="21" s="1"/>
  <c r="Y49" i="5"/>
  <c r="Y95" i="5"/>
  <c r="AY20" i="13"/>
  <c r="BH23" i="13"/>
  <c r="AE40" i="11" s="1"/>
  <c r="AS32" i="13"/>
  <c r="G32" i="5" s="1"/>
  <c r="G32" i="21" s="1"/>
  <c r="BF27" i="13"/>
  <c r="AC44" i="11" s="1"/>
  <c r="W33" i="13"/>
  <c r="Y33" i="13"/>
  <c r="X33" i="13"/>
  <c r="BG28" i="13"/>
  <c r="AD45" i="11" s="1"/>
  <c r="AY34" i="13"/>
  <c r="BG26" i="13"/>
  <c r="AD43" i="11" s="1"/>
  <c r="Y12" i="5"/>
  <c r="D22" i="21"/>
  <c r="AB22" i="21" s="1"/>
  <c r="Y62" i="5"/>
  <c r="Y46" i="5"/>
  <c r="D24" i="21"/>
  <c r="AB24" i="21" s="1"/>
  <c r="AV11" i="13"/>
  <c r="BH19" i="13"/>
  <c r="AE36" i="11" s="1"/>
  <c r="AV53" i="13"/>
  <c r="D33" i="21"/>
  <c r="AB33" i="21" s="1"/>
  <c r="Y45" i="5"/>
  <c r="BG23" i="13"/>
  <c r="AD40" i="11" s="1"/>
  <c r="AV12" i="13"/>
  <c r="Y68" i="5"/>
  <c r="D77" i="21"/>
  <c r="AB77" i="21" s="1"/>
  <c r="X64" i="13"/>
  <c r="F40" i="11" s="1"/>
  <c r="G40" i="11" s="1"/>
  <c r="L40" i="11" s="1"/>
  <c r="AE27" i="11" s="1"/>
  <c r="T46" i="13"/>
  <c r="U46" i="13" s="1"/>
  <c r="F46" i="5" s="1"/>
  <c r="F46" i="21" s="1"/>
  <c r="Y18" i="5"/>
  <c r="W50" i="13"/>
  <c r="G50" i="5" s="1"/>
  <c r="C38" i="11"/>
  <c r="T61" i="13"/>
  <c r="U61" i="13" s="1"/>
  <c r="F62" i="5" s="1"/>
  <c r="F62" i="21" s="1"/>
  <c r="E62" i="16"/>
  <c r="H62" i="16" s="1"/>
  <c r="X16" i="13"/>
  <c r="F35" i="11" s="1"/>
  <c r="Y98" i="5"/>
  <c r="Y87" i="5"/>
  <c r="W64" i="13"/>
  <c r="D40" i="11" s="1"/>
  <c r="X87" i="13"/>
  <c r="F43" i="11" s="1"/>
  <c r="Y87" i="13"/>
  <c r="H43" i="11" s="1"/>
  <c r="Y79" i="5"/>
  <c r="Y32" i="5"/>
  <c r="T60" i="13"/>
  <c r="U60" i="13" s="1"/>
  <c r="D65" i="5"/>
  <c r="Y65" i="5" s="1"/>
  <c r="T47" i="13"/>
  <c r="U47" i="13" s="1"/>
  <c r="F47" i="5" s="1"/>
  <c r="F47" i="21" s="1"/>
  <c r="T62" i="13"/>
  <c r="U62" i="13" s="1"/>
  <c r="F64" i="5" s="1"/>
  <c r="F64" i="21" s="1"/>
  <c r="T44" i="13"/>
  <c r="U44" i="13" s="1"/>
  <c r="T48" i="13"/>
  <c r="U48" i="13" s="1"/>
  <c r="F48" i="5" s="1"/>
  <c r="F48" i="21" s="1"/>
  <c r="E48" i="16"/>
  <c r="H48" i="16" s="1"/>
  <c r="Y64" i="13"/>
  <c r="H40" i="11" s="1"/>
  <c r="BF23" i="13"/>
  <c r="AC40" i="11" s="1"/>
  <c r="Y70" i="5"/>
  <c r="Y50" i="13"/>
  <c r="H38" i="11" s="1"/>
  <c r="Y20" i="5"/>
  <c r="Y25" i="5"/>
  <c r="D50" i="5"/>
  <c r="D50" i="21" s="1"/>
  <c r="AB50" i="21" s="1"/>
  <c r="E55" i="16"/>
  <c r="H55" i="16" s="1"/>
  <c r="T49" i="13"/>
  <c r="U49" i="13" s="1"/>
  <c r="F49" i="5" s="1"/>
  <c r="F49" i="21" s="1"/>
  <c r="D10" i="21"/>
  <c r="AB10" i="21" s="1"/>
  <c r="AY12" i="13"/>
  <c r="AY31" i="13"/>
  <c r="Y60" i="5"/>
  <c r="Y16" i="13"/>
  <c r="H35" i="11" s="1"/>
  <c r="X79" i="13"/>
  <c r="F42" i="11" s="1"/>
  <c r="Y71" i="13"/>
  <c r="H41" i="11" s="1"/>
  <c r="X50" i="13"/>
  <c r="F38" i="11" s="1"/>
  <c r="Y39" i="5"/>
  <c r="BH34" i="13"/>
  <c r="AE51" i="11" s="1"/>
  <c r="W79" i="13"/>
  <c r="G80" i="5" s="1"/>
  <c r="BG34" i="13"/>
  <c r="AD51" i="11" s="1"/>
  <c r="W16" i="13"/>
  <c r="D35" i="11" s="1"/>
  <c r="W57" i="13"/>
  <c r="D39" i="11" s="1"/>
  <c r="Y78" i="5"/>
  <c r="BF34" i="13"/>
  <c r="AC51" i="11" s="1"/>
  <c r="Y28" i="13"/>
  <c r="H36" i="11" s="1"/>
  <c r="Y79" i="13"/>
  <c r="H42" i="11" s="1"/>
  <c r="Y99" i="5"/>
  <c r="W71" i="13"/>
  <c r="D41" i="11" s="1"/>
  <c r="E14" i="16"/>
  <c r="H14" i="16" s="1"/>
  <c r="X28" i="13"/>
  <c r="F36" i="11" s="1"/>
  <c r="W28" i="13"/>
  <c r="G28" i="5" s="1"/>
  <c r="D23" i="21"/>
  <c r="AB23" i="21" s="1"/>
  <c r="Y23" i="5"/>
  <c r="Y31" i="5"/>
  <c r="D31" i="21"/>
  <c r="AB31" i="21" s="1"/>
  <c r="Y96" i="5"/>
  <c r="Q106" i="13"/>
  <c r="F31" i="3" s="1"/>
  <c r="BG29" i="13"/>
  <c r="AD46" i="11" s="1"/>
  <c r="AV40" i="13"/>
  <c r="AS40" i="13"/>
  <c r="G40" i="5" s="1"/>
  <c r="G40" i="21" s="1"/>
  <c r="BF29" i="13"/>
  <c r="AC46" i="11" s="1"/>
  <c r="BH29" i="13"/>
  <c r="AE46" i="11" s="1"/>
  <c r="AY40" i="13"/>
  <c r="E26" i="16"/>
  <c r="H26" i="16" s="1"/>
  <c r="D37" i="21"/>
  <c r="AB37" i="21" s="1"/>
  <c r="D40" i="21"/>
  <c r="AB40" i="21" s="1"/>
  <c r="Y40" i="5"/>
  <c r="BF20" i="13"/>
  <c r="AC37" i="11" s="1"/>
  <c r="AS12" i="13"/>
  <c r="G13" i="5" s="1"/>
  <c r="G13" i="21" s="1"/>
  <c r="X71" i="13"/>
  <c r="F41" i="11" s="1"/>
  <c r="AX107" i="13"/>
  <c r="AY107" i="13" s="1"/>
  <c r="V6" i="5" s="1"/>
  <c r="V6" i="21" s="1"/>
  <c r="T12" i="13"/>
  <c r="U12" i="13" s="1"/>
  <c r="F13" i="5" s="1"/>
  <c r="F13" i="21" s="1"/>
  <c r="T13" i="13"/>
  <c r="U13" i="13" s="1"/>
  <c r="F14" i="5" s="1"/>
  <c r="F14" i="21" s="1"/>
  <c r="T11" i="13"/>
  <c r="U11" i="13" s="1"/>
  <c r="F12" i="5" s="1"/>
  <c r="F12" i="21" s="1"/>
  <c r="T10" i="13"/>
  <c r="U10" i="13" s="1"/>
  <c r="F11" i="5" s="1"/>
  <c r="F11" i="21" s="1"/>
  <c r="C35" i="11"/>
  <c r="D15" i="5"/>
  <c r="T9" i="13"/>
  <c r="T14" i="13"/>
  <c r="T15" i="13"/>
  <c r="C36" i="11"/>
  <c r="T21" i="13"/>
  <c r="U21" i="13" s="1"/>
  <c r="F21" i="5" s="1"/>
  <c r="F21" i="21" s="1"/>
  <c r="T26" i="13"/>
  <c r="U26" i="13" s="1"/>
  <c r="F26" i="5" s="1"/>
  <c r="F26" i="21" s="1"/>
  <c r="T20" i="13"/>
  <c r="U20" i="13" s="1"/>
  <c r="F20" i="5" s="1"/>
  <c r="F20" i="21" s="1"/>
  <c r="T19" i="13"/>
  <c r="D28" i="5"/>
  <c r="T24" i="13"/>
  <c r="U24" i="13" s="1"/>
  <c r="F24" i="5" s="1"/>
  <c r="F24" i="21" s="1"/>
  <c r="T22" i="13"/>
  <c r="U22" i="13" s="1"/>
  <c r="F22" i="5" s="1"/>
  <c r="F22" i="21" s="1"/>
  <c r="T27" i="13"/>
  <c r="U27" i="13" s="1"/>
  <c r="F27" i="5" s="1"/>
  <c r="F27" i="21" s="1"/>
  <c r="T23" i="13"/>
  <c r="U23" i="13" s="1"/>
  <c r="F23" i="5" s="1"/>
  <c r="F23" i="21" s="1"/>
  <c r="T25" i="13"/>
  <c r="U25" i="13" s="1"/>
  <c r="F25" i="5" s="1"/>
  <c r="F25" i="21" s="1"/>
  <c r="D21" i="21"/>
  <c r="AB21" i="21" s="1"/>
  <c r="Y21" i="5"/>
  <c r="D91" i="5"/>
  <c r="E88" i="16"/>
  <c r="R99" i="13"/>
  <c r="Y90" i="13"/>
  <c r="Y99" i="13" s="1"/>
  <c r="H44" i="11" s="1"/>
  <c r="X90" i="13"/>
  <c r="X99" i="13" s="1"/>
  <c r="F44" i="11" s="1"/>
  <c r="W90" i="13"/>
  <c r="W99" i="13" s="1"/>
  <c r="D44" i="11" s="1"/>
  <c r="E69" i="16"/>
  <c r="H69" i="16" s="1"/>
  <c r="T56" i="13"/>
  <c r="D57" i="5"/>
  <c r="T54" i="13"/>
  <c r="U54" i="13" s="1"/>
  <c r="F54" i="5" s="1"/>
  <c r="F54" i="21" s="1"/>
  <c r="T55" i="13"/>
  <c r="U55" i="13" s="1"/>
  <c r="F55" i="5" s="1"/>
  <c r="F55" i="21" s="1"/>
  <c r="C39" i="11"/>
  <c r="T53" i="13"/>
  <c r="D36" i="5"/>
  <c r="W36" i="13"/>
  <c r="R41" i="13"/>
  <c r="E34" i="16"/>
  <c r="Y36" i="13"/>
  <c r="X36" i="13"/>
  <c r="AY53" i="13"/>
  <c r="BH30" i="13"/>
  <c r="AE47" i="11" s="1"/>
  <c r="D75" i="21"/>
  <c r="AB75" i="21" s="1"/>
  <c r="Y75" i="5"/>
  <c r="BG27" i="13"/>
  <c r="AD44" i="11" s="1"/>
  <c r="AV32" i="13"/>
  <c r="D69" i="21"/>
  <c r="AB69" i="21" s="1"/>
  <c r="Y69" i="5"/>
  <c r="T83" i="13"/>
  <c r="U83" i="13" s="1"/>
  <c r="F84" i="5" s="1"/>
  <c r="F84" i="21" s="1"/>
  <c r="T82" i="13"/>
  <c r="T86" i="13"/>
  <c r="U86" i="13" s="1"/>
  <c r="F87" i="5" s="1"/>
  <c r="F87" i="21" s="1"/>
  <c r="T85" i="13"/>
  <c r="U85" i="13" s="1"/>
  <c r="F86" i="5" s="1"/>
  <c r="F86" i="21" s="1"/>
  <c r="C43" i="11"/>
  <c r="D88" i="5"/>
  <c r="T84" i="13"/>
  <c r="U84" i="13" s="1"/>
  <c r="F85" i="5" s="1"/>
  <c r="F85" i="21" s="1"/>
  <c r="AS53" i="13"/>
  <c r="G53" i="5" s="1"/>
  <c r="G53" i="21" s="1"/>
  <c r="BF30" i="13"/>
  <c r="AC47" i="11" s="1"/>
  <c r="AR107" i="13"/>
  <c r="AS107" i="13" s="1"/>
  <c r="D83" i="21"/>
  <c r="AB83" i="21" s="1"/>
  <c r="Y83" i="5"/>
  <c r="C42" i="11"/>
  <c r="T74" i="13"/>
  <c r="T78" i="13"/>
  <c r="U78" i="13" s="1"/>
  <c r="F79" i="5" s="1"/>
  <c r="F79" i="21" s="1"/>
  <c r="D80" i="5"/>
  <c r="T77" i="13"/>
  <c r="U77" i="13" s="1"/>
  <c r="F78" i="5" s="1"/>
  <c r="F78" i="21" s="1"/>
  <c r="T76" i="13"/>
  <c r="U76" i="13" s="1"/>
  <c r="F77" i="5" s="1"/>
  <c r="F77" i="21" s="1"/>
  <c r="T75" i="13"/>
  <c r="U75" i="13" s="1"/>
  <c r="F76" i="5" s="1"/>
  <c r="F76" i="21" s="1"/>
  <c r="BH33" i="13"/>
  <c r="AE50" i="11" s="1"/>
  <c r="AY67" i="13"/>
  <c r="AV67" i="13"/>
  <c r="BG33" i="13"/>
  <c r="AD50" i="11" s="1"/>
  <c r="E85" i="16"/>
  <c r="H85" i="16" s="1"/>
  <c r="H80" i="16"/>
  <c r="C41" i="11"/>
  <c r="D72" i="5"/>
  <c r="T68" i="13"/>
  <c r="U68" i="13" s="1"/>
  <c r="F69" i="5" s="1"/>
  <c r="F69" i="21" s="1"/>
  <c r="T70" i="13"/>
  <c r="U70" i="13" s="1"/>
  <c r="F71" i="5" s="1"/>
  <c r="F71" i="21" s="1"/>
  <c r="T67" i="13"/>
  <c r="T69" i="13"/>
  <c r="U69" i="13" s="1"/>
  <c r="F70" i="5" s="1"/>
  <c r="F70" i="21" s="1"/>
  <c r="AY32" i="13"/>
  <c r="BH27" i="13"/>
  <c r="AE44" i="11" s="1"/>
  <c r="AS67" i="13"/>
  <c r="G68" i="5" s="1"/>
  <c r="G68" i="21" s="1"/>
  <c r="BF33" i="13"/>
  <c r="AC50" i="11" s="1"/>
  <c r="H72" i="16"/>
  <c r="E77" i="16"/>
  <c r="H77" i="16" s="1"/>
  <c r="AU107" i="13" l="1"/>
  <c r="AV107" i="13" s="1"/>
  <c r="F12" i="11" s="1"/>
  <c r="L47" i="11" s="1"/>
  <c r="I40" i="11"/>
  <c r="M40" i="11" s="1"/>
  <c r="AF27" i="11" s="1"/>
  <c r="E40" i="11"/>
  <c r="K40" i="11" s="1"/>
  <c r="AD27" i="11" s="1"/>
  <c r="Y50" i="5"/>
  <c r="G88" i="5"/>
  <c r="Y41" i="13"/>
  <c r="H37" i="11" s="1"/>
  <c r="H45" i="11" s="1"/>
  <c r="AX109" i="13" s="1"/>
  <c r="X41" i="13"/>
  <c r="F37" i="11" s="1"/>
  <c r="F45" i="11" s="1"/>
  <c r="AU109" i="13" s="1"/>
  <c r="W41" i="13"/>
  <c r="D37" i="11" s="1"/>
  <c r="G35" i="11"/>
  <c r="L35" i="11" s="1"/>
  <c r="AE22" i="11" s="1"/>
  <c r="I38" i="11"/>
  <c r="M38" i="11" s="1"/>
  <c r="AF25" i="11" s="1"/>
  <c r="T50" i="13"/>
  <c r="D38" i="11"/>
  <c r="E38" i="11" s="1"/>
  <c r="K38" i="11" s="1"/>
  <c r="AD25" i="11" s="1"/>
  <c r="T64" i="13"/>
  <c r="G38" i="11"/>
  <c r="L38" i="11" s="1"/>
  <c r="AE25" i="11" s="1"/>
  <c r="G39" i="11"/>
  <c r="L39" i="11" s="1"/>
  <c r="AE26" i="11" s="1"/>
  <c r="D65" i="21"/>
  <c r="AB65" i="21" s="1"/>
  <c r="G65" i="5"/>
  <c r="AR108" i="13"/>
  <c r="AX108" i="13"/>
  <c r="D42" i="11"/>
  <c r="E42" i="11" s="1"/>
  <c r="K42" i="11" s="1"/>
  <c r="AD29" i="11" s="1"/>
  <c r="G57" i="5"/>
  <c r="AU108" i="13"/>
  <c r="H12" i="11"/>
  <c r="M47" i="11" s="1"/>
  <c r="G15" i="5"/>
  <c r="I42" i="11"/>
  <c r="M42" i="11" s="1"/>
  <c r="AF29" i="11" s="1"/>
  <c r="AZ107" i="13"/>
  <c r="G72" i="5"/>
  <c r="I36" i="11"/>
  <c r="M36" i="11" s="1"/>
  <c r="AF23" i="11" s="1"/>
  <c r="G36" i="11"/>
  <c r="L36" i="11" s="1"/>
  <c r="AE23" i="11" s="1"/>
  <c r="D36" i="11"/>
  <c r="E36" i="11" s="1"/>
  <c r="K36" i="11" s="1"/>
  <c r="AD23" i="11" s="1"/>
  <c r="E35" i="11"/>
  <c r="K35" i="11" s="1"/>
  <c r="AD22" i="11" s="1"/>
  <c r="I35" i="11"/>
  <c r="M35" i="11" s="1"/>
  <c r="AF22" i="11" s="1"/>
  <c r="E39" i="11"/>
  <c r="K39" i="11" s="1"/>
  <c r="AD26" i="11" s="1"/>
  <c r="R106" i="13"/>
  <c r="F32" i="3" s="1"/>
  <c r="G41" i="11"/>
  <c r="L41" i="11" s="1"/>
  <c r="AE28" i="11" s="1"/>
  <c r="U9" i="13"/>
  <c r="T16" i="13"/>
  <c r="Y15" i="5"/>
  <c r="D15" i="21"/>
  <c r="AB15" i="21" s="1"/>
  <c r="T57" i="13"/>
  <c r="U53" i="13"/>
  <c r="T28" i="13"/>
  <c r="U19" i="13"/>
  <c r="I39" i="11"/>
  <c r="M39" i="11" s="1"/>
  <c r="AF26" i="11" s="1"/>
  <c r="I41" i="11"/>
  <c r="M41" i="11" s="1"/>
  <c r="AF28" i="11" s="1"/>
  <c r="H34" i="16"/>
  <c r="E39" i="16"/>
  <c r="H39" i="16" s="1"/>
  <c r="Y57" i="5"/>
  <c r="D57" i="21"/>
  <c r="AB57" i="21" s="1"/>
  <c r="G100" i="5"/>
  <c r="T32" i="13"/>
  <c r="U32" i="13" s="1"/>
  <c r="F32" i="5" s="1"/>
  <c r="F32" i="21" s="1"/>
  <c r="D41" i="5"/>
  <c r="T39" i="13"/>
  <c r="U39" i="13" s="1"/>
  <c r="F39" i="5" s="1"/>
  <c r="F39" i="21" s="1"/>
  <c r="C37" i="11"/>
  <c r="T34" i="13"/>
  <c r="U34" i="13" s="1"/>
  <c r="F34" i="5" s="1"/>
  <c r="F34" i="21" s="1"/>
  <c r="T31" i="13"/>
  <c r="T33" i="13"/>
  <c r="U33" i="13" s="1"/>
  <c r="F33" i="5" s="1"/>
  <c r="F33" i="21" s="1"/>
  <c r="T37" i="13"/>
  <c r="T36" i="13"/>
  <c r="U36" i="13" s="1"/>
  <c r="F36" i="5" s="1"/>
  <c r="F36" i="21" s="1"/>
  <c r="T35" i="13"/>
  <c r="U35" i="13" s="1"/>
  <c r="F35" i="5" s="1"/>
  <c r="F35" i="21" s="1"/>
  <c r="T38" i="13"/>
  <c r="U38" i="13" s="1"/>
  <c r="F38" i="5" s="1"/>
  <c r="F38" i="21" s="1"/>
  <c r="T40" i="13"/>
  <c r="U40" i="13" s="1"/>
  <c r="F40" i="5" s="1"/>
  <c r="F40" i="21" s="1"/>
  <c r="T90" i="13"/>
  <c r="C44" i="11"/>
  <c r="G44" i="11" s="1"/>
  <c r="L44" i="11" s="1"/>
  <c r="AE31" i="11" s="1"/>
  <c r="T93" i="13"/>
  <c r="U93" i="13" s="1"/>
  <c r="F94" i="5" s="1"/>
  <c r="F94" i="21" s="1"/>
  <c r="T94" i="13"/>
  <c r="U94" i="13" s="1"/>
  <c r="F95" i="5" s="1"/>
  <c r="F95" i="21" s="1"/>
  <c r="T91" i="13"/>
  <c r="U91" i="13" s="1"/>
  <c r="F92" i="5" s="1"/>
  <c r="F92" i="21" s="1"/>
  <c r="T98" i="13"/>
  <c r="U98" i="13" s="1"/>
  <c r="F99" i="5" s="1"/>
  <c r="F99" i="21" s="1"/>
  <c r="T95" i="13"/>
  <c r="U95" i="13" s="1"/>
  <c r="F96" i="5" s="1"/>
  <c r="F96" i="21" s="1"/>
  <c r="T97" i="13"/>
  <c r="U97" i="13" s="1"/>
  <c r="F98" i="5" s="1"/>
  <c r="F98" i="21" s="1"/>
  <c r="T96" i="13"/>
  <c r="U96" i="13" s="1"/>
  <c r="F97" i="5" s="1"/>
  <c r="F97" i="21" s="1"/>
  <c r="D100" i="5"/>
  <c r="T92" i="13"/>
  <c r="U92" i="13" s="1"/>
  <c r="F93" i="5" s="1"/>
  <c r="F93" i="21" s="1"/>
  <c r="H88" i="16"/>
  <c r="E97" i="16"/>
  <c r="H97" i="16" s="1"/>
  <c r="Y36" i="5"/>
  <c r="D36" i="21"/>
  <c r="AB36" i="21" s="1"/>
  <c r="D91" i="21"/>
  <c r="AB91" i="21" s="1"/>
  <c r="Y91" i="5"/>
  <c r="D28" i="21"/>
  <c r="AB28" i="21" s="1"/>
  <c r="Y28" i="5"/>
  <c r="T79" i="13"/>
  <c r="U74" i="13"/>
  <c r="G42" i="11"/>
  <c r="L42" i="11" s="1"/>
  <c r="AE29" i="11" s="1"/>
  <c r="U50" i="13"/>
  <c r="F50" i="5" s="1"/>
  <c r="F50" i="21" s="1"/>
  <c r="F44" i="5"/>
  <c r="F44" i="21" s="1"/>
  <c r="T87" i="13"/>
  <c r="U82" i="13"/>
  <c r="F60" i="5"/>
  <c r="F60" i="21" s="1"/>
  <c r="U64" i="13"/>
  <c r="F65" i="5" s="1"/>
  <c r="F65" i="21" s="1"/>
  <c r="Y88" i="5"/>
  <c r="D88" i="21"/>
  <c r="AB88" i="21" s="1"/>
  <c r="E41" i="11"/>
  <c r="K41" i="11" s="1"/>
  <c r="H6" i="21"/>
  <c r="AT107" i="13"/>
  <c r="H6" i="5"/>
  <c r="D12" i="11"/>
  <c r="K47" i="11" s="1"/>
  <c r="I43" i="11"/>
  <c r="M43" i="11" s="1"/>
  <c r="AF30" i="11" s="1"/>
  <c r="G43" i="11"/>
  <c r="L43" i="11" s="1"/>
  <c r="AE30" i="11" s="1"/>
  <c r="E43" i="11"/>
  <c r="K43" i="11" s="1"/>
  <c r="AD30" i="11" s="1"/>
  <c r="Y72" i="5"/>
  <c r="D72" i="21"/>
  <c r="AB72" i="21" s="1"/>
  <c r="Y80" i="5"/>
  <c r="D80" i="21"/>
  <c r="AB80" i="21" s="1"/>
  <c r="U67" i="13"/>
  <c r="T71" i="13"/>
  <c r="AW107" i="13" l="1"/>
  <c r="P6" i="5"/>
  <c r="P6" i="21" s="1"/>
  <c r="G37" i="11"/>
  <c r="L37" i="11" s="1"/>
  <c r="G41" i="5"/>
  <c r="C45" i="11"/>
  <c r="I37" i="11"/>
  <c r="M37" i="11" s="1"/>
  <c r="AF24" i="11" s="1"/>
  <c r="F10" i="5"/>
  <c r="F10" i="21" s="1"/>
  <c r="U16" i="13"/>
  <c r="F15" i="5" s="1"/>
  <c r="F15" i="21" s="1"/>
  <c r="Y100" i="5"/>
  <c r="D100" i="21"/>
  <c r="AB100" i="21" s="1"/>
  <c r="U31" i="13"/>
  <c r="T41" i="13"/>
  <c r="T99" i="13"/>
  <c r="U90" i="13"/>
  <c r="F18" i="5"/>
  <c r="F18" i="21" s="1"/>
  <c r="U28" i="13"/>
  <c r="F28" i="5" s="1"/>
  <c r="F28" i="21" s="1"/>
  <c r="I44" i="11"/>
  <c r="M44" i="11" s="1"/>
  <c r="AF31" i="11" s="1"/>
  <c r="E37" i="11"/>
  <c r="K37" i="11" s="1"/>
  <c r="AD24" i="11" s="1"/>
  <c r="D45" i="11"/>
  <c r="AR109" i="13" s="1"/>
  <c r="Y41" i="5"/>
  <c r="D41" i="21"/>
  <c r="AB41" i="21" s="1"/>
  <c r="F53" i="5"/>
  <c r="F53" i="21" s="1"/>
  <c r="U57" i="13"/>
  <c r="F57" i="5" s="1"/>
  <c r="F57" i="21" s="1"/>
  <c r="E44" i="11"/>
  <c r="K44" i="11" s="1"/>
  <c r="AD31" i="11" s="1"/>
  <c r="AD28" i="11"/>
  <c r="F75" i="5"/>
  <c r="F75" i="21" s="1"/>
  <c r="U79" i="13"/>
  <c r="F80" i="5" s="1"/>
  <c r="F80" i="21" s="1"/>
  <c r="U71" i="13"/>
  <c r="F68" i="5"/>
  <c r="F68" i="21" s="1"/>
  <c r="U87" i="13"/>
  <c r="F88" i="5" s="1"/>
  <c r="F88" i="21" s="1"/>
  <c r="F83" i="5"/>
  <c r="F83" i="21" s="1"/>
  <c r="L45" i="11" l="1"/>
  <c r="AU110" i="13" s="1"/>
  <c r="F11" i="11" s="1"/>
  <c r="AE24" i="11"/>
  <c r="M45" i="11"/>
  <c r="AX110" i="13" s="1"/>
  <c r="AY110" i="13" s="1"/>
  <c r="AZ110" i="13" s="1"/>
  <c r="AZ112" i="13" s="1"/>
  <c r="AY112" i="13" s="1"/>
  <c r="K45" i="11"/>
  <c r="H5" i="5" s="1"/>
  <c r="H5" i="21" s="1"/>
  <c r="U99" i="13"/>
  <c r="F100" i="5" s="1"/>
  <c r="F100" i="21" s="1"/>
  <c r="F91" i="5"/>
  <c r="F91" i="21" s="1"/>
  <c r="F31" i="5"/>
  <c r="F31" i="21" s="1"/>
  <c r="U41" i="13"/>
  <c r="F41" i="5" s="1"/>
  <c r="F41" i="21" s="1"/>
  <c r="F72" i="5"/>
  <c r="F72" i="21" s="1"/>
  <c r="P5" i="5" l="1"/>
  <c r="P5" i="21" s="1"/>
  <c r="AV110" i="13"/>
  <c r="AW110" i="13" s="1"/>
  <c r="AW112" i="13" s="1"/>
  <c r="AV115" i="13" s="1"/>
  <c r="AR110" i="13"/>
  <c r="AS110" i="13" s="1"/>
  <c r="AT110" i="13" s="1"/>
  <c r="AT112" i="13" s="1"/>
  <c r="D11" i="11"/>
  <c r="H11" i="11"/>
  <c r="V5" i="5"/>
  <c r="V5" i="21" s="1"/>
  <c r="U108" i="13"/>
  <c r="AY115" i="13"/>
  <c r="V4" i="5"/>
  <c r="V4" i="21" s="1"/>
  <c r="H10" i="11"/>
  <c r="M46" i="11" s="1"/>
  <c r="C7" i="5" l="1"/>
  <c r="C7" i="21" s="1"/>
  <c r="AV112" i="13"/>
  <c r="F10" i="11" s="1"/>
  <c r="L46" i="11" s="1"/>
  <c r="AS115" i="13"/>
  <c r="I48" i="11"/>
  <c r="AS112" i="13"/>
  <c r="H4" i="5" s="1"/>
  <c r="H4" i="21" s="1"/>
  <c r="K10" i="11"/>
  <c r="P4" i="5" l="1"/>
  <c r="P4" i="21" s="1"/>
  <c r="D10" i="11"/>
  <c r="K4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author>
  </authors>
  <commentList>
    <comment ref="R25" authorId="0" shapeId="0" xr:uid="{00000000-0006-0000-0300-000001000000}">
      <text>
        <r>
          <rPr>
            <sz val="9"/>
            <color indexed="81"/>
            <rFont val="Tahoma"/>
            <family val="2"/>
          </rPr>
          <t>Må være slik for å få manuell filtrering ved Bespokt til å fungere</t>
        </r>
      </text>
    </comment>
  </commentList>
</comments>
</file>

<file path=xl/sharedStrings.xml><?xml version="1.0" encoding="utf-8"?>
<sst xmlns="http://schemas.openxmlformats.org/spreadsheetml/2006/main" count="1835" uniqueCount="584">
  <si>
    <t xml:space="preserve"> </t>
  </si>
  <si>
    <t>Construction</t>
  </si>
  <si>
    <t>Current Version</t>
  </si>
  <si>
    <t>Previous Versions</t>
  </si>
  <si>
    <t>Mat01</t>
  </si>
  <si>
    <t>Version</t>
  </si>
  <si>
    <t>Release Date</t>
  </si>
  <si>
    <t>Description of changes/additions made to the BREEAM Assessment Scoring and Reporting Tool</t>
  </si>
  <si>
    <t>Copyright</t>
  </si>
  <si>
    <t>Date</t>
  </si>
  <si>
    <t>Residential</t>
  </si>
  <si>
    <t>Building contains multiple tenants/departments/function areas</t>
  </si>
  <si>
    <t>MANAGEMENT</t>
  </si>
  <si>
    <t>Yes</t>
  </si>
  <si>
    <t>No</t>
  </si>
  <si>
    <t>N/A</t>
  </si>
  <si>
    <t>No. of BREEAM credits available</t>
  </si>
  <si>
    <t>BRE Assessment reference no.</t>
  </si>
  <si>
    <t>Client name</t>
  </si>
  <si>
    <t>Building end user/occupier</t>
  </si>
  <si>
    <t>Assessor name</t>
  </si>
  <si>
    <t>Building details</t>
  </si>
  <si>
    <t>Building name</t>
  </si>
  <si>
    <t>Building address</t>
  </si>
  <si>
    <t>Building type (sub-group)</t>
  </si>
  <si>
    <t>Project type</t>
  </si>
  <si>
    <t>Assessment stage</t>
  </si>
  <si>
    <t>Project team details</t>
  </si>
  <si>
    <t>Developer</t>
  </si>
  <si>
    <t>Principal contractor</t>
  </si>
  <si>
    <t>Project management</t>
  </si>
  <si>
    <t>Office</t>
  </si>
  <si>
    <t>Industrial</t>
  </si>
  <si>
    <t>Retail</t>
  </si>
  <si>
    <t>Education</t>
  </si>
  <si>
    <t>Post Construction (Final, as-built)</t>
  </si>
  <si>
    <t xml:space="preserve">New Construction (shell only) </t>
  </si>
  <si>
    <t>Major Refurbishment (shell only)</t>
  </si>
  <si>
    <t>New Construction (fully fitted)</t>
  </si>
  <si>
    <t>Major Refurbishment (fully fitted)</t>
  </si>
  <si>
    <t>No laboratory</t>
  </si>
  <si>
    <t>Cat Level 2</t>
  </si>
  <si>
    <t>Cat Level 3</t>
  </si>
  <si>
    <t>Cat Level 1 only</t>
  </si>
  <si>
    <t>Assessor organisation</t>
  </si>
  <si>
    <t>New Construction</t>
  </si>
  <si>
    <t>Credits</t>
  </si>
  <si>
    <t>Hea01</t>
  </si>
  <si>
    <t>ENERGY</t>
  </si>
  <si>
    <t>HEALTH &amp; WELLBEING</t>
  </si>
  <si>
    <t>Option not applicable to building type</t>
  </si>
  <si>
    <t>General information</t>
  </si>
  <si>
    <t>BREEAM assessor declaration of assessment accuracy and quality</t>
  </si>
  <si>
    <t>Minimum standards level achieved</t>
  </si>
  <si>
    <t>Please select:</t>
  </si>
  <si>
    <t>Minimum standard(s) level</t>
  </si>
  <si>
    <t>Building type (main description)</t>
  </si>
  <si>
    <t>TRANSPORT</t>
  </si>
  <si>
    <t>WATER</t>
  </si>
  <si>
    <t>MATERIALS</t>
  </si>
  <si>
    <t>WASTE</t>
  </si>
  <si>
    <t>LAND USE &amp; ECOLOGY</t>
  </si>
  <si>
    <t>POLLUTION</t>
  </si>
  <si>
    <t>Water</t>
  </si>
  <si>
    <t>Overall Building Performance</t>
  </si>
  <si>
    <t>Building Performance by Environment Section</t>
  </si>
  <si>
    <t>Management</t>
  </si>
  <si>
    <t>% credits achieved</t>
  </si>
  <si>
    <t>No. credits available</t>
  </si>
  <si>
    <t>Health &amp; Wellbeing</t>
  </si>
  <si>
    <t>Energy</t>
  </si>
  <si>
    <t>Transport</t>
  </si>
  <si>
    <t>Materials</t>
  </si>
  <si>
    <t>Waste</t>
  </si>
  <si>
    <t>Land Use &amp; Ecology</t>
  </si>
  <si>
    <t>Pollution</t>
  </si>
  <si>
    <t>Innovation</t>
  </si>
  <si>
    <t>Unclassified</t>
  </si>
  <si>
    <t>Environmental Section</t>
  </si>
  <si>
    <t>Pass</t>
  </si>
  <si>
    <t>Good</t>
  </si>
  <si>
    <t>Very Good</t>
  </si>
  <si>
    <t>Excellent</t>
  </si>
  <si>
    <t>Outstanding</t>
  </si>
  <si>
    <t>Min. standards level achieved</t>
  </si>
  <si>
    <t>Available contribution to overall score</t>
  </si>
  <si>
    <t>Total contribution to overall building score</t>
  </si>
  <si>
    <t>Pre-assessment</t>
  </si>
  <si>
    <t>Total indicative environmental section performance</t>
  </si>
  <si>
    <t>Indicative total score</t>
  </si>
  <si>
    <t>Navn</t>
  </si>
  <si>
    <t>Issues in BREEAM-NOR v. 1.1</t>
  </si>
  <si>
    <t>P</t>
  </si>
  <si>
    <t>G</t>
  </si>
  <si>
    <t>VG</t>
  </si>
  <si>
    <t>O</t>
  </si>
  <si>
    <t>Man 01</t>
  </si>
  <si>
    <t>Man 02</t>
  </si>
  <si>
    <t>Man 03</t>
  </si>
  <si>
    <t>Man 04</t>
  </si>
  <si>
    <t>Man 05</t>
  </si>
  <si>
    <t>Man 06</t>
  </si>
  <si>
    <t>Man 07</t>
  </si>
  <si>
    <t>Kode</t>
  </si>
  <si>
    <t>Valgt bygg</t>
  </si>
  <si>
    <t>Available credits</t>
  </si>
  <si>
    <t>Contribution to score</t>
  </si>
  <si>
    <t>Total performance management</t>
  </si>
  <si>
    <t>Total performance health &amp; wellbeing</t>
  </si>
  <si>
    <t>Total performance energy</t>
  </si>
  <si>
    <t>Total performance transport</t>
  </si>
  <si>
    <t>Total performance water</t>
  </si>
  <si>
    <t>Total performance materials</t>
  </si>
  <si>
    <t>Total performance waste</t>
  </si>
  <si>
    <t>Total performance land use and ecology</t>
  </si>
  <si>
    <t>Total performance pollution</t>
  </si>
  <si>
    <t>Hea 02 Indoor air quality</t>
  </si>
  <si>
    <t>Hea 03 Thermal comfort</t>
  </si>
  <si>
    <t>Hea 04 Microbial contamination</t>
  </si>
  <si>
    <t>Hea 06 Safe access</t>
  </si>
  <si>
    <t>Hea 07 Natural Hazards</t>
  </si>
  <si>
    <t>Hea 09 Moisture protection</t>
  </si>
  <si>
    <t>Hea 01 Visual comfort</t>
  </si>
  <si>
    <t>Hea 08 Private space</t>
  </si>
  <si>
    <t>Hea 01</t>
  </si>
  <si>
    <t>Hea 02</t>
  </si>
  <si>
    <t>Hea 03</t>
  </si>
  <si>
    <t>Hea 04</t>
  </si>
  <si>
    <t>Hea 05</t>
  </si>
  <si>
    <t>Hea 06</t>
  </si>
  <si>
    <t>Hea 07</t>
  </si>
  <si>
    <t>Hea 08</t>
  </si>
  <si>
    <t>Hea 09</t>
  </si>
  <si>
    <t>Hea</t>
  </si>
  <si>
    <t>Hea 05 Acoustic performance</t>
  </si>
  <si>
    <t>Ene 01 Energy efficiency</t>
  </si>
  <si>
    <t>Ene 03 External lighting</t>
  </si>
  <si>
    <t>Ene 04 Low and zero carbon technologies</t>
  </si>
  <si>
    <t>Ene 05 Energy efficient cold storage</t>
  </si>
  <si>
    <t>Ene 06 Energy efficient transportation systems</t>
  </si>
  <si>
    <t>Ene 07 Energy Efficient Laboratory Systems</t>
  </si>
  <si>
    <t>Ene 08 Energy efficient equipment</t>
  </si>
  <si>
    <t>Ene 09 Drying space</t>
  </si>
  <si>
    <t>Ene 23 Energy performance of building structure and installations</t>
  </si>
  <si>
    <t>Ene 02 Energy monitoring</t>
  </si>
  <si>
    <t>Ene 01</t>
  </si>
  <si>
    <t>Ene 02</t>
  </si>
  <si>
    <t>Ene 03</t>
  </si>
  <si>
    <t>Ene 04</t>
  </si>
  <si>
    <t>Ene 05</t>
  </si>
  <si>
    <t>Ene 06</t>
  </si>
  <si>
    <t>Ene 07</t>
  </si>
  <si>
    <t>Ene 08</t>
  </si>
  <si>
    <t>Ene 09</t>
  </si>
  <si>
    <t>Ene 23</t>
  </si>
  <si>
    <t>Tra 01 Public transport accessibility</t>
  </si>
  <si>
    <t>Tra 02 Proximity to amenities</t>
  </si>
  <si>
    <t>Tra 04 Maximum car parking capacity</t>
  </si>
  <si>
    <t>Tra 03 Alternative modes of transport</t>
  </si>
  <si>
    <t>Tra 05 Travel plan</t>
  </si>
  <si>
    <t>Tra 01</t>
  </si>
  <si>
    <t>Tra 02</t>
  </si>
  <si>
    <t>Tra 03</t>
  </si>
  <si>
    <t>Tra 04</t>
  </si>
  <si>
    <t>Tra 05</t>
  </si>
  <si>
    <t>Wat 01 Water consumption</t>
  </si>
  <si>
    <t>Wat 02 Water monitoring</t>
  </si>
  <si>
    <t>Wat 03 Water leak detection and prevention</t>
  </si>
  <si>
    <t>Wat 04 Water efficient equipment</t>
  </si>
  <si>
    <t>Mat 01 Life cycle impacts</t>
  </si>
  <si>
    <t>Mat 03 Responsible sourcing of materials</t>
  </si>
  <si>
    <t>Mat 05 Designing for robustness</t>
  </si>
  <si>
    <t>Wst 01 Construction waste management</t>
  </si>
  <si>
    <t>LE 01 Site selection</t>
  </si>
  <si>
    <t>LE 02 Ecological value of site and protection of ecological features</t>
  </si>
  <si>
    <t>LE 04 Enhancing site ecology</t>
  </si>
  <si>
    <t>LE 05 Long term impact on biodiversity</t>
  </si>
  <si>
    <t>POL 01 Impacts of refrigerants</t>
  </si>
  <si>
    <t>POL 02 Nox emissions</t>
  </si>
  <si>
    <t>POL 03 Surface water run-off</t>
  </si>
  <si>
    <t>POL 04 Reduction of night time light pollution</t>
  </si>
  <si>
    <t>Wst 03 Operational waste</t>
  </si>
  <si>
    <t>LE 06 Building footprint</t>
  </si>
  <si>
    <t>POL 05 Noise attenuation</t>
  </si>
  <si>
    <t>Wat 01</t>
  </si>
  <si>
    <t>Wat 02</t>
  </si>
  <si>
    <t>Wat 03</t>
  </si>
  <si>
    <t>Wat 04</t>
  </si>
  <si>
    <t>Mat 01</t>
  </si>
  <si>
    <t>Mat 03</t>
  </si>
  <si>
    <t>Mat 05</t>
  </si>
  <si>
    <t>Mat 06</t>
  </si>
  <si>
    <t>Wst 01</t>
  </si>
  <si>
    <t>Wst 02</t>
  </si>
  <si>
    <t>Wst 03</t>
  </si>
  <si>
    <t>Wst 04</t>
  </si>
  <si>
    <t>LE 01</t>
  </si>
  <si>
    <t>LE 02</t>
  </si>
  <si>
    <t>LE 04</t>
  </si>
  <si>
    <t>LE 05</t>
  </si>
  <si>
    <t>LE 06</t>
  </si>
  <si>
    <t>POL 01</t>
  </si>
  <si>
    <t>POL 02</t>
  </si>
  <si>
    <t>POL 03</t>
  </si>
  <si>
    <t>POL 04</t>
  </si>
  <si>
    <t>POL 05</t>
  </si>
  <si>
    <t>Inn 01</t>
  </si>
  <si>
    <t>Inn 02</t>
  </si>
  <si>
    <t>Inn 03</t>
  </si>
  <si>
    <t>Inn 04</t>
  </si>
  <si>
    <t>Inn 05</t>
  </si>
  <si>
    <t>Inn 06</t>
  </si>
  <si>
    <t>Inn 07</t>
  </si>
  <si>
    <t>Assessor registration number</t>
  </si>
  <si>
    <t>Date for Pre-Assessment Estimation</t>
  </si>
  <si>
    <t>Date for design phase</t>
  </si>
  <si>
    <t>Completion Date</t>
  </si>
  <si>
    <t>Disclaimer</t>
  </si>
  <si>
    <t>Credits Achieved</t>
  </si>
  <si>
    <t>Weighting</t>
  </si>
  <si>
    <t>Man</t>
  </si>
  <si>
    <t>Ene</t>
  </si>
  <si>
    <t>Tra</t>
  </si>
  <si>
    <t>Wat</t>
  </si>
  <si>
    <t>Mat</t>
  </si>
  <si>
    <t>Wst</t>
  </si>
  <si>
    <t>LE</t>
  </si>
  <si>
    <t>Pol</t>
  </si>
  <si>
    <t>Inn</t>
  </si>
  <si>
    <t>Section score available</t>
  </si>
  <si>
    <t>Sum</t>
  </si>
  <si>
    <t>Wst 04 Speculative floor and ceiling finishes</t>
  </si>
  <si>
    <t>BREEAM-NOR 2016 Issue</t>
  </si>
  <si>
    <t>Initial target setting</t>
  </si>
  <si>
    <t>Exemplary Level (Innovation)</t>
  </si>
  <si>
    <t>N</t>
  </si>
  <si>
    <t>I</t>
  </si>
  <si>
    <t>OK</t>
  </si>
  <si>
    <t>Design phase progression</t>
  </si>
  <si>
    <t>Construction phase progression</t>
  </si>
  <si>
    <t>General comments</t>
  </si>
  <si>
    <t>Total credits available BREEAM-NOR 2016</t>
  </si>
  <si>
    <t>Inn 08</t>
  </si>
  <si>
    <t>Land &amp; Ecology</t>
  </si>
  <si>
    <t>BREEAM innovation credits</t>
  </si>
  <si>
    <t>Emner med innovation credits</t>
  </si>
  <si>
    <t xml:space="preserve">Original no. of BREEAM credits available </t>
  </si>
  <si>
    <t>Div filter</t>
  </si>
  <si>
    <t>User credits - INITIAL</t>
  </si>
  <si>
    <t>User credits - DESIGN</t>
  </si>
  <si>
    <t>User credits - CONSTRUCTION</t>
  </si>
  <si>
    <t>Spesialtilfeller</t>
  </si>
  <si>
    <t>Yes/No</t>
  </si>
  <si>
    <t>-</t>
  </si>
  <si>
    <t>E</t>
  </si>
  <si>
    <t>Non residential</t>
  </si>
  <si>
    <t>Level</t>
  </si>
  <si>
    <t>Samlet minimumstandard</t>
  </si>
  <si>
    <t>Samlet sum tilgjengelig</t>
  </si>
  <si>
    <t>Samlet sum oppnådd</t>
  </si>
  <si>
    <t>&gt;=</t>
  </si>
  <si>
    <t>&lt;</t>
  </si>
  <si>
    <t>Samlet prosent</t>
  </si>
  <si>
    <t>Skal minimumstandard styre?</t>
  </si>
  <si>
    <t>1=ja, 0=nei</t>
  </si>
  <si>
    <t>The rating has been limited to the min. standards level achieved</t>
  </si>
  <si>
    <t>Tilgjengelig poeng</t>
  </si>
  <si>
    <t>Inn 05 - Mat 01 Life cycle impacts</t>
  </si>
  <si>
    <t>Inn 06 - Mat 03 Responsible sourcing of materials</t>
  </si>
  <si>
    <t>Hvor mange poeng skal bort?</t>
  </si>
  <si>
    <t>Felter merket mørk grønn omfattes av filtreringen</t>
  </si>
  <si>
    <t>Ene 02a</t>
  </si>
  <si>
    <t>Inn 09</t>
  </si>
  <si>
    <t>EXEMPLARY LEVEL AND INNOVATION (max 10 credits)</t>
  </si>
  <si>
    <t>Velge farge på status</t>
  </si>
  <si>
    <t>IT</t>
  </si>
  <si>
    <t>DP</t>
  </si>
  <si>
    <t>CP</t>
  </si>
  <si>
    <t>Subject</t>
  </si>
  <si>
    <t>Stat.</t>
  </si>
  <si>
    <t>Comments</t>
  </si>
  <si>
    <t>Hea 01 Visual comfort - Criteria 1</t>
  </si>
  <si>
    <t>Mat 01 Life cycle impacts  - Criteria 1</t>
  </si>
  <si>
    <t>hea 2. no lab - 2 p, cat 1 - 1 p, cat 2og 3 tot 7 poeng</t>
  </si>
  <si>
    <t>ikke noe å si for poengfordeling.  Ikke gjør noe med denne</t>
  </si>
  <si>
    <t>Architect (ARK)</t>
  </si>
  <si>
    <t>Samlet poeng</t>
  </si>
  <si>
    <t xml:space="preserve">Pol 1 poeng går ut hvis det er industri som hverkan har treated operational area OG kontor. Dvs det må være nei på BEGGE spørsmål får å ta ut Pol 1 poeng. </t>
  </si>
  <si>
    <t>Pol 1 poeng går ut hvis det er industri som hverkan har treated operational area OG kontor. Dvs det må være nei på BEGGE spørsmål får å ta ut Pol 1 poeng. Hea 03 går ut hvis industri ikke har kontor</t>
  </si>
  <si>
    <t>OK. Dette spørsmålet kan vel egentlig utgå, er lovkrav i Norge</t>
  </si>
  <si>
    <t>UTGÅR</t>
  </si>
  <si>
    <t>OK. non residential only.</t>
  </si>
  <si>
    <t>2: Bespoke. Staff plus reasonably constant stream of visitors</t>
  </si>
  <si>
    <t>6: Residential</t>
  </si>
  <si>
    <t>1: Office &amp; Industrial. Staff &amp; occasional business visitors</t>
  </si>
  <si>
    <t>3: Retail and education. Staff with large numbers of visitors</t>
  </si>
  <si>
    <t>4: Bespoke. Rural building with few visitors</t>
  </si>
  <si>
    <t>5: Bespoke. Rural building with large numbers of visitors</t>
  </si>
  <si>
    <t>7: Bespoke. Transport Hub</t>
  </si>
  <si>
    <t>OK. type 3 retail and education, type 6 ta bort dwellings TA UT BESPOKE? Ta ut denne, da poeng er bestemt av bygningstype</t>
  </si>
  <si>
    <t>This information will determine, in part, the number of credits available for BREEAM issue Hea02 when the criteria have been finalised for laboratory facilities.</t>
  </si>
  <si>
    <t>The fields marked with a * are mandatory and must be completed/defined prior to beginning the pre-assessment to ensure an accurate indicative score and BREEAM rating. Note: without this information the pre-assessment tool cannot determine the applicable BREEAM issues and number of credits and data entry will not be possible for the building assessment.</t>
  </si>
  <si>
    <t>Initial</t>
  </si>
  <si>
    <t>Design</t>
  </si>
  <si>
    <t>Søke navn</t>
  </si>
  <si>
    <t>Design phase</t>
  </si>
  <si>
    <t>Construction phase</t>
  </si>
  <si>
    <t>Score</t>
  </si>
  <si>
    <t>No. credits available original</t>
  </si>
  <si>
    <t>No. Credits not available (filter)</t>
  </si>
  <si>
    <t>Commercial/industrial refrigeration and cold storage systems (Ene 05)</t>
  </si>
  <si>
    <t>Does the building contain  lifts, escalators or moving walks? (Ene 06)</t>
  </si>
  <si>
    <t>Laboratory function/area and size category (Ene 07, Hea 02)</t>
  </si>
  <si>
    <t>Laboratory containment level (Ene 07, Hea 02)</t>
  </si>
  <si>
    <t>Fume cupboard(s) and/or other containment devices (Ene 07, Hea 02,? )</t>
  </si>
  <si>
    <t>Does the assessed development contain external site access areas (e.g. vehicle access and parking areas)? (Hea 06)</t>
  </si>
  <si>
    <t>Are there any risks associated with natural hazards (other than flooding) for the assessed development? (Hea 07)</t>
  </si>
  <si>
    <t>What is the building type category (for the purpose of the Transport  section)? (Tra 1)</t>
  </si>
  <si>
    <t>Internal or external planting and/or soft landscaping (Wat 04)</t>
  </si>
  <si>
    <t>Vehicle Wash System (Wat 04)</t>
  </si>
  <si>
    <t>Laboratory present: &lt;10% of building's BRA</t>
  </si>
  <si>
    <t>Laboratory present: ≥10% - &lt;25% of building's BRA</t>
  </si>
  <si>
    <t>Laboratory present: ≥25% of building's BRA</t>
  </si>
  <si>
    <t>BREEAM-NOR 2016 New Construction Pre-Assessment Estimator: Version Control</t>
  </si>
  <si>
    <t>BREEAM-NOR 2016 New Construction Pre-Assessment Estimator: Summary of Building Performance</t>
  </si>
  <si>
    <t>BREEAM-NOR 2016 New Construction Pre-Assessment Estimator: Building Performance</t>
  </si>
  <si>
    <t>BREEAM-NOR 2016 New Construction Pre-Assessment Estimator: Assessment Details</t>
  </si>
  <si>
    <t>BREEAM-NOR 2016 New Construction Pre-Assessment Estimator</t>
  </si>
  <si>
    <t>(G)</t>
  </si>
  <si>
    <t>(Y)</t>
  </si>
  <si>
    <t>(R)</t>
  </si>
  <si>
    <t>(G) - Green - OK</t>
  </si>
  <si>
    <t>(Y) - Yellow - Unsure</t>
  </si>
  <si>
    <t>(R) - Red - Not OK</t>
  </si>
  <si>
    <t>Respon-sible</t>
  </si>
  <si>
    <t>Show results</t>
  </si>
  <si>
    <t>Available</t>
  </si>
  <si>
    <r>
      <t>Gross floor area, BTA - m</t>
    </r>
    <r>
      <rPr>
        <vertAlign val="superscript"/>
        <sz val="11"/>
        <color indexed="9"/>
        <rFont val="Calibri"/>
        <family val="2"/>
      </rPr>
      <t>2</t>
    </r>
  </si>
  <si>
    <r>
      <t>Usable floor area, BRA - m</t>
    </r>
    <r>
      <rPr>
        <vertAlign val="superscript"/>
        <sz val="11"/>
        <color indexed="9"/>
        <rFont val="Calibri"/>
        <family val="2"/>
      </rPr>
      <t>2</t>
    </r>
  </si>
  <si>
    <r>
      <t>Saleable usable floor area, BRAs - m</t>
    </r>
    <r>
      <rPr>
        <vertAlign val="superscript"/>
        <sz val="11"/>
        <color indexed="9"/>
        <rFont val="Calibri"/>
        <family val="2"/>
      </rPr>
      <t>2</t>
    </r>
  </si>
  <si>
    <t>Wst 02 Recycled aggregates</t>
  </si>
  <si>
    <t>Man 01 Project brief and design</t>
  </si>
  <si>
    <t>Man 02 Life cycle cost and service life planning</t>
  </si>
  <si>
    <t>Man 03 Responsible construction practices</t>
  </si>
  <si>
    <t>Man 04 Comissioning and handover</t>
  </si>
  <si>
    <t>Man 05 Aftercare</t>
  </si>
  <si>
    <t>Ene 02: Non residential</t>
  </si>
  <si>
    <t>Hea 08: Bare residential</t>
  </si>
  <si>
    <t>To activate select YES in cell P7</t>
  </si>
  <si>
    <t>To activate select YES in cell V7</t>
  </si>
  <si>
    <t>Mat03</t>
  </si>
  <si>
    <t>Mat 03 Responsible sourcing of mat.  - Crit 1.</t>
  </si>
  <si>
    <t>Wst 01 Construction site waste man.</t>
  </si>
  <si>
    <t xml:space="preserve">Copyright exists on the BREEAM logo and this may not be used or reproduced for any purpose without the prior written consent of the NGBC/BRE Global Ltd.
</t>
  </si>
  <si>
    <t>Note: If you are starting a new pre-assessment please ensure you are using the latest template version of the BREEAM-NOR 2016 Pre-Assessment Estimator and not a version used for an existing/previous pre-assessment.</t>
  </si>
  <si>
    <t>BREEAM-NOR Assessor Signature</t>
  </si>
  <si>
    <t>Indicative BREEAM-NOR rating</t>
  </si>
  <si>
    <t>Tra 06</t>
  </si>
  <si>
    <t>Tra 06 Home office</t>
  </si>
  <si>
    <t xml:space="preserve">Approved innovation credits </t>
  </si>
  <si>
    <t>Consulting engineer Engineering (RIB)</t>
  </si>
  <si>
    <t>Consulting engineer Environment (RIM)</t>
  </si>
  <si>
    <t>Consulting engineer Electrical (RIE)</t>
  </si>
  <si>
    <t>Consulting engineer HVAC (RIV)</t>
  </si>
  <si>
    <t>BREEAM-NOR Accredited Professional</t>
  </si>
  <si>
    <t>BREEAM-NOR scheme</t>
  </si>
  <si>
    <t>BREEAM-NOR version</t>
  </si>
  <si>
    <t>BREEAM-NOR 2016</t>
  </si>
  <si>
    <t>Process / manufacturing unit</t>
  </si>
  <si>
    <t>Vehicle servicing unit</t>
  </si>
  <si>
    <t>Warehouse storage / distribution</t>
  </si>
  <si>
    <t>General office building</t>
  </si>
  <si>
    <t>Office with research and development areas</t>
  </si>
  <si>
    <t>Café</t>
  </si>
  <si>
    <t>Drinking establishment</t>
  </si>
  <si>
    <t>Restaurant</t>
  </si>
  <si>
    <t>Retail park/warehouse</t>
  </si>
  <si>
    <t>Shop</t>
  </si>
  <si>
    <t>Shopping centre</t>
  </si>
  <si>
    <t>Showroom</t>
  </si>
  <si>
    <t>Apartment Blocks</t>
  </si>
  <si>
    <t>Individual dwelling</t>
  </si>
  <si>
    <t>Collection of individual dwellings/dwelling types</t>
  </si>
  <si>
    <t>Hot food takeaway</t>
  </si>
  <si>
    <t>Over the counter’ service provider</t>
  </si>
  <si>
    <t>1.01</t>
  </si>
  <si>
    <t xml:space="preserve">Assessment Details: Commercial/industrial refrigeration and cold storage systems (Ene 05) not visible when building type is residential. This change does not affect the calculations. </t>
  </si>
  <si>
    <t>Initial Release Version of BREEAM-NOR 2016 New Construction Pre-Assessment Tool.</t>
  </si>
  <si>
    <t>1.00</t>
  </si>
  <si>
    <t>1.02</t>
  </si>
  <si>
    <t>1.03</t>
  </si>
  <si>
    <t>No, confirmed by appropriate person</t>
  </si>
  <si>
    <t>Unknown</t>
  </si>
  <si>
    <t>Does the building require the use of refrigerants within its installed plant/systems? (Pol 01)</t>
  </si>
  <si>
    <t>Others, project team</t>
  </si>
  <si>
    <t>1.04</t>
  </si>
  <si>
    <r>
      <rPr>
        <b/>
        <sz val="11"/>
        <color indexed="8"/>
        <rFont val="Calibri"/>
        <family val="2"/>
      </rPr>
      <t xml:space="preserve">POL 01: </t>
    </r>
    <r>
      <rPr>
        <sz val="11"/>
        <color indexed="8"/>
        <rFont val="Calibri"/>
        <family val="2"/>
      </rPr>
      <t xml:space="preserve">Assessment details: Changed question ODP legislation to does the building contain refrigerants.
</t>
    </r>
    <r>
      <rPr>
        <b/>
        <sz val="11"/>
        <color indexed="8"/>
        <rFont val="Calibri"/>
        <family val="2"/>
      </rPr>
      <t>TRA 04:</t>
    </r>
    <r>
      <rPr>
        <sz val="11"/>
        <color indexed="8"/>
        <rFont val="Calibri"/>
        <family val="2"/>
      </rPr>
      <t xml:space="preserve"> Adjusted to 0 credits available when retail.</t>
    </r>
  </si>
  <si>
    <r>
      <rPr>
        <b/>
        <sz val="11"/>
        <color theme="1"/>
        <rFont val="Calibri"/>
        <family val="2"/>
        <scheme val="minor"/>
      </rPr>
      <t>Ene 05:</t>
    </r>
    <r>
      <rPr>
        <sz val="11"/>
        <color theme="1"/>
        <rFont val="Calibri"/>
        <family val="2"/>
        <scheme val="minor"/>
      </rPr>
      <t xml:space="preserve"> If the building does not contain commercial/industrial sized refrigeration system(s), 0 credits available in Pre-Assessment Estimator.</t>
    </r>
  </si>
  <si>
    <t>Does this industrial building have a heated or cooled operational area? (Pol 01, Pol 02)</t>
  </si>
  <si>
    <t>Does this industrial building have an office area? (Pol 01, Pol 02, Hea 03)</t>
  </si>
  <si>
    <t>Higher Education - University</t>
  </si>
  <si>
    <t>Preschool - Secondary Education</t>
  </si>
  <si>
    <t>Use this sheet if you need to copy the Pre-Assessment Estimator to new Excel Workbook</t>
  </si>
  <si>
    <t>For assessment details, HEA 07</t>
  </si>
  <si>
    <t>Please select</t>
  </si>
  <si>
    <t>Bespoke</t>
  </si>
  <si>
    <t>Inn 01 - Man 05 Aftercare</t>
  </si>
  <si>
    <t>Inn 02 - Hea 02 Indoor air quality</t>
  </si>
  <si>
    <t>Inn 03 - Tra 03 Alternative modes of transport</t>
  </si>
  <si>
    <t>Inn 04 - Wat 01 Water consumption</t>
  </si>
  <si>
    <t>Inn 07 - Wst 01 Construction site waste man.</t>
  </si>
  <si>
    <t>Inn 08 - Wst 02 Recycled aggregatess</t>
  </si>
  <si>
    <t xml:space="preserve">Inn 09 - Approved innovation credits </t>
  </si>
  <si>
    <t>BREEAM REFERANSE</t>
  </si>
  <si>
    <t>BREEAM-Topic EMNE</t>
  </si>
  <si>
    <t>Available credits TILGJENGELIGE POENG</t>
  </si>
  <si>
    <t>Is credits relevant for the project? Yes/No POENG AKTUELLE FOR PROSJEKTET? JA/NEI</t>
  </si>
  <si>
    <t>Ledelse:</t>
  </si>
  <si>
    <t>Project brief &amp; design</t>
  </si>
  <si>
    <t>YES</t>
  </si>
  <si>
    <t>Life cycle cost and service life planning</t>
  </si>
  <si>
    <t>Responsible construction practices</t>
  </si>
  <si>
    <t>Commissioning and handover</t>
  </si>
  <si>
    <t>Aftercare</t>
  </si>
  <si>
    <t>Helse og innemiljø:</t>
  </si>
  <si>
    <r>
      <rPr>
        <b/>
        <sz val="9"/>
        <color theme="1"/>
        <rFont val="Calibri"/>
        <family val="2"/>
        <scheme val="minor"/>
      </rPr>
      <t>Visual comfort:</t>
    </r>
    <r>
      <rPr>
        <sz val="9"/>
        <color theme="1"/>
        <rFont val="Calibri"/>
        <family val="2"/>
        <scheme val="minor"/>
      </rPr>
      <t xml:space="preserve">
Daylighting</t>
    </r>
  </si>
  <si>
    <t>Glare control and view out</t>
  </si>
  <si>
    <t>Internal and External lighting</t>
  </si>
  <si>
    <r>
      <rPr>
        <b/>
        <sz val="9"/>
        <color theme="1"/>
        <rFont val="Calibri"/>
        <family val="2"/>
        <scheme val="minor"/>
      </rPr>
      <t>Indoor air quality:</t>
    </r>
    <r>
      <rPr>
        <sz val="9"/>
        <color theme="1"/>
        <rFont val="Calibri"/>
        <family val="2"/>
        <scheme val="minor"/>
      </rPr>
      <t xml:space="preserve">
Minimising sources of air pollution</t>
    </r>
  </si>
  <si>
    <t>Potential for natural ventilation</t>
  </si>
  <si>
    <t>Laboratory fume cupboard and containment areas</t>
  </si>
  <si>
    <t>NO</t>
  </si>
  <si>
    <t>Thermal comfort</t>
  </si>
  <si>
    <t>Microbial contamination</t>
  </si>
  <si>
    <t>Acoustic performance</t>
  </si>
  <si>
    <t>Safe access</t>
  </si>
  <si>
    <t>Natural hazards</t>
  </si>
  <si>
    <t>Private space</t>
  </si>
  <si>
    <t>Moisture protection</t>
  </si>
  <si>
    <t>Energi:</t>
  </si>
  <si>
    <t>Energy efficiency</t>
  </si>
  <si>
    <t>Energy monitoring</t>
  </si>
  <si>
    <t>Ene 02b</t>
  </si>
  <si>
    <t>External Lighting</t>
  </si>
  <si>
    <t>Low and zero carbon technologies</t>
  </si>
  <si>
    <t>Energy efficient cold storage</t>
  </si>
  <si>
    <t>Energy efficient transportation systems</t>
  </si>
  <si>
    <t>Energy efficient laboratory systems</t>
  </si>
  <si>
    <t>Energy efficient equipment</t>
  </si>
  <si>
    <t>Drying space</t>
  </si>
  <si>
    <t>Energy performance of building structure</t>
  </si>
  <si>
    <t>Transport:</t>
  </si>
  <si>
    <t>Public transport accessibility</t>
  </si>
  <si>
    <t>Proximity to amenities</t>
  </si>
  <si>
    <t>Tra 03a</t>
  </si>
  <si>
    <t>Alternative modes of transport</t>
  </si>
  <si>
    <t>Tra 03b</t>
  </si>
  <si>
    <t>Maximum car parking capacity</t>
  </si>
  <si>
    <t>Travel plan</t>
  </si>
  <si>
    <t>Home office</t>
  </si>
  <si>
    <t>Vann:</t>
  </si>
  <si>
    <t>Water consumption</t>
  </si>
  <si>
    <t>Water monitoring</t>
  </si>
  <si>
    <t>Water leak detection and prevention</t>
  </si>
  <si>
    <t>Water efficient equipment</t>
  </si>
  <si>
    <t>Materialer:</t>
  </si>
  <si>
    <t>Life cycle impacts</t>
  </si>
  <si>
    <t xml:space="preserve">Responsible sourcing of materials </t>
  </si>
  <si>
    <t>Designing for robustness</t>
  </si>
  <si>
    <t>Avfall:</t>
  </si>
  <si>
    <t>Construction waste management</t>
  </si>
  <si>
    <t>Recycled aggregates</t>
  </si>
  <si>
    <t>Wst 03a</t>
  </si>
  <si>
    <t>Operational waste</t>
  </si>
  <si>
    <t>Wst 03b</t>
  </si>
  <si>
    <t>Speculative floor &amp; ceiling finishes</t>
  </si>
  <si>
    <t>Arealbruk og økologi:</t>
  </si>
  <si>
    <t>Site selection</t>
  </si>
  <si>
    <t>Ecological value of site and protection of ecological features</t>
  </si>
  <si>
    <t>Enhancing site ecology</t>
  </si>
  <si>
    <t>Long term impact on biodiversity</t>
  </si>
  <si>
    <t>Building footprint</t>
  </si>
  <si>
    <t>Forurensning:</t>
  </si>
  <si>
    <t>Pol 01</t>
  </si>
  <si>
    <t>Impact of refrigerants</t>
  </si>
  <si>
    <t>Pol 02</t>
  </si>
  <si>
    <t>NOx emissions</t>
  </si>
  <si>
    <t>Pol 03</t>
  </si>
  <si>
    <t>Flood risk management and reducing surface water run-off</t>
  </si>
  <si>
    <t>Pol 04</t>
  </si>
  <si>
    <t xml:space="preserve">Reduction of Night Time Light Pollution </t>
  </si>
  <si>
    <t>Pol 05</t>
  </si>
  <si>
    <t>Reduction of noise pollution</t>
  </si>
  <si>
    <t>Innovasjon:</t>
  </si>
  <si>
    <t>Indoor air quality</t>
  </si>
  <si>
    <t>Responsible sourcing of materials</t>
  </si>
  <si>
    <t>Construction site waste management</t>
  </si>
  <si>
    <t>BESPOKE</t>
  </si>
  <si>
    <t>TEST</t>
  </si>
  <si>
    <t>Lim inn her</t>
  </si>
  <si>
    <t>1.05</t>
  </si>
  <si>
    <t>Building name:</t>
  </si>
  <si>
    <t>Land use &amp; Ecology</t>
  </si>
  <si>
    <t>Exemplary level and innovation (max 10 credits)</t>
  </si>
  <si>
    <r>
      <t xml:space="preserve">Pol 01: </t>
    </r>
    <r>
      <rPr>
        <sz val="11"/>
        <color theme="1"/>
        <rFont val="Calibri"/>
        <family val="2"/>
        <scheme val="minor"/>
      </rPr>
      <t>Available credits for  builings with and without refrigerants within its installed plant/systems: 3 credits.</t>
    </r>
    <r>
      <rPr>
        <b/>
        <sz val="11"/>
        <color theme="1"/>
        <rFont val="Calibri"/>
        <family val="2"/>
        <scheme val="minor"/>
      </rPr>
      <t xml:space="preserve">
Pol 02</t>
    </r>
    <r>
      <rPr>
        <sz val="11"/>
        <color theme="1"/>
        <rFont val="Calibri"/>
        <family val="2"/>
        <scheme val="minor"/>
      </rPr>
      <t xml:space="preserve">: Industrial building, If the building does not contain an office area, and the operational area is designed to be unheated without significant hot water, 0 credits available in Pre-Assessment Estimator.
</t>
    </r>
    <r>
      <rPr>
        <b/>
        <sz val="11"/>
        <color theme="1"/>
        <rFont val="Calibri"/>
        <family val="2"/>
        <scheme val="minor"/>
      </rPr>
      <t>Tra 01</t>
    </r>
    <r>
      <rPr>
        <sz val="11"/>
        <color theme="1"/>
        <rFont val="Calibri"/>
        <family val="2"/>
        <scheme val="minor"/>
      </rPr>
      <t xml:space="preserve">: Education, If Preschool - Secondary Education, 3 credits available in Pre-Assessment Estimator (adjusted from 5 credits).
</t>
    </r>
    <r>
      <rPr>
        <b/>
        <sz val="11"/>
        <color theme="1"/>
        <rFont val="Calibri"/>
        <family val="2"/>
        <scheme val="minor"/>
      </rPr>
      <t>Hea 02:</t>
    </r>
    <r>
      <rPr>
        <sz val="11"/>
        <color theme="1"/>
        <rFont val="Calibri"/>
        <family val="2"/>
        <scheme val="minor"/>
      </rPr>
      <t xml:space="preserve"> Corrected minimum standard in tool according to manual: min 2 credits for VG, min 3 credits for E and O (criteria 6 and 8 includes criteria 1).</t>
    </r>
  </si>
  <si>
    <t>Man 04 Commissioning and handover</t>
  </si>
  <si>
    <t>POL 02 NOx emissions</t>
  </si>
  <si>
    <t>Building description</t>
  </si>
  <si>
    <t>Comment</t>
  </si>
  <si>
    <t>Pre-Assessment Estimator, version:</t>
  </si>
  <si>
    <r>
      <rPr>
        <b/>
        <sz val="11"/>
        <color indexed="8"/>
        <rFont val="Calibri"/>
        <family val="2"/>
      </rPr>
      <t>Sheet Pre-Assessment Estimator:</t>
    </r>
    <r>
      <rPr>
        <sz val="11"/>
        <color indexed="8"/>
        <rFont val="Calibri"/>
        <family val="2"/>
      </rPr>
      <t xml:space="preserve"> Fixed yes/no error for Design phase progression and Construction phase progression
</t>
    </r>
    <r>
      <rPr>
        <b/>
        <sz val="11"/>
        <color indexed="8"/>
        <rFont val="Calibri"/>
        <family val="2"/>
      </rPr>
      <t>Added "PAE available for copy"</t>
    </r>
    <r>
      <rPr>
        <sz val="11"/>
        <color indexed="8"/>
        <rFont val="Calibri"/>
        <family val="2"/>
      </rPr>
      <t>: Use this sheet if you need to copy the Pre-Assessment Estimator to new Excel Workbook</t>
    </r>
    <r>
      <rPr>
        <b/>
        <sz val="11"/>
        <color indexed="8"/>
        <rFont val="Calibri"/>
        <family val="2"/>
      </rPr>
      <t/>
    </r>
  </si>
  <si>
    <t>1.06</t>
  </si>
  <si>
    <r>
      <rPr>
        <b/>
        <sz val="11"/>
        <color indexed="8"/>
        <rFont val="Calibri"/>
        <family val="2"/>
      </rPr>
      <t>Sheet Assessment Details:</t>
    </r>
    <r>
      <rPr>
        <sz val="11"/>
        <color indexed="8"/>
        <rFont val="Calibri"/>
        <family val="2"/>
      </rPr>
      <t xml:space="preserve"> Corrected error: when editing text, the existing text disappeared.</t>
    </r>
  </si>
  <si>
    <r>
      <rPr>
        <b/>
        <sz val="11"/>
        <color theme="1"/>
        <rFont val="Calibri"/>
        <family val="2"/>
        <scheme val="minor"/>
      </rPr>
      <t xml:space="preserve">Disclaimer </t>
    </r>
    <r>
      <rPr>
        <sz val="11"/>
        <color theme="1"/>
        <rFont val="Calibri"/>
        <family val="2"/>
        <scheme val="minor"/>
      </rPr>
      <t xml:space="preserve">
Thank you for downloading and using the BREEAM-NOR New Construction 2016 Pre-Assessment Estimator. 
If you are using the Pre-Assessment Estimator for the first time please take a few moments to read the following: 
The Pre-Assessment Estimator is the property of GBA and BRE Global Ltd and is made publicly available for information purposes only. Its use for testing, assessment, certification or approval is not permitted. The results presented are indicative only of a building's potential performance and are based on a simplified, informal assessment and unverified commitments. The results do not represent a formal certified BREEAM-NOR assessment or rating and must not be communicated or presented as a BREEAM-NOR rating. GBA/BRE Global Ltd accepts no responsibility for any actions taken as a result of information presented or interpreted by the BREEAM-NOR Pre-Assessment Estimator. </t>
    </r>
  </si>
  <si>
    <r>
      <rPr>
        <b/>
        <sz val="11"/>
        <color theme="1"/>
        <rFont val="Calibri"/>
        <family val="2"/>
        <scheme val="minor"/>
      </rPr>
      <t xml:space="preserve">Starting a pre-assessment </t>
    </r>
    <r>
      <rPr>
        <sz val="11"/>
        <color theme="1"/>
        <rFont val="Calibri"/>
        <family val="2"/>
        <scheme val="minor"/>
      </rPr>
      <t xml:space="preserve">
You have downloaded and opened the template version of the BREEAM-NOR 2016 Pre-Assessment Estimator. The template version must always be used to start a new pre-assessment of a building. 
To begin a pre-assessment of a building you must first define a few characteristics of the building requiring pre-assessment in the Assessment Details worksheet. This information ensures the Pre-Assessment Estimator selects the correct number of BREEAM-NOR issues and credits for the building. </t>
    </r>
  </si>
  <si>
    <r>
      <rPr>
        <b/>
        <sz val="11"/>
        <color theme="1"/>
        <rFont val="Calibri"/>
        <family val="2"/>
        <scheme val="minor"/>
      </rPr>
      <t xml:space="preserve">Completing a pre-assessment </t>
    </r>
    <r>
      <rPr>
        <sz val="11"/>
        <color theme="1"/>
        <rFont val="Calibri"/>
        <family val="2"/>
        <scheme val="minor"/>
      </rPr>
      <t xml:space="preserve">
These questions are arranged by assessment issue. The number of indicative BREEAM-NOR credits achieved and overall performance will depend on your response to each question. In most cases questions are answered by entering the number of BREEAM-NOR credits you wish to award. 
Before proceeding with the pre-assessment it is recommended that you save a copy of the Pre-Assessment Estimator using the building name and date as a filename, for example: BREEAM-NOR 2016 Pre-Assessment Estimator_v1.0 - Office HQ 1/11/16.</t>
    </r>
  </si>
  <si>
    <t>Utviklet for Grønn Byggallianse av Asplan Viak i samarbeid med Vedal og OSU</t>
  </si>
  <si>
    <t>,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(SD5075NOR). Furthermore, I confirm that this assessment and the information on which it is based has been checked and verified in accordance with GBA/BRE Global Ltd's UKAS accredited BREEAM-NOR operating procedures for BREEAM-NOR assessments and assessors, as described in the  technical scheme document (SD5075NOR) and associated BREEAM-NOR operational documents.</t>
  </si>
  <si>
    <t>This Pre-Assessment Estimator is the property of GBA and BRE Global Ltd and is made publicly available for information purposes only. Its use for testing, assessment, certification or approval is not permitted. The results presented are indicative only of a building's potential performance which is based on a simplified, informal assessment and unverified commitments. The results do not represent a formal certified BREEAM-NOR assessment or rating and must not be communicated as such. GBA/BRE Global Ltd accepts no responsibility for any actions taken as a result of information presented or interpreted by the BREEAM-NOR Pre-Assessment Estimator. To carry out a formal BREEAM-NOR assessment contact a licensed BREEAM-NOR Assessor organisation. A list of licensed BREEAM-NOR Assessors is available from the www.byggalliansen.no and Green Book Live website: www.greenbooklive.com</t>
  </si>
  <si>
    <t>The BREEAM and BREEAM-NOR name and logo are registered trademarks of the Building Research Establishment Limited.</t>
  </si>
  <si>
    <r>
      <rPr>
        <b/>
        <sz val="11"/>
        <color indexed="8"/>
        <rFont val="Calibri"/>
        <family val="2"/>
      </rPr>
      <t>All sheets</t>
    </r>
    <r>
      <rPr>
        <b/>
        <sz val="11"/>
        <color rgb="FF000000"/>
        <rFont val="Calibri"/>
        <family val="2"/>
      </rPr>
      <t>:</t>
    </r>
    <r>
      <rPr>
        <sz val="11"/>
        <color rgb="FF000000"/>
        <rFont val="Calibri"/>
        <family val="2"/>
      </rPr>
      <t xml:space="preserve"> Updated names and logos to reflect the new Grønn Byggallianse organisation</t>
    </r>
  </si>
  <si>
    <t>1.07</t>
  </si>
  <si>
    <t>Inn 08 - Wst 02 Recycled aggregates</t>
  </si>
  <si>
    <t>Shell and core</t>
  </si>
  <si>
    <t>Ja</t>
  </si>
  <si>
    <t>Nei</t>
  </si>
  <si>
    <t>Option 1</t>
  </si>
  <si>
    <t>Option 2</t>
  </si>
  <si>
    <t>Option 3</t>
  </si>
  <si>
    <t>Næringsbygg</t>
  </si>
  <si>
    <t>Option 2:  -50% credit</t>
  </si>
  <si>
    <t xml:space="preserve">Naturally ventilated </t>
  </si>
  <si>
    <t>Shell core</t>
  </si>
  <si>
    <t>HEA 01</t>
  </si>
  <si>
    <t>HEA 02</t>
  </si>
  <si>
    <t>ENE 02a</t>
  </si>
  <si>
    <t>WAT 03</t>
  </si>
  <si>
    <t>ledig</t>
  </si>
  <si>
    <t>Faktor</t>
  </si>
  <si>
    <t>minus</t>
  </si>
  <si>
    <t>Hva</t>
  </si>
  <si>
    <t>Maks</t>
  </si>
  <si>
    <t>gange</t>
  </si>
  <si>
    <t>S/C</t>
  </si>
  <si>
    <t>Shell/core</t>
  </si>
  <si>
    <t>Endring</t>
  </si>
  <si>
    <t>Shell Core</t>
  </si>
  <si>
    <t>Påvirker poeng</t>
  </si>
  <si>
    <t>Juster endring</t>
  </si>
  <si>
    <t>Minus</t>
  </si>
  <si>
    <t>INN</t>
  </si>
  <si>
    <t>Gange</t>
  </si>
  <si>
    <t>Ny maksverdi ved nei</t>
  </si>
  <si>
    <t>Hvis ikke S/C</t>
  </si>
  <si>
    <t>Innovasjon</t>
  </si>
  <si>
    <t>Minus elelr gange</t>
  </si>
  <si>
    <t>S/C bare næring. Ja = bare næring. Nei = kun bolig</t>
  </si>
  <si>
    <t>Alle</t>
  </si>
  <si>
    <t>VOC N/A</t>
  </si>
  <si>
    <t>Sub-metering N/A</t>
  </si>
  <si>
    <t>Flow control N/A</t>
  </si>
  <si>
    <t>O2: Glare control (-0,5 c)</t>
  </si>
  <si>
    <t>O2: Artificial lighting (-0,5 c)</t>
  </si>
  <si>
    <t>O1: Glare ctrl/artificial light</t>
  </si>
  <si>
    <t/>
  </si>
  <si>
    <t>O1: VOC</t>
  </si>
  <si>
    <t>O2: VOC (AC 6-7: -0,5 c)</t>
  </si>
  <si>
    <t>O2: VOC (AC 8-9: -1,0 c)</t>
  </si>
  <si>
    <t>O3: VOC</t>
  </si>
  <si>
    <t>O2: Flow control (-0,5 c)</t>
  </si>
  <si>
    <t>O1: Flow control</t>
  </si>
  <si>
    <t xml:space="preserve">O3: Flow control </t>
  </si>
  <si>
    <t>O1: Sub-metering</t>
  </si>
  <si>
    <t>O2: Sub-met. (AC 1-3: -0,5 c)</t>
  </si>
  <si>
    <t>O2: Sub-met. (AC 4-7: -1,0 c)</t>
  </si>
  <si>
    <t>O3: Sub-metering</t>
  </si>
  <si>
    <t>O3: Glare ctrl/artif lighting</t>
  </si>
  <si>
    <t>O2: Glare ctrl &amp; artif light (-1,0 c)</t>
  </si>
  <si>
    <t>Glare ctrl/artif lighting N/A</t>
  </si>
  <si>
    <t>Påvirker minimumspoeng</t>
  </si>
  <si>
    <t>shell core</t>
  </si>
  <si>
    <t>Option 2: Where relevant, 50% of achieved credit is subtracted from score.</t>
  </si>
  <si>
    <t>1.08</t>
  </si>
  <si>
    <r>
      <rPr>
        <b/>
        <sz val="11"/>
        <color rgb="FF000000"/>
        <rFont val="Calibri"/>
        <family val="2"/>
      </rPr>
      <t>Assessment Details:</t>
    </r>
    <r>
      <rPr>
        <sz val="11"/>
        <color indexed="8"/>
        <rFont val="Calibri"/>
        <family val="2"/>
      </rPr>
      <t xml:space="preserve"> Added function for New Construction (</t>
    </r>
    <r>
      <rPr>
        <b/>
        <sz val="11"/>
        <color rgb="FF000000"/>
        <rFont val="Calibri"/>
        <family val="2"/>
      </rPr>
      <t>shell only</t>
    </r>
    <r>
      <rPr>
        <sz val="11"/>
        <color indexed="8"/>
        <rFont val="Calibri"/>
        <family val="2"/>
      </rPr>
      <t>) and Major Refurbishment (</t>
    </r>
    <r>
      <rPr>
        <b/>
        <sz val="11"/>
        <color rgb="FF000000"/>
        <rFont val="Calibri"/>
        <family val="2"/>
      </rPr>
      <t>shell only)</t>
    </r>
    <r>
      <rPr>
        <sz val="11"/>
        <color indexed="8"/>
        <rFont val="Calibri"/>
        <family val="2"/>
      </rPr>
      <t xml:space="preserve">.
</t>
    </r>
    <r>
      <rPr>
        <b/>
        <sz val="11"/>
        <color rgb="FF000000"/>
        <rFont val="Calibri"/>
        <family val="2"/>
      </rPr>
      <t>Pre-Assessment Estimator:</t>
    </r>
    <r>
      <rPr>
        <sz val="11"/>
        <color indexed="8"/>
        <rFont val="Calibri"/>
        <family val="2"/>
      </rPr>
      <t xml:space="preserve"> See column X for option for shell &amp; core.
No changes for fully fitted assessment.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</si>
</sst>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
    <numFmt numFmtId="165" formatCode="[$-F800]dddd\,\ mmmm\ dd\,\ yyyy"/>
  </numFmts>
  <fonts count="98" x14ac:knownFonts="1">
    <font>
      <sz val="11"/>
      <color theme="1"/>
      <name val="Calibri"/>
      <family val="2"/>
      <scheme val="minor"/>
    </font>
    <font>
      <sz val="11"/>
      <color indexed="8"/>
      <name val="Calibri"/>
      <family val="2"/>
    </font>
    <font>
      <sz val="10"/>
      <name val="Arial"/>
      <family val="2"/>
    </font>
    <font>
      <sz val="9"/>
      <color indexed="8"/>
      <name val="Calibri"/>
      <family val="2"/>
    </font>
    <font>
      <sz val="12"/>
      <color indexed="8"/>
      <name val="Calibri"/>
      <family val="2"/>
    </font>
    <font>
      <sz val="12"/>
      <name val="Calibri"/>
      <family val="2"/>
    </font>
    <font>
      <sz val="11"/>
      <color indexed="8"/>
      <name val="Calibri"/>
      <family val="2"/>
    </font>
    <font>
      <sz val="11"/>
      <color indexed="9"/>
      <name val="Calibri"/>
      <family val="2"/>
    </font>
    <font>
      <b/>
      <sz val="11"/>
      <color indexed="9"/>
      <name val="Calibri"/>
      <family val="2"/>
    </font>
    <font>
      <sz val="11"/>
      <name val="Calibri"/>
      <family val="2"/>
    </font>
    <font>
      <b/>
      <sz val="12"/>
      <color indexed="8"/>
      <name val="Calibri"/>
      <family val="2"/>
    </font>
    <font>
      <sz val="12"/>
      <color indexed="8"/>
      <name val="Calibri"/>
      <family val="2"/>
    </font>
    <font>
      <sz val="11"/>
      <color indexed="57"/>
      <name val="Calibri"/>
      <family val="2"/>
    </font>
    <font>
      <i/>
      <sz val="11"/>
      <color indexed="23"/>
      <name val="Calibri"/>
      <family val="2"/>
    </font>
    <font>
      <b/>
      <sz val="11"/>
      <color indexed="10"/>
      <name val="Calibri"/>
      <family val="2"/>
    </font>
    <font>
      <sz val="9"/>
      <color indexed="8"/>
      <name val="Calibri"/>
      <family val="2"/>
    </font>
    <font>
      <sz val="12"/>
      <color indexed="9"/>
      <name val="Calibri"/>
      <family val="2"/>
    </font>
    <font>
      <sz val="12"/>
      <name val="Calibri"/>
      <family val="2"/>
    </font>
    <font>
      <i/>
      <sz val="12"/>
      <name val="Calibri"/>
      <family val="2"/>
    </font>
    <font>
      <b/>
      <sz val="14"/>
      <color indexed="9"/>
      <name val="Calibri"/>
      <family val="2"/>
    </font>
    <font>
      <sz val="16"/>
      <color indexed="9"/>
      <name val="Calibri"/>
      <family val="2"/>
    </font>
    <font>
      <b/>
      <sz val="16"/>
      <color indexed="9"/>
      <name val="Calibri"/>
      <family val="2"/>
    </font>
    <font>
      <sz val="8"/>
      <name val="Calibri"/>
      <family val="2"/>
    </font>
    <font>
      <sz val="11"/>
      <color theme="0"/>
      <name val="Calibri"/>
      <family val="2"/>
      <scheme val="minor"/>
    </font>
    <font>
      <sz val="11"/>
      <color rgb="FFFF0000"/>
      <name val="Calibri"/>
      <family val="2"/>
      <scheme val="minor"/>
    </font>
    <font>
      <b/>
      <sz val="14"/>
      <color rgb="FF3D6864"/>
      <name val="Calibri"/>
      <family val="2"/>
      <scheme val="minor"/>
    </font>
    <font>
      <sz val="11"/>
      <name val="Calibri"/>
      <family val="2"/>
      <scheme val="minor"/>
    </font>
    <font>
      <sz val="11"/>
      <color rgb="FFFF0000"/>
      <name val="Calibri"/>
      <family val="2"/>
    </font>
    <font>
      <b/>
      <sz val="14"/>
      <color theme="0"/>
      <name val="Calibri"/>
      <family val="2"/>
      <scheme val="minor"/>
    </font>
    <font>
      <sz val="11"/>
      <color rgb="FF406564"/>
      <name val="Calibri"/>
      <family val="2"/>
      <scheme val="minor"/>
    </font>
    <font>
      <b/>
      <sz val="12"/>
      <color theme="0"/>
      <name val="Calibri"/>
      <family val="2"/>
    </font>
    <font>
      <b/>
      <sz val="16"/>
      <color theme="0"/>
      <name val="Calibri"/>
      <family val="2"/>
      <scheme val="minor"/>
    </font>
    <font>
      <b/>
      <sz val="11"/>
      <color theme="1"/>
      <name val="Calibri"/>
      <family val="2"/>
      <scheme val="minor"/>
    </font>
    <font>
      <i/>
      <sz val="11"/>
      <name val="Calibri"/>
      <family val="2"/>
    </font>
    <font>
      <vertAlign val="superscript"/>
      <sz val="11"/>
      <color indexed="9"/>
      <name val="Calibri"/>
      <family val="2"/>
    </font>
    <font>
      <sz val="11"/>
      <color theme="1"/>
      <name val="Calibri"/>
      <family val="2"/>
    </font>
    <font>
      <sz val="14"/>
      <color rgb="FF406564"/>
      <name val="Calibri"/>
      <family val="2"/>
      <scheme val="minor"/>
    </font>
    <font>
      <b/>
      <sz val="14"/>
      <color rgb="FF406564"/>
      <name val="Calibri"/>
      <family val="2"/>
      <scheme val="minor"/>
    </font>
    <font>
      <b/>
      <sz val="11"/>
      <name val="Calibri"/>
      <family val="2"/>
      <scheme val="minor"/>
    </font>
    <font>
      <i/>
      <sz val="11"/>
      <color theme="1" tint="0.499984740745262"/>
      <name val="Calibri"/>
      <family val="2"/>
      <scheme val="minor"/>
    </font>
    <font>
      <b/>
      <sz val="11"/>
      <color theme="0"/>
      <name val="Calibri"/>
      <family val="2"/>
    </font>
    <font>
      <i/>
      <sz val="11"/>
      <color indexed="9"/>
      <name val="Calibri"/>
      <family val="2"/>
    </font>
    <font>
      <b/>
      <sz val="11"/>
      <color rgb="FF406564"/>
      <name val="Calibri"/>
      <family val="2"/>
      <scheme val="minor"/>
    </font>
    <font>
      <i/>
      <sz val="11"/>
      <color theme="1"/>
      <name val="Calibri"/>
      <family val="2"/>
      <scheme val="minor"/>
    </font>
    <font>
      <i/>
      <sz val="11"/>
      <color rgb="FFFF0000"/>
      <name val="Calibri"/>
      <family val="2"/>
    </font>
    <font>
      <sz val="18"/>
      <color rgb="FF406564"/>
      <name val="Calibri"/>
      <family val="2"/>
      <scheme val="minor"/>
    </font>
    <font>
      <i/>
      <sz val="11"/>
      <color theme="1"/>
      <name val="Calibri"/>
      <family val="2"/>
    </font>
    <font>
      <b/>
      <sz val="11"/>
      <color rgb="FFFF0000"/>
      <name val="Calibri"/>
      <family val="2"/>
      <scheme val="minor"/>
    </font>
    <font>
      <b/>
      <sz val="12"/>
      <color rgb="FFFF0000"/>
      <name val="Calibri"/>
      <family val="2"/>
    </font>
    <font>
      <sz val="20"/>
      <color rgb="FFFF0000"/>
      <name val="Calibri"/>
      <family val="2"/>
      <scheme val="minor"/>
    </font>
    <font>
      <sz val="18"/>
      <color rgb="FFFF0000"/>
      <name val="Calibri"/>
      <family val="2"/>
      <scheme val="minor"/>
    </font>
    <font>
      <b/>
      <sz val="11"/>
      <color indexed="8"/>
      <name val="Calibri"/>
      <family val="2"/>
    </font>
    <font>
      <sz val="8"/>
      <color theme="1"/>
      <name val="Calibri"/>
      <family val="2"/>
      <scheme val="minor"/>
    </font>
    <font>
      <b/>
      <sz val="8"/>
      <color theme="1"/>
      <name val="Calibri"/>
      <family val="2"/>
      <scheme val="minor"/>
    </font>
    <font>
      <sz val="8"/>
      <name val="Calibri"/>
      <family val="2"/>
      <scheme val="minor"/>
    </font>
    <font>
      <sz val="10"/>
      <color rgb="FF006100"/>
      <name val="Calibri Light"/>
      <family val="2"/>
    </font>
    <font>
      <sz val="9"/>
      <color theme="1"/>
      <name val="Calibri"/>
      <family val="2"/>
      <scheme val="minor"/>
    </font>
    <font>
      <b/>
      <sz val="9"/>
      <color theme="1"/>
      <name val="Calibri"/>
      <family val="2"/>
      <scheme val="minor"/>
    </font>
    <font>
      <sz val="18"/>
      <color theme="1"/>
      <name val="Calibri"/>
      <family val="2"/>
      <scheme val="minor"/>
    </font>
    <font>
      <sz val="14"/>
      <color theme="1"/>
      <name val="Calibri"/>
      <family val="2"/>
      <scheme val="minor"/>
    </font>
    <font>
      <sz val="11"/>
      <color theme="1"/>
      <name val="Calibri"/>
      <family val="2"/>
      <scheme val="minor"/>
    </font>
    <font>
      <b/>
      <sz val="14"/>
      <color indexed="9"/>
      <name val="Calibri"/>
      <family val="2"/>
    </font>
    <font>
      <sz val="11"/>
      <color indexed="9"/>
      <name val="Calibri"/>
      <family val="2"/>
    </font>
    <font>
      <b/>
      <sz val="11"/>
      <color indexed="10"/>
      <name val="Calibri"/>
      <family val="2"/>
    </font>
    <font>
      <b/>
      <sz val="11"/>
      <color rgb="FFFF0000"/>
      <name val="Calibri"/>
      <family val="2"/>
      <scheme val="minor"/>
    </font>
    <font>
      <b/>
      <sz val="14"/>
      <color rgb="FF3D6864"/>
      <name val="Calibri"/>
      <family val="2"/>
      <scheme val="minor"/>
    </font>
    <font>
      <b/>
      <sz val="12"/>
      <color indexed="8"/>
      <name val="Calibri"/>
      <family val="2"/>
    </font>
    <font>
      <sz val="12"/>
      <color indexed="8"/>
      <name val="Calibri"/>
      <family val="2"/>
    </font>
    <font>
      <b/>
      <sz val="12"/>
      <color indexed="9"/>
      <name val="Calibri"/>
      <family val="2"/>
    </font>
    <font>
      <sz val="12"/>
      <color indexed="9"/>
      <name val="Calibri"/>
      <family val="2"/>
    </font>
    <font>
      <sz val="12"/>
      <color rgb="FF3D6864"/>
      <name val="Calibri"/>
      <family val="2"/>
    </font>
    <font>
      <sz val="11"/>
      <color rgb="FF3D6864"/>
      <name val="Calibri"/>
      <family val="2"/>
      <scheme val="minor"/>
    </font>
    <font>
      <sz val="12"/>
      <color theme="1"/>
      <name val="Calibri"/>
      <family val="2"/>
      <scheme val="minor"/>
    </font>
    <font>
      <sz val="12"/>
      <name val="Calibri"/>
      <family val="2"/>
    </font>
    <font>
      <b/>
      <sz val="12"/>
      <color rgb="FF3D6864"/>
      <name val="Calibri"/>
      <family val="2"/>
    </font>
    <font>
      <sz val="12"/>
      <color rgb="FF406564"/>
      <name val="Calibri"/>
      <family val="2"/>
    </font>
    <font>
      <sz val="11"/>
      <name val="Calibri"/>
      <family val="2"/>
      <scheme val="minor"/>
    </font>
    <font>
      <sz val="11"/>
      <color indexed="57"/>
      <name val="Calibri"/>
      <family val="2"/>
    </font>
    <font>
      <sz val="11"/>
      <color theme="1"/>
      <name val="Calibri"/>
      <family val="2"/>
    </font>
    <font>
      <sz val="12"/>
      <color theme="1"/>
      <name val="Calibri"/>
      <family val="2"/>
    </font>
    <font>
      <sz val="9"/>
      <color indexed="8"/>
      <name val="Calibri"/>
      <family val="2"/>
    </font>
    <font>
      <sz val="9"/>
      <color theme="1"/>
      <name val="Calibri"/>
      <family val="2"/>
    </font>
    <font>
      <sz val="8"/>
      <color indexed="8"/>
      <name val="Calibri"/>
      <family val="2"/>
    </font>
    <font>
      <sz val="11"/>
      <color rgb="FF406564"/>
      <name val="Calibri"/>
      <family val="2"/>
      <scheme val="minor"/>
    </font>
    <font>
      <sz val="11"/>
      <color rgb="FFFF0000"/>
      <name val="Calibri"/>
      <family val="2"/>
    </font>
    <font>
      <b/>
      <sz val="14"/>
      <color theme="0"/>
      <name val="Calibri"/>
      <family val="2"/>
    </font>
    <font>
      <sz val="9"/>
      <color indexed="81"/>
      <name val="Tahoma"/>
      <family val="2"/>
    </font>
    <font>
      <sz val="11"/>
      <color theme="1"/>
      <name val="Calibri"/>
      <family val="2"/>
      <scheme val="minor"/>
    </font>
    <font>
      <b/>
      <sz val="16"/>
      <color theme="0"/>
      <name val="Calibri"/>
      <family val="2"/>
      <scheme val="minor"/>
    </font>
    <font>
      <sz val="11"/>
      <name val="Calibri"/>
      <family val="2"/>
    </font>
    <font>
      <b/>
      <sz val="11"/>
      <color rgb="FFFF0000"/>
      <name val="Calibri"/>
      <family val="2"/>
      <scheme val="minor"/>
    </font>
    <font>
      <b/>
      <sz val="11"/>
      <color theme="1"/>
      <name val="Calibri"/>
      <family val="2"/>
      <scheme val="minor"/>
    </font>
    <font>
      <sz val="11"/>
      <color rgb="FF000000"/>
      <name val="Calibri"/>
      <family val="2"/>
    </font>
    <font>
      <b/>
      <sz val="11"/>
      <color rgb="FF000000"/>
      <name val="Calibri"/>
      <family val="2"/>
    </font>
    <font>
      <b/>
      <sz val="16"/>
      <color theme="0"/>
      <name val="Calibri"/>
      <family val="2"/>
    </font>
    <font>
      <b/>
      <sz val="11"/>
      <color theme="0"/>
      <name val="Calibri"/>
      <family val="2"/>
      <scheme val="minor"/>
    </font>
    <font>
      <sz val="18"/>
      <color theme="0"/>
      <name val="Calibri"/>
      <family val="2"/>
      <scheme val="minor"/>
    </font>
    <font>
      <sz val="9"/>
      <name val="Calibri"/>
      <family val="2"/>
      <scheme val="minor"/>
    </font>
  </fonts>
  <fills count="22">
    <fill>
      <patternFill patternType="none"/>
    </fill>
    <fill>
      <patternFill patternType="gray125"/>
    </fill>
    <fill>
      <patternFill patternType="solid">
        <fgColor indexed="9"/>
        <bgColor indexed="64"/>
      </patternFill>
    </fill>
    <fill>
      <patternFill patternType="solid">
        <fgColor rgb="FF3D6864"/>
        <bgColor indexed="64"/>
      </patternFill>
    </fill>
    <fill>
      <patternFill patternType="solid">
        <fgColor theme="0"/>
        <bgColor indexed="64"/>
      </patternFill>
    </fill>
    <fill>
      <patternFill patternType="solid">
        <fgColor theme="0" tint="-0.14999847407452621"/>
        <bgColor indexed="64"/>
      </patternFill>
    </fill>
    <fill>
      <patternFill patternType="solid">
        <fgColor rgb="FF406564"/>
        <bgColor indexed="64"/>
      </patternFill>
    </fill>
    <fill>
      <patternFill patternType="solid">
        <fgColor rgb="FFFFC000"/>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56B146"/>
        <bgColor indexed="64"/>
      </patternFill>
    </fill>
    <fill>
      <patternFill patternType="solid">
        <fgColor rgb="FFFFD146"/>
        <bgColor indexed="64"/>
      </patternFill>
    </fill>
    <fill>
      <patternFill patternType="solid">
        <fgColor rgb="FFF16161"/>
        <bgColor indexed="64"/>
      </patternFill>
    </fill>
    <fill>
      <patternFill patternType="solid">
        <fgColor rgb="FFC6EFCE"/>
      </patternFill>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theme="7"/>
        <bgColor indexed="64"/>
      </patternFill>
    </fill>
  </fills>
  <borders count="1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medium">
        <color rgb="FF3D6864"/>
      </right>
      <top/>
      <bottom/>
      <diagonal/>
    </border>
    <border>
      <left style="thin">
        <color indexed="64"/>
      </left>
      <right style="medium">
        <color rgb="FF3D6864"/>
      </right>
      <top style="thin">
        <color indexed="64"/>
      </top>
      <bottom style="thin">
        <color indexed="64"/>
      </bottom>
      <diagonal/>
    </border>
    <border>
      <left style="thin">
        <color theme="0"/>
      </left>
      <right style="medium">
        <color rgb="FF3D6864"/>
      </right>
      <top style="thin">
        <color theme="0"/>
      </top>
      <bottom style="thin">
        <color theme="0"/>
      </bottom>
      <diagonal/>
    </border>
    <border>
      <left style="thin">
        <color theme="0"/>
      </left>
      <right style="medium">
        <color rgb="FF3D6864"/>
      </right>
      <top/>
      <bottom style="thin">
        <color theme="0"/>
      </bottom>
      <diagonal/>
    </border>
    <border>
      <left/>
      <right style="medium">
        <color rgb="FF3D6864"/>
      </right>
      <top/>
      <bottom style="thin">
        <color theme="0"/>
      </bottom>
      <diagonal/>
    </border>
    <border>
      <left style="medium">
        <color rgb="FF3D6864"/>
      </left>
      <right/>
      <top/>
      <bottom/>
      <diagonal/>
    </border>
    <border>
      <left/>
      <right style="medium">
        <color rgb="FF3D6864"/>
      </right>
      <top/>
      <bottom style="thin">
        <color indexed="64"/>
      </bottom>
      <diagonal/>
    </border>
    <border>
      <left/>
      <right style="medium">
        <color rgb="FF3D6864"/>
      </right>
      <top style="thin">
        <color indexed="64"/>
      </top>
      <bottom style="thin">
        <color indexed="64"/>
      </bottom>
      <diagonal/>
    </border>
    <border>
      <left/>
      <right style="medium">
        <color rgb="FF3D6864"/>
      </right>
      <top style="thin">
        <color theme="0"/>
      </top>
      <bottom style="thin">
        <color theme="0"/>
      </bottom>
      <diagonal/>
    </border>
    <border>
      <left style="medium">
        <color rgb="FF3D6864"/>
      </left>
      <right style="thin">
        <color theme="0"/>
      </right>
      <top/>
      <bottom style="thin">
        <color theme="0"/>
      </bottom>
      <diagonal/>
    </border>
    <border>
      <left style="medium">
        <color rgb="FF3D6864"/>
      </left>
      <right style="thin">
        <color indexed="64"/>
      </right>
      <top style="thin">
        <color indexed="64"/>
      </top>
      <bottom style="thin">
        <color indexed="64"/>
      </bottom>
      <diagonal/>
    </border>
    <border>
      <left style="medium">
        <color rgb="FF3D6864"/>
      </left>
      <right style="thin">
        <color theme="0"/>
      </right>
      <top style="thin">
        <color theme="0"/>
      </top>
      <bottom style="thin">
        <color theme="0"/>
      </bottom>
      <diagonal/>
    </border>
    <border>
      <left/>
      <right/>
      <top/>
      <bottom style="thin">
        <color theme="0"/>
      </bottom>
      <diagonal/>
    </border>
    <border>
      <left style="medium">
        <color rgb="FF3D6864"/>
      </left>
      <right/>
      <top/>
      <bottom style="thin">
        <color theme="0"/>
      </bottom>
      <diagonal/>
    </border>
    <border>
      <left style="medium">
        <color rgb="FF3D6864"/>
      </left>
      <right/>
      <top style="thin">
        <color theme="0"/>
      </top>
      <bottom style="thin">
        <color theme="0"/>
      </bottom>
      <diagonal/>
    </border>
    <border>
      <left style="medium">
        <color rgb="FF3D6864"/>
      </left>
      <right style="medium">
        <color rgb="FF3D6864"/>
      </right>
      <top/>
      <bottom style="thin">
        <color indexed="64"/>
      </bottom>
      <diagonal/>
    </border>
    <border>
      <left style="medium">
        <color rgb="FF3D6864"/>
      </left>
      <right style="medium">
        <color rgb="FF3D6864"/>
      </right>
      <top/>
      <bottom style="thin">
        <color theme="0"/>
      </bottom>
      <diagonal/>
    </border>
    <border>
      <left style="medium">
        <color rgb="FF3D6864"/>
      </left>
      <right style="medium">
        <color rgb="FF3D6864"/>
      </right>
      <top style="thin">
        <color indexed="64"/>
      </top>
      <bottom style="thin">
        <color indexed="64"/>
      </bottom>
      <diagonal/>
    </border>
    <border>
      <left style="medium">
        <color rgb="FF3D68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theme="0"/>
      </left>
      <right style="thin">
        <color theme="0"/>
      </right>
      <top style="thin">
        <color theme="0"/>
      </top>
      <bottom style="medium">
        <color rgb="FF3D6864"/>
      </bottom>
      <diagonal/>
    </border>
    <border>
      <left style="thin">
        <color theme="0"/>
      </left>
      <right style="medium">
        <color rgb="FF3D6864"/>
      </right>
      <top style="thin">
        <color theme="0"/>
      </top>
      <bottom style="medium">
        <color rgb="FF3D6864"/>
      </bottom>
      <diagonal/>
    </border>
    <border>
      <left/>
      <right style="thin">
        <color theme="0"/>
      </right>
      <top style="thin">
        <color theme="0"/>
      </top>
      <bottom style="medium">
        <color rgb="FF3D6864"/>
      </bottom>
      <diagonal/>
    </border>
    <border>
      <left style="thin">
        <color theme="0"/>
      </left>
      <right/>
      <top style="thin">
        <color theme="0"/>
      </top>
      <bottom style="medium">
        <color rgb="FF3D6864"/>
      </bottom>
      <diagonal/>
    </border>
    <border>
      <left/>
      <right style="medium">
        <color rgb="FF3D6864"/>
      </right>
      <top style="thin">
        <color theme="0"/>
      </top>
      <bottom style="medium">
        <color rgb="FF3D6864"/>
      </bottom>
      <diagonal/>
    </border>
    <border>
      <left/>
      <right/>
      <top style="thin">
        <color theme="0"/>
      </top>
      <bottom style="medium">
        <color rgb="FF3D6864"/>
      </bottom>
      <diagonal/>
    </border>
    <border>
      <left/>
      <right/>
      <top style="thin">
        <color indexed="64"/>
      </top>
      <bottom style="medium">
        <color rgb="FF3D6864"/>
      </bottom>
      <diagonal/>
    </border>
    <border>
      <left/>
      <right style="medium">
        <color rgb="FF3D6864"/>
      </right>
      <top style="thin">
        <color indexed="64"/>
      </top>
      <bottom style="medium">
        <color rgb="FF3D6864"/>
      </bottom>
      <diagonal/>
    </border>
    <border>
      <left style="medium">
        <color rgb="FF3D6864"/>
      </left>
      <right style="thin">
        <color rgb="FF3D6864"/>
      </right>
      <top/>
      <bottom/>
      <diagonal/>
    </border>
    <border>
      <left style="thin">
        <color rgb="FF3D6864"/>
      </left>
      <right style="thin">
        <color rgb="FF3D6864"/>
      </right>
      <top/>
      <bottom/>
      <diagonal/>
    </border>
    <border>
      <left/>
      <right style="thin">
        <color theme="0"/>
      </right>
      <top/>
      <bottom/>
      <diagonal/>
    </border>
    <border>
      <left/>
      <right style="thin">
        <color indexed="64"/>
      </right>
      <top style="thin">
        <color indexed="64"/>
      </top>
      <bottom style="medium">
        <color indexed="64"/>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top style="medium">
        <color indexed="64"/>
      </top>
      <bottom style="thin">
        <color indexed="64"/>
      </bottom>
      <diagonal/>
    </border>
    <border>
      <left/>
      <right style="thin">
        <color indexed="64"/>
      </right>
      <top style="thin">
        <color indexed="64"/>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theme="0"/>
      </bottom>
      <diagonal/>
    </border>
    <border>
      <left style="thin">
        <color rgb="FF3D6864"/>
      </left>
      <right style="thin">
        <color rgb="FF3D6864"/>
      </right>
      <top/>
      <bottom style="thin">
        <color indexed="64"/>
      </bottom>
      <diagonal/>
    </border>
    <border>
      <left style="thin">
        <color rgb="FF3D6864"/>
      </left>
      <right style="medium">
        <color rgb="FF3D6864"/>
      </right>
      <top/>
      <bottom/>
      <diagonal/>
    </border>
    <border>
      <left style="thin">
        <color theme="0"/>
      </left>
      <right style="thin">
        <color indexed="64"/>
      </right>
      <top style="thin">
        <color indexed="64"/>
      </top>
      <bottom style="thin">
        <color theme="0"/>
      </bottom>
      <diagonal/>
    </border>
    <border>
      <left style="thin">
        <color indexed="64"/>
      </left>
      <right/>
      <top style="thin">
        <color theme="0"/>
      </top>
      <bottom style="thin">
        <color indexed="64"/>
      </bottom>
      <diagonal/>
    </border>
    <border>
      <left style="thin">
        <color indexed="64"/>
      </left>
      <right style="medium">
        <color rgb="FF3D6864"/>
      </right>
      <top/>
      <bottom style="thin">
        <color indexed="64"/>
      </bottom>
      <diagonal/>
    </border>
    <border>
      <left/>
      <right style="medium">
        <color rgb="FF3D68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diagonal/>
    </border>
    <border>
      <left style="medium">
        <color indexed="64"/>
      </left>
      <right style="thin">
        <color theme="0" tint="-0.249977111117893"/>
      </right>
      <top/>
      <bottom/>
      <diagonal/>
    </border>
    <border>
      <left style="medium">
        <color indexed="64"/>
      </left>
      <right style="thin">
        <color theme="0" tint="-0.249977111117893"/>
      </right>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left>
      <right/>
      <top style="thin">
        <color theme="0"/>
      </top>
      <bottom/>
      <diagonal/>
    </border>
    <border>
      <left/>
      <right style="thin">
        <color rgb="FF3D6864"/>
      </right>
      <top/>
      <bottom/>
      <diagonal/>
    </border>
    <border>
      <left style="thin">
        <color rgb="FF3D6864"/>
      </left>
      <right style="thin">
        <color indexed="64"/>
      </right>
      <top/>
      <bottom/>
      <diagonal/>
    </border>
    <border>
      <left style="thin">
        <color rgb="FF3D6864"/>
      </left>
      <right/>
      <top/>
      <bottom/>
      <diagonal/>
    </border>
    <border>
      <left style="thin">
        <color theme="0"/>
      </left>
      <right/>
      <top style="thin">
        <color theme="0" tint="-0.14996795556505021"/>
      </top>
      <bottom style="thin">
        <color indexed="64"/>
      </bottom>
      <diagonal/>
    </border>
    <border>
      <left style="medium">
        <color rgb="FF3D6864"/>
      </left>
      <right/>
      <top style="thin">
        <color indexed="64"/>
      </top>
      <bottom style="medium">
        <color rgb="FF3D68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medium">
        <color rgb="FF3D6864"/>
      </left>
      <right style="medium">
        <color rgb="FF3D6864"/>
      </right>
      <top/>
      <bottom/>
      <diagonal/>
    </border>
    <border>
      <left style="medium">
        <color rgb="FF3D6864"/>
      </left>
      <right style="medium">
        <color rgb="FF3D6864"/>
      </right>
      <top style="thin">
        <color indexed="64"/>
      </top>
      <bottom style="medium">
        <color rgb="FF3D6864"/>
      </bottom>
      <diagonal/>
    </border>
    <border>
      <left style="medium">
        <color rgb="FF3D6864"/>
      </left>
      <right style="medium">
        <color rgb="FF3D6864"/>
      </right>
      <top style="thin">
        <color indexed="64"/>
      </top>
      <bottom/>
      <diagonal/>
    </border>
  </borders>
  <cellStyleXfs count="4">
    <xf numFmtId="0" fontId="0" fillId="0" borderId="0"/>
    <xf numFmtId="0" fontId="2" fillId="0" borderId="0"/>
    <xf numFmtId="9" fontId="6" fillId="0" borderId="0" applyFont="0" applyFill="0" applyBorder="0" applyAlignment="0" applyProtection="0"/>
    <xf numFmtId="0" fontId="55" fillId="17" borderId="0" applyNumberFormat="0" applyBorder="0" applyAlignment="0" applyProtection="0"/>
  </cellStyleXfs>
  <cellXfs count="963">
    <xf numFmtId="0" fontId="0" fillId="0" borderId="0" xfId="0"/>
    <xf numFmtId="0" fontId="0" fillId="2" borderId="0" xfId="0" applyFill="1" applyProtection="1">
      <protection hidden="1"/>
    </xf>
    <xf numFmtId="0" fontId="0" fillId="2" borderId="0" xfId="0" applyFont="1" applyFill="1" applyProtection="1">
      <protection hidden="1"/>
    </xf>
    <xf numFmtId="0" fontId="0" fillId="2" borderId="0" xfId="0" applyFill="1" applyBorder="1" applyProtection="1">
      <protection hidden="1"/>
    </xf>
    <xf numFmtId="0" fontId="9" fillId="2" borderId="0" xfId="0" applyFont="1" applyFill="1" applyProtection="1">
      <protection hidden="1"/>
    </xf>
    <xf numFmtId="0" fontId="11" fillId="2" borderId="0" xfId="0" applyFont="1" applyFill="1" applyProtection="1">
      <protection hidden="1"/>
    </xf>
    <xf numFmtId="0" fontId="12" fillId="2" borderId="0" xfId="0" applyFont="1" applyFill="1" applyAlignment="1" applyProtection="1">
      <alignment horizontal="center" wrapText="1"/>
      <protection hidden="1"/>
    </xf>
    <xf numFmtId="0" fontId="0" fillId="2" borderId="1" xfId="0" applyFill="1" applyBorder="1" applyProtection="1">
      <protection hidden="1"/>
    </xf>
    <xf numFmtId="0" fontId="0" fillId="2" borderId="0" xfId="0" applyFill="1" applyAlignment="1" applyProtection="1">
      <alignment wrapText="1"/>
      <protection hidden="1"/>
    </xf>
    <xf numFmtId="0" fontId="9" fillId="2" borderId="0" xfId="0" applyFont="1" applyFill="1" applyAlignment="1" applyProtection="1">
      <alignment vertical="top" wrapText="1"/>
      <protection hidden="1"/>
    </xf>
    <xf numFmtId="0" fontId="0" fillId="2" borderId="0" xfId="0" applyFont="1" applyFill="1" applyAlignment="1" applyProtection="1">
      <alignment horizontal="left" vertical="top" wrapText="1"/>
      <protection hidden="1"/>
    </xf>
    <xf numFmtId="0" fontId="10" fillId="2" borderId="0" xfId="0" applyFont="1" applyFill="1" applyAlignment="1" applyProtection="1">
      <alignment horizontal="left" vertical="top" wrapText="1"/>
      <protection hidden="1"/>
    </xf>
    <xf numFmtId="0" fontId="18" fillId="2" borderId="0" xfId="0" applyFont="1" applyFill="1" applyProtection="1">
      <protection hidden="1"/>
    </xf>
    <xf numFmtId="0" fontId="18" fillId="2" borderId="0" xfId="0" applyFont="1" applyFill="1" applyAlignment="1" applyProtection="1">
      <alignment vertical="top" wrapText="1"/>
      <protection hidden="1"/>
    </xf>
    <xf numFmtId="0" fontId="18" fillId="2" borderId="0" xfId="0" applyFont="1" applyFill="1" applyAlignment="1" applyProtection="1">
      <alignment horizontal="left" vertical="top" wrapText="1"/>
      <protection hidden="1"/>
    </xf>
    <xf numFmtId="0" fontId="17" fillId="2" borderId="0" xfId="0" applyFont="1" applyFill="1" applyProtection="1">
      <protection hidden="1"/>
    </xf>
    <xf numFmtId="0" fontId="0" fillId="0" borderId="0" xfId="0" applyFill="1" applyBorder="1" applyProtection="1">
      <protection hidden="1"/>
    </xf>
    <xf numFmtId="0" fontId="0" fillId="0" borderId="0" xfId="0" applyFill="1" applyProtection="1">
      <protection hidden="1"/>
    </xf>
    <xf numFmtId="0" fontId="0" fillId="4" borderId="0" xfId="0" applyFill="1" applyProtection="1">
      <protection hidden="1"/>
    </xf>
    <xf numFmtId="0" fontId="26" fillId="5" borderId="0" xfId="0" applyFont="1" applyFill="1" applyBorder="1" applyAlignment="1" applyProtection="1">
      <alignment horizontal="center" vertical="center"/>
      <protection hidden="1"/>
    </xf>
    <xf numFmtId="0" fontId="24" fillId="2" borderId="0" xfId="0" applyFont="1" applyFill="1" applyProtection="1">
      <protection hidden="1"/>
    </xf>
    <xf numFmtId="0" fontId="1" fillId="4" borderId="0" xfId="0" applyFont="1" applyFill="1" applyProtection="1">
      <protection hidden="1"/>
    </xf>
    <xf numFmtId="0" fontId="11" fillId="2" borderId="0" xfId="0" applyFont="1" applyFill="1" applyAlignment="1" applyProtection="1">
      <alignment vertical="top" wrapText="1"/>
      <protection hidden="1"/>
    </xf>
    <xf numFmtId="0" fontId="4" fillId="2" borderId="0" xfId="0" applyFont="1" applyFill="1" applyAlignment="1" applyProtection="1">
      <alignment vertical="top" wrapText="1"/>
      <protection hidden="1"/>
    </xf>
    <xf numFmtId="0" fontId="0" fillId="4" borderId="0" xfId="0" applyFill="1"/>
    <xf numFmtId="0" fontId="9" fillId="8" borderId="2" xfId="0" applyFont="1" applyFill="1" applyBorder="1" applyProtection="1">
      <protection hidden="1"/>
    </xf>
    <xf numFmtId="0" fontId="17" fillId="2" borderId="0" xfId="0" applyFont="1" applyFill="1" applyAlignment="1" applyProtection="1">
      <alignment horizontal="left" vertical="top" wrapText="1"/>
      <protection hidden="1"/>
    </xf>
    <xf numFmtId="0" fontId="23" fillId="4" borderId="0" xfId="0" applyFont="1" applyFill="1" applyAlignment="1" applyProtection="1">
      <alignment horizontal="right"/>
      <protection hidden="1"/>
    </xf>
    <xf numFmtId="0" fontId="0" fillId="2" borderId="0" xfId="0" applyFill="1" applyBorder="1" applyAlignment="1" applyProtection="1">
      <alignment horizontal="left" vertical="top" wrapText="1"/>
      <protection hidden="1"/>
    </xf>
    <xf numFmtId="0" fontId="17" fillId="2" borderId="0" xfId="0" applyFont="1" applyFill="1" applyAlignment="1" applyProtection="1">
      <alignment vertical="top" wrapText="1"/>
      <protection hidden="1"/>
    </xf>
    <xf numFmtId="0" fontId="17" fillId="0" borderId="0" xfId="0" applyFont="1" applyFill="1" applyAlignment="1" applyProtection="1">
      <alignment vertical="top" wrapText="1"/>
      <protection hidden="1"/>
    </xf>
    <xf numFmtId="0" fontId="0" fillId="0" borderId="0" xfId="0"/>
    <xf numFmtId="0" fontId="23" fillId="4" borderId="0" xfId="0" applyFont="1" applyFill="1" applyAlignment="1" applyProtection="1">
      <alignment horizontal="left"/>
      <protection hidden="1"/>
    </xf>
    <xf numFmtId="0" fontId="0" fillId="4" borderId="0" xfId="0" applyFill="1" applyAlignment="1" applyProtection="1">
      <alignment horizontal="left"/>
      <protection hidden="1"/>
    </xf>
    <xf numFmtId="0" fontId="17" fillId="4" borderId="0" xfId="0" applyFont="1" applyFill="1" applyBorder="1" applyAlignment="1" applyProtection="1">
      <alignment vertical="top" wrapText="1"/>
      <protection hidden="1"/>
    </xf>
    <xf numFmtId="0" fontId="16" fillId="4" borderId="0" xfId="0" applyFont="1" applyFill="1" applyBorder="1" applyAlignment="1" applyProtection="1">
      <alignment horizontal="right" vertical="center"/>
      <protection hidden="1"/>
    </xf>
    <xf numFmtId="0" fontId="11" fillId="4" borderId="0" xfId="0" applyFont="1" applyFill="1" applyAlignment="1" applyProtection="1">
      <alignment vertical="top" wrapText="1"/>
      <protection hidden="1"/>
    </xf>
    <xf numFmtId="0" fontId="0" fillId="4" borderId="0" xfId="0" applyFont="1" applyFill="1" applyAlignment="1" applyProtection="1">
      <alignment horizontal="left" vertical="top" wrapText="1"/>
      <protection hidden="1"/>
    </xf>
    <xf numFmtId="0" fontId="0" fillId="4" borderId="0" xfId="0" applyFont="1" applyFill="1" applyProtection="1">
      <protection hidden="1"/>
    </xf>
    <xf numFmtId="0" fontId="9" fillId="4" borderId="0" xfId="0" applyFont="1" applyFill="1" applyBorder="1" applyAlignment="1" applyProtection="1">
      <alignment horizontal="left" vertical="center" wrapText="1"/>
      <protection hidden="1"/>
    </xf>
    <xf numFmtId="0" fontId="33" fillId="2" borderId="0" xfId="0" applyFont="1" applyFill="1" applyProtection="1">
      <protection hidden="1"/>
    </xf>
    <xf numFmtId="0" fontId="0" fillId="2" borderId="0" xfId="0" applyFont="1" applyFill="1" applyAlignment="1" applyProtection="1">
      <alignment vertical="top"/>
      <protection hidden="1"/>
    </xf>
    <xf numFmtId="0" fontId="33" fillId="2" borderId="0" xfId="0" applyFont="1" applyFill="1" applyAlignment="1" applyProtection="1">
      <alignment vertical="top" wrapText="1"/>
      <protection hidden="1"/>
    </xf>
    <xf numFmtId="0" fontId="23" fillId="4" borderId="0" xfId="0" applyFont="1" applyFill="1" applyBorder="1" applyAlignment="1" applyProtection="1">
      <alignment horizontal="left" wrapText="1"/>
      <protection hidden="1"/>
    </xf>
    <xf numFmtId="0" fontId="23" fillId="6" borderId="34" xfId="0" applyFont="1" applyFill="1" applyBorder="1" applyProtection="1">
      <protection hidden="1"/>
    </xf>
    <xf numFmtId="0" fontId="26" fillId="4" borderId="7" xfId="0" applyFont="1" applyFill="1" applyBorder="1" applyAlignment="1" applyProtection="1">
      <alignment horizontal="center" vertical="center"/>
      <protection locked="0"/>
    </xf>
    <xf numFmtId="0" fontId="23" fillId="4" borderId="0" xfId="0" applyFont="1" applyFill="1" applyProtection="1">
      <protection hidden="1"/>
    </xf>
    <xf numFmtId="0" fontId="0" fillId="5" borderId="0" xfId="0" applyFill="1" applyBorder="1" applyAlignment="1" applyProtection="1">
      <alignment horizontal="center" vertical="center"/>
      <protection hidden="1"/>
    </xf>
    <xf numFmtId="0" fontId="26" fillId="4" borderId="45" xfId="0" applyFont="1" applyFill="1" applyBorder="1" applyAlignment="1" applyProtection="1">
      <alignment horizontal="center" vertical="center"/>
      <protection locked="0"/>
    </xf>
    <xf numFmtId="0" fontId="0" fillId="2" borderId="0" xfId="0" applyFill="1" applyBorder="1" applyAlignment="1" applyProtection="1">
      <alignment horizontal="left"/>
      <protection hidden="1"/>
    </xf>
    <xf numFmtId="0" fontId="0" fillId="8" borderId="0" xfId="0" applyFont="1" applyFill="1" applyProtection="1">
      <protection hidden="1"/>
    </xf>
    <xf numFmtId="0" fontId="7" fillId="3" borderId="27" xfId="0" applyFont="1" applyFill="1" applyBorder="1" applyAlignment="1" applyProtection="1">
      <alignment horizontal="right" vertical="center"/>
      <protection hidden="1"/>
    </xf>
    <xf numFmtId="0" fontId="7" fillId="3" borderId="27" xfId="0" applyFont="1" applyFill="1" applyBorder="1" applyAlignment="1" applyProtection="1">
      <alignment horizontal="right" vertical="center" wrapText="1"/>
      <protection hidden="1"/>
    </xf>
    <xf numFmtId="0" fontId="0" fillId="0" borderId="2" xfId="0" applyBorder="1"/>
    <xf numFmtId="0" fontId="0" fillId="12" borderId="2" xfId="0" applyFill="1" applyBorder="1"/>
    <xf numFmtId="0" fontId="0" fillId="0" borderId="5" xfId="0" applyBorder="1"/>
    <xf numFmtId="0" fontId="0" fillId="12" borderId="5" xfId="0" applyFill="1" applyBorder="1"/>
    <xf numFmtId="0" fontId="23" fillId="10" borderId="66" xfId="0" applyFont="1" applyFill="1" applyBorder="1"/>
    <xf numFmtId="0" fontId="0" fillId="0" borderId="3" xfId="0" applyBorder="1"/>
    <xf numFmtId="0" fontId="0" fillId="12" borderId="3" xfId="0" applyFill="1" applyBorder="1"/>
    <xf numFmtId="0" fontId="32" fillId="13" borderId="66" xfId="0" applyFont="1" applyFill="1" applyBorder="1"/>
    <xf numFmtId="0" fontId="23" fillId="10" borderId="54" xfId="0" applyFont="1" applyFill="1" applyBorder="1" applyAlignment="1" applyProtection="1">
      <alignment wrapText="1"/>
      <protection hidden="1"/>
    </xf>
    <xf numFmtId="0" fontId="0" fillId="8" borderId="65" xfId="0" applyFont="1" applyFill="1" applyBorder="1"/>
    <xf numFmtId="0" fontId="23" fillId="10" borderId="10" xfId="0" applyFont="1" applyFill="1" applyBorder="1" applyAlignment="1" applyProtection="1">
      <alignment wrapText="1"/>
      <protection hidden="1"/>
    </xf>
    <xf numFmtId="0" fontId="23" fillId="6" borderId="0" xfId="0" applyFont="1" applyFill="1" applyBorder="1" applyProtection="1">
      <protection hidden="1"/>
    </xf>
    <xf numFmtId="0" fontId="0" fillId="8" borderId="66" xfId="0" applyFill="1" applyBorder="1"/>
    <xf numFmtId="0" fontId="1" fillId="5" borderId="54" xfId="0" applyFont="1" applyFill="1" applyBorder="1" applyAlignment="1" applyProtection="1">
      <alignment vertical="center"/>
      <protection hidden="1"/>
    </xf>
    <xf numFmtId="0" fontId="1" fillId="5" borderId="67" xfId="0" applyFont="1" applyFill="1" applyBorder="1" applyAlignment="1" applyProtection="1">
      <alignment horizontal="left" vertical="center"/>
      <protection hidden="1"/>
    </xf>
    <xf numFmtId="0" fontId="23" fillId="2" borderId="0" xfId="0" applyFont="1" applyFill="1" applyProtection="1">
      <protection hidden="1"/>
    </xf>
    <xf numFmtId="0" fontId="23" fillId="10" borderId="89" xfId="0" applyFont="1" applyFill="1" applyBorder="1"/>
    <xf numFmtId="0" fontId="0" fillId="8" borderId="67" xfId="0" applyFill="1" applyBorder="1"/>
    <xf numFmtId="0" fontId="0" fillId="8" borderId="5" xfId="0" applyFill="1" applyBorder="1"/>
    <xf numFmtId="0" fontId="0" fillId="8" borderId="2" xfId="0" applyFill="1" applyBorder="1"/>
    <xf numFmtId="0" fontId="0" fillId="8" borderId="0" xfId="0" applyFill="1"/>
    <xf numFmtId="0" fontId="0" fillId="0" borderId="15" xfId="0" applyBorder="1"/>
    <xf numFmtId="0" fontId="0" fillId="12" borderId="15" xfId="0" applyFill="1" applyBorder="1"/>
    <xf numFmtId="0" fontId="26" fillId="3" borderId="42" xfId="0" applyFont="1" applyFill="1" applyBorder="1" applyAlignment="1" applyProtection="1">
      <alignment horizontal="center" vertical="center"/>
      <protection locked="0"/>
    </xf>
    <xf numFmtId="0" fontId="0" fillId="2" borderId="2" xfId="0" applyFill="1" applyBorder="1" applyProtection="1">
      <protection hidden="1"/>
    </xf>
    <xf numFmtId="0" fontId="0" fillId="3" borderId="0" xfId="0" applyFill="1" applyAlignment="1" applyProtection="1">
      <alignment horizontal="center"/>
      <protection hidden="1"/>
    </xf>
    <xf numFmtId="0" fontId="0" fillId="3" borderId="40" xfId="0" applyFill="1" applyBorder="1" applyAlignment="1" applyProtection="1">
      <alignment horizontal="center"/>
      <protection hidden="1"/>
    </xf>
    <xf numFmtId="0" fontId="0" fillId="2" borderId="57" xfId="0" applyFill="1" applyBorder="1" applyProtection="1">
      <protection hidden="1"/>
    </xf>
    <xf numFmtId="0" fontId="0" fillId="2" borderId="59" xfId="0" applyFill="1" applyBorder="1" applyProtection="1">
      <protection hidden="1"/>
    </xf>
    <xf numFmtId="0" fontId="0" fillId="2" borderId="60" xfId="0" applyFill="1" applyBorder="1" applyProtection="1">
      <protection hidden="1"/>
    </xf>
    <xf numFmtId="0" fontId="0" fillId="2" borderId="62" xfId="0" applyFill="1" applyBorder="1" applyProtection="1">
      <protection hidden="1"/>
    </xf>
    <xf numFmtId="0" fontId="26" fillId="3" borderId="6" xfId="0" applyFont="1" applyFill="1" applyBorder="1" applyAlignment="1" applyProtection="1">
      <alignment horizontal="center" vertical="center"/>
      <protection locked="0"/>
    </xf>
    <xf numFmtId="0" fontId="23" fillId="6" borderId="103" xfId="0" applyFont="1" applyFill="1" applyBorder="1" applyProtection="1">
      <protection hidden="1"/>
    </xf>
    <xf numFmtId="0" fontId="26" fillId="5" borderId="34" xfId="0" applyFont="1" applyFill="1" applyBorder="1" applyAlignment="1" applyProtection="1">
      <alignment horizontal="center" vertical="center"/>
      <protection hidden="1"/>
    </xf>
    <xf numFmtId="0" fontId="3" fillId="4" borderId="2" xfId="0" applyFont="1" applyFill="1" applyBorder="1" applyProtection="1">
      <protection hidden="1"/>
    </xf>
    <xf numFmtId="0" fontId="26" fillId="4" borderId="2" xfId="0" applyFont="1" applyFill="1" applyBorder="1" applyAlignment="1" applyProtection="1">
      <alignment horizontal="left" vertical="center" wrapText="1"/>
      <protection locked="0"/>
    </xf>
    <xf numFmtId="0" fontId="26" fillId="4" borderId="4" xfId="0" applyFont="1" applyFill="1" applyBorder="1" applyAlignment="1" applyProtection="1">
      <alignment horizontal="left" vertical="center" wrapText="1"/>
      <protection locked="0"/>
    </xf>
    <xf numFmtId="0" fontId="0" fillId="4" borderId="0" xfId="0" applyFill="1" applyAlignment="1">
      <alignment wrapText="1"/>
    </xf>
    <xf numFmtId="0" fontId="26" fillId="4" borderId="45" xfId="0" applyFont="1" applyFill="1" applyBorder="1" applyAlignment="1" applyProtection="1">
      <alignment horizontal="center" vertical="center" wrapText="1"/>
      <protection locked="0"/>
    </xf>
    <xf numFmtId="0" fontId="1" fillId="5" borderId="56" xfId="0" applyFont="1" applyFill="1" applyBorder="1" applyAlignment="1" applyProtection="1">
      <alignment vertical="center"/>
      <protection hidden="1"/>
    </xf>
    <xf numFmtId="0" fontId="1" fillId="5" borderId="57" xfId="0" applyFont="1" applyFill="1" applyBorder="1" applyAlignment="1" applyProtection="1">
      <alignment vertical="center"/>
      <protection hidden="1"/>
    </xf>
    <xf numFmtId="0" fontId="1" fillId="5" borderId="61" xfId="0" applyFont="1" applyFill="1" applyBorder="1" applyAlignment="1" applyProtection="1">
      <alignment horizontal="left" vertical="center"/>
      <protection hidden="1"/>
    </xf>
    <xf numFmtId="0" fontId="1" fillId="5" borderId="62" xfId="0" applyFont="1" applyFill="1" applyBorder="1" applyAlignment="1" applyProtection="1">
      <alignment vertical="center"/>
      <protection hidden="1"/>
    </xf>
    <xf numFmtId="10" fontId="9" fillId="5" borderId="104" xfId="2" applyNumberFormat="1" applyFont="1" applyFill="1" applyBorder="1" applyAlignment="1" applyProtection="1">
      <alignment horizontal="left" vertical="center"/>
      <protection hidden="1"/>
    </xf>
    <xf numFmtId="0" fontId="32" fillId="0" borderId="0" xfId="0" applyFont="1" applyFill="1" applyProtection="1">
      <protection hidden="1"/>
    </xf>
    <xf numFmtId="0" fontId="41" fillId="3" borderId="106" xfId="0" applyFont="1" applyFill="1" applyBorder="1" applyAlignment="1" applyProtection="1">
      <alignment horizontal="left" vertical="center"/>
      <protection hidden="1"/>
    </xf>
    <xf numFmtId="0" fontId="0" fillId="8" borderId="2" xfId="0" applyFill="1" applyBorder="1" applyProtection="1">
      <protection hidden="1"/>
    </xf>
    <xf numFmtId="0" fontId="13" fillId="0" borderId="0" xfId="0" applyFont="1" applyFill="1" applyBorder="1" applyAlignment="1" applyProtection="1">
      <alignment vertical="center"/>
      <protection hidden="1"/>
    </xf>
    <xf numFmtId="0" fontId="0" fillId="8" borderId="0" xfId="0" applyFill="1" applyProtection="1">
      <protection hidden="1"/>
    </xf>
    <xf numFmtId="0" fontId="0" fillId="8" borderId="0" xfId="0" applyFill="1" applyBorder="1" applyProtection="1">
      <protection hidden="1"/>
    </xf>
    <xf numFmtId="0" fontId="0" fillId="2" borderId="0" xfId="0" applyFill="1" applyBorder="1" applyAlignment="1" applyProtection="1">
      <protection hidden="1"/>
    </xf>
    <xf numFmtId="0" fontId="19" fillId="4" borderId="0" xfId="0" applyFont="1" applyFill="1" applyBorder="1" applyAlignment="1" applyProtection="1">
      <alignment vertical="top" wrapText="1"/>
      <protection hidden="1"/>
    </xf>
    <xf numFmtId="0" fontId="0" fillId="8" borderId="0" xfId="0" applyFont="1" applyFill="1" applyAlignment="1" applyProtection="1">
      <alignment vertical="top"/>
      <protection hidden="1"/>
    </xf>
    <xf numFmtId="0" fontId="0" fillId="0" borderId="0" xfId="0" applyProtection="1"/>
    <xf numFmtId="0" fontId="0" fillId="0" borderId="0" xfId="0" applyFill="1" applyProtection="1"/>
    <xf numFmtId="0" fontId="0" fillId="2" borderId="0" xfId="0" applyFont="1" applyFill="1" applyProtection="1"/>
    <xf numFmtId="0" fontId="0" fillId="0" borderId="0" xfId="0" applyBorder="1" applyProtection="1"/>
    <xf numFmtId="0" fontId="30" fillId="2" borderId="0" xfId="0" applyFont="1" applyFill="1" applyBorder="1" applyAlignment="1" applyProtection="1">
      <alignment horizontal="left" vertical="center"/>
    </xf>
    <xf numFmtId="0" fontId="40" fillId="2" borderId="0" xfId="0" applyFont="1" applyFill="1" applyBorder="1" applyAlignment="1" applyProtection="1">
      <alignment horizontal="left" vertical="center"/>
    </xf>
    <xf numFmtId="0" fontId="11" fillId="2" borderId="1" xfId="0" applyFont="1" applyFill="1" applyBorder="1" applyProtection="1"/>
    <xf numFmtId="0" fontId="7" fillId="3" borderId="34" xfId="0" applyFont="1" applyFill="1" applyBorder="1" applyAlignment="1" applyProtection="1">
      <alignment horizontal="left" vertical="center"/>
    </xf>
    <xf numFmtId="0" fontId="7" fillId="3" borderId="44" xfId="0" applyFont="1" applyFill="1" applyBorder="1" applyAlignment="1" applyProtection="1">
      <alignment horizontal="left" vertical="center"/>
    </xf>
    <xf numFmtId="0" fontId="7" fillId="3" borderId="31" xfId="0" applyFont="1" applyFill="1" applyBorder="1" applyAlignment="1" applyProtection="1">
      <alignment horizontal="left" vertical="center"/>
    </xf>
    <xf numFmtId="0" fontId="1" fillId="5" borderId="31" xfId="0" applyFont="1" applyFill="1" applyBorder="1" applyAlignment="1" applyProtection="1">
      <alignment horizontal="left" vertical="center"/>
    </xf>
    <xf numFmtId="0" fontId="1" fillId="5" borderId="39" xfId="0" applyFont="1" applyFill="1" applyBorder="1" applyAlignment="1" applyProtection="1">
      <alignment horizontal="left" vertical="center"/>
    </xf>
    <xf numFmtId="0" fontId="0" fillId="4" borderId="40" xfId="0" applyFill="1" applyBorder="1" applyProtection="1"/>
    <xf numFmtId="0" fontId="7" fillId="3" borderId="48" xfId="0" applyFont="1" applyFill="1" applyBorder="1" applyAlignment="1" applyProtection="1">
      <alignment horizontal="left" vertical="center"/>
    </xf>
    <xf numFmtId="0" fontId="7" fillId="3" borderId="47" xfId="0" applyFont="1" applyFill="1" applyBorder="1" applyAlignment="1" applyProtection="1">
      <alignment horizontal="left" vertical="center"/>
    </xf>
    <xf numFmtId="0" fontId="1" fillId="5" borderId="38" xfId="0" applyFont="1" applyFill="1" applyBorder="1" applyAlignment="1" applyProtection="1">
      <alignment horizontal="left" vertical="center"/>
    </xf>
    <xf numFmtId="0" fontId="0" fillId="4" borderId="0" xfId="0" applyFill="1" applyProtection="1"/>
    <xf numFmtId="0" fontId="1" fillId="5" borderId="27" xfId="0" applyFont="1" applyFill="1" applyBorder="1" applyAlignment="1" applyProtection="1">
      <alignment horizontal="left" vertical="center"/>
    </xf>
    <xf numFmtId="0" fontId="7" fillId="3" borderId="46" xfId="0" applyFont="1" applyFill="1" applyBorder="1" applyAlignment="1" applyProtection="1">
      <alignment horizontal="left" vertical="center"/>
    </xf>
    <xf numFmtId="0" fontId="7" fillId="3" borderId="26" xfId="0" applyFont="1" applyFill="1" applyBorder="1" applyAlignment="1" applyProtection="1">
      <alignment horizontal="left" vertical="center"/>
    </xf>
    <xf numFmtId="0" fontId="7" fillId="3" borderId="28" xfId="0" applyFont="1" applyFill="1" applyBorder="1" applyAlignment="1" applyProtection="1">
      <alignment horizontal="left" vertical="center"/>
    </xf>
    <xf numFmtId="10" fontId="9" fillId="5" borderId="43" xfId="2" applyNumberFormat="1" applyFont="1" applyFill="1" applyBorder="1" applyAlignment="1" applyProtection="1">
      <alignment horizontal="left" vertical="center"/>
    </xf>
    <xf numFmtId="0" fontId="7" fillId="3" borderId="49" xfId="0" applyFont="1" applyFill="1" applyBorder="1" applyAlignment="1" applyProtection="1">
      <alignment horizontal="left" vertical="center"/>
    </xf>
    <xf numFmtId="0" fontId="7" fillId="3" borderId="27" xfId="0" applyFont="1" applyFill="1" applyBorder="1" applyAlignment="1" applyProtection="1">
      <alignment horizontal="left" vertical="center"/>
    </xf>
    <xf numFmtId="165" fontId="7" fillId="3" borderId="28" xfId="0" applyNumberFormat="1" applyFont="1" applyFill="1" applyBorder="1" applyAlignment="1" applyProtection="1">
      <alignment horizontal="left" vertical="center"/>
    </xf>
    <xf numFmtId="0" fontId="1" fillId="5" borderId="26" xfId="0" applyFont="1" applyFill="1" applyBorder="1" applyAlignment="1" applyProtection="1">
      <alignment vertical="center"/>
    </xf>
    <xf numFmtId="0" fontId="1" fillId="5" borderId="43" xfId="0" applyFont="1" applyFill="1" applyBorder="1" applyAlignment="1" applyProtection="1">
      <alignment vertical="center"/>
    </xf>
    <xf numFmtId="0" fontId="1" fillId="5" borderId="37" xfId="0" applyFont="1" applyFill="1" applyBorder="1" applyAlignment="1" applyProtection="1">
      <alignment vertical="center"/>
    </xf>
    <xf numFmtId="0" fontId="39" fillId="2" borderId="40" xfId="0" applyFont="1" applyFill="1" applyBorder="1" applyProtection="1"/>
    <xf numFmtId="0" fontId="0" fillId="2" borderId="0" xfId="0" applyFont="1" applyFill="1" applyBorder="1" applyProtection="1"/>
    <xf numFmtId="0" fontId="0" fillId="4" borderId="0" xfId="0" applyFont="1" applyFill="1" applyBorder="1" applyProtection="1"/>
    <xf numFmtId="0" fontId="37" fillId="2" borderId="0" xfId="0" applyFont="1" applyFill="1" applyBorder="1" applyAlignment="1" applyProtection="1">
      <alignment horizontal="left" wrapText="1"/>
    </xf>
    <xf numFmtId="0" fontId="42" fillId="2" borderId="101" xfId="0" applyFont="1" applyFill="1" applyBorder="1" applyAlignment="1" applyProtection="1">
      <alignment horizontal="left" vertical="top" wrapText="1"/>
    </xf>
    <xf numFmtId="0" fontId="29" fillId="2" borderId="0" xfId="0" applyFont="1" applyFill="1" applyBorder="1" applyAlignment="1" applyProtection="1">
      <alignment horizontal="left" wrapText="1"/>
    </xf>
    <xf numFmtId="0" fontId="29" fillId="2" borderId="102" xfId="0" applyFont="1" applyFill="1" applyBorder="1" applyAlignment="1" applyProtection="1">
      <alignment horizontal="left" wrapText="1"/>
    </xf>
    <xf numFmtId="0" fontId="0" fillId="4" borderId="40" xfId="0" applyFill="1" applyBorder="1" applyAlignment="1" applyProtection="1">
      <alignment wrapText="1"/>
    </xf>
    <xf numFmtId="0" fontId="42" fillId="2" borderId="40" xfId="0" applyFont="1" applyFill="1" applyBorder="1" applyAlignment="1" applyProtection="1">
      <alignment horizontal="left" vertical="top" wrapText="1"/>
    </xf>
    <xf numFmtId="0" fontId="29" fillId="2" borderId="102" xfId="0" applyFont="1" applyFill="1" applyBorder="1" applyAlignment="1" applyProtection="1">
      <alignment vertical="top" wrapText="1"/>
    </xf>
    <xf numFmtId="0" fontId="29" fillId="2" borderId="102" xfId="0" applyFont="1" applyFill="1" applyBorder="1" applyAlignment="1" applyProtection="1">
      <alignment horizontal="left" vertical="top" wrapText="1"/>
    </xf>
    <xf numFmtId="0" fontId="29" fillId="2" borderId="35" xfId="0" applyFont="1" applyFill="1" applyBorder="1" applyAlignment="1" applyProtection="1">
      <alignment horizontal="center" vertical="top" wrapText="1"/>
    </xf>
    <xf numFmtId="0" fontId="0" fillId="4" borderId="0" xfId="0" applyFill="1" applyAlignment="1" applyProtection="1">
      <alignment vertical="top" wrapText="1"/>
    </xf>
    <xf numFmtId="0" fontId="26" fillId="5" borderId="37" xfId="0" applyFont="1" applyFill="1" applyBorder="1" applyAlignment="1" applyProtection="1">
      <alignment horizontal="center" vertical="center"/>
    </xf>
    <xf numFmtId="164" fontId="26" fillId="5" borderId="24" xfId="0" applyNumberFormat="1" applyFont="1" applyFill="1" applyBorder="1" applyAlignment="1" applyProtection="1">
      <alignment horizontal="center" vertical="center"/>
    </xf>
    <xf numFmtId="0" fontId="0" fillId="5" borderId="24" xfId="0" applyFill="1" applyBorder="1" applyAlignment="1" applyProtection="1">
      <alignment vertical="center"/>
    </xf>
    <xf numFmtId="0" fontId="26" fillId="5" borderId="24" xfId="0" applyFont="1" applyFill="1" applyBorder="1" applyAlignment="1" applyProtection="1">
      <alignment vertical="center"/>
    </xf>
    <xf numFmtId="0" fontId="38" fillId="5" borderId="94" xfId="0" applyFont="1" applyFill="1" applyBorder="1" applyAlignment="1" applyProtection="1">
      <alignment horizontal="center" vertical="center"/>
    </xf>
    <xf numFmtId="164" fontId="38" fillId="5" borderId="93" xfId="0" applyNumberFormat="1" applyFont="1" applyFill="1" applyBorder="1" applyAlignment="1" applyProtection="1">
      <alignment horizontal="center" vertical="center"/>
    </xf>
    <xf numFmtId="0" fontId="26" fillId="5" borderId="96" xfId="0" applyFont="1" applyFill="1" applyBorder="1" applyAlignment="1" applyProtection="1">
      <alignment horizontal="left" vertical="center"/>
    </xf>
    <xf numFmtId="0" fontId="0" fillId="5" borderId="26" xfId="0" applyFill="1" applyBorder="1" applyAlignment="1" applyProtection="1">
      <alignment horizontal="left" vertical="center"/>
    </xf>
    <xf numFmtId="0" fontId="26" fillId="5" borderId="26" xfId="0" applyFont="1" applyFill="1" applyBorder="1" applyAlignment="1" applyProtection="1">
      <alignment vertical="center"/>
    </xf>
    <xf numFmtId="0" fontId="0" fillId="5" borderId="26" xfId="0" applyFill="1" applyBorder="1" applyAlignment="1" applyProtection="1">
      <alignment vertical="center"/>
    </xf>
    <xf numFmtId="164" fontId="26" fillId="5" borderId="0" xfId="0" applyNumberFormat="1" applyFont="1" applyFill="1" applyBorder="1" applyAlignment="1" applyProtection="1">
      <alignment horizontal="center" vertical="center"/>
    </xf>
    <xf numFmtId="0" fontId="26" fillId="5" borderId="26" xfId="0" applyFont="1" applyFill="1" applyBorder="1" applyAlignment="1" applyProtection="1">
      <alignment horizontal="left" vertical="center"/>
    </xf>
    <xf numFmtId="0" fontId="0" fillId="0" borderId="0" xfId="0" applyFont="1" applyProtection="1"/>
    <xf numFmtId="0" fontId="38" fillId="5" borderId="95" xfId="0" applyFont="1" applyFill="1" applyBorder="1" applyAlignment="1" applyProtection="1">
      <alignment horizontal="center" vertical="center"/>
      <protection locked="0"/>
    </xf>
    <xf numFmtId="0" fontId="0" fillId="4" borderId="0" xfId="0" applyFill="1" applyProtection="1">
      <protection locked="0"/>
    </xf>
    <xf numFmtId="0" fontId="0" fillId="4" borderId="0" xfId="0" applyFill="1" applyAlignment="1" applyProtection="1">
      <alignment wrapText="1"/>
      <protection locked="0"/>
    </xf>
    <xf numFmtId="0" fontId="26" fillId="5" borderId="98" xfId="0" applyFont="1" applyFill="1" applyBorder="1" applyAlignment="1" applyProtection="1">
      <alignment horizontal="left" vertical="center" wrapText="1"/>
      <protection locked="0"/>
    </xf>
    <xf numFmtId="0" fontId="26" fillId="5" borderId="99" xfId="0" applyFont="1" applyFill="1" applyBorder="1" applyAlignment="1" applyProtection="1">
      <alignment horizontal="center" vertical="center" wrapText="1"/>
      <protection locked="0"/>
    </xf>
    <xf numFmtId="0" fontId="26" fillId="5" borderId="98" xfId="0" applyFont="1" applyFill="1" applyBorder="1" applyAlignment="1" applyProtection="1">
      <alignment horizontal="center" vertical="center" wrapText="1"/>
      <protection locked="0"/>
    </xf>
    <xf numFmtId="0" fontId="26" fillId="5" borderId="97" xfId="0" applyFont="1" applyFill="1" applyBorder="1" applyAlignment="1" applyProtection="1">
      <alignment horizontal="center" vertical="center" wrapText="1"/>
      <protection locked="0"/>
    </xf>
    <xf numFmtId="0" fontId="32" fillId="0" borderId="0" xfId="0" applyFont="1" applyProtection="1"/>
    <xf numFmtId="0" fontId="23" fillId="10" borderId="54" xfId="0" applyFont="1" applyFill="1" applyBorder="1" applyProtection="1"/>
    <xf numFmtId="1" fontId="0" fillId="0" borderId="0" xfId="0" applyNumberFormat="1" applyProtection="1"/>
    <xf numFmtId="14" fontId="0" fillId="0" borderId="0" xfId="0" applyNumberFormat="1" applyProtection="1"/>
    <xf numFmtId="0" fontId="32" fillId="9" borderId="54" xfId="0" applyFont="1" applyFill="1" applyBorder="1" applyAlignment="1" applyProtection="1">
      <alignment horizontal="center"/>
    </xf>
    <xf numFmtId="0" fontId="0" fillId="0" borderId="0" xfId="0" applyAlignment="1" applyProtection="1">
      <alignment horizontal="right"/>
    </xf>
    <xf numFmtId="0" fontId="0" fillId="8" borderId="65" xfId="0" applyFont="1" applyFill="1" applyBorder="1" applyProtection="1"/>
    <xf numFmtId="0" fontId="0" fillId="8" borderId="66" xfId="0" applyFont="1" applyFill="1" applyBorder="1" applyProtection="1"/>
    <xf numFmtId="0" fontId="0" fillId="8" borderId="54" xfId="0" applyFill="1" applyBorder="1" applyAlignment="1" applyProtection="1">
      <alignment horizontal="center" vertical="center"/>
    </xf>
    <xf numFmtId="0" fontId="23" fillId="10" borderId="65" xfId="0" applyFont="1" applyFill="1" applyBorder="1" applyProtection="1"/>
    <xf numFmtId="0" fontId="23" fillId="10" borderId="66" xfId="0" applyFont="1" applyFill="1" applyBorder="1" applyProtection="1"/>
    <xf numFmtId="0" fontId="23" fillId="10" borderId="66" xfId="0" applyFont="1" applyFill="1" applyBorder="1" applyAlignment="1" applyProtection="1">
      <alignment horizontal="center"/>
    </xf>
    <xf numFmtId="0" fontId="23" fillId="10" borderId="67" xfId="0" applyFont="1" applyFill="1" applyBorder="1" applyAlignment="1" applyProtection="1">
      <alignment horizontal="center"/>
    </xf>
    <xf numFmtId="0" fontId="23" fillId="10" borderId="75" xfId="0" applyFont="1" applyFill="1" applyBorder="1" applyProtection="1"/>
    <xf numFmtId="0" fontId="0" fillId="10" borderId="55" xfId="0" applyFill="1" applyBorder="1" applyProtection="1"/>
    <xf numFmtId="0" fontId="0" fillId="10" borderId="56" xfId="0" applyFill="1" applyBorder="1" applyProtection="1"/>
    <xf numFmtId="0" fontId="0" fillId="8" borderId="70" xfId="0" applyFill="1" applyBorder="1" applyProtection="1"/>
    <xf numFmtId="0" fontId="23" fillId="10" borderId="77" xfId="0" applyFont="1" applyFill="1" applyBorder="1" applyProtection="1"/>
    <xf numFmtId="0" fontId="23" fillId="10" borderId="85" xfId="0" applyFont="1" applyFill="1" applyBorder="1" applyProtection="1"/>
    <xf numFmtId="0" fontId="23" fillId="10" borderId="86" xfId="0" applyFont="1" applyFill="1" applyBorder="1" applyProtection="1"/>
    <xf numFmtId="0" fontId="23" fillId="10" borderId="87" xfId="0" applyFont="1" applyFill="1" applyBorder="1" applyProtection="1"/>
    <xf numFmtId="0" fontId="23" fillId="10" borderId="67" xfId="0" applyFont="1" applyFill="1" applyBorder="1" applyProtection="1"/>
    <xf numFmtId="0" fontId="23" fillId="10" borderId="88" xfId="0" applyFont="1" applyFill="1" applyBorder="1" applyProtection="1"/>
    <xf numFmtId="0" fontId="23" fillId="10" borderId="68" xfId="0" applyFont="1" applyFill="1" applyBorder="1" applyProtection="1"/>
    <xf numFmtId="0" fontId="23" fillId="10" borderId="9" xfId="0" applyFont="1" applyFill="1" applyBorder="1" applyProtection="1"/>
    <xf numFmtId="0" fontId="23" fillId="10" borderId="60" xfId="0" applyFont="1" applyFill="1" applyBorder="1" applyProtection="1"/>
    <xf numFmtId="0" fontId="23" fillId="10" borderId="61" xfId="0" applyFont="1" applyFill="1" applyBorder="1" applyProtection="1"/>
    <xf numFmtId="0" fontId="0" fillId="10" borderId="62" xfId="0" applyFill="1" applyBorder="1" applyProtection="1"/>
    <xf numFmtId="0" fontId="23" fillId="10" borderId="104" xfId="0" applyFont="1" applyFill="1" applyBorder="1" applyProtection="1"/>
    <xf numFmtId="0" fontId="23" fillId="10" borderId="62" xfId="0" applyFont="1" applyFill="1" applyBorder="1" applyProtection="1"/>
    <xf numFmtId="0" fontId="0" fillId="0" borderId="63" xfId="0" applyBorder="1" applyProtection="1"/>
    <xf numFmtId="0" fontId="0" fillId="0" borderId="5" xfId="0" applyBorder="1" applyProtection="1"/>
    <xf numFmtId="0" fontId="0" fillId="12" borderId="5" xfId="0" applyFill="1" applyBorder="1" applyProtection="1"/>
    <xf numFmtId="0" fontId="0" fillId="12" borderId="64" xfId="0" applyFill="1" applyBorder="1" applyProtection="1"/>
    <xf numFmtId="0" fontId="0" fillId="0" borderId="78" xfId="0" applyFill="1" applyBorder="1" applyProtection="1"/>
    <xf numFmtId="0" fontId="0" fillId="0" borderId="58" xfId="0" applyBorder="1" applyProtection="1"/>
    <xf numFmtId="0" fontId="0" fillId="0" borderId="2" xfId="0" applyBorder="1" applyProtection="1"/>
    <xf numFmtId="0" fontId="0" fillId="0" borderId="4" xfId="0" applyBorder="1" applyProtection="1"/>
    <xf numFmtId="0" fontId="0" fillId="0" borderId="71" xfId="0" applyBorder="1" applyProtection="1"/>
    <xf numFmtId="0" fontId="0" fillId="0" borderId="81" xfId="0" applyBorder="1" applyProtection="1"/>
    <xf numFmtId="10" fontId="0" fillId="12" borderId="0" xfId="0" applyNumberFormat="1" applyFill="1" applyProtection="1"/>
    <xf numFmtId="0" fontId="26" fillId="12" borderId="2" xfId="0" applyFont="1" applyFill="1" applyBorder="1" applyAlignment="1" applyProtection="1">
      <alignment horizontal="center" vertical="center"/>
    </xf>
    <xf numFmtId="1" fontId="0" fillId="12" borderId="55" xfId="0" applyNumberFormat="1" applyFill="1" applyBorder="1" applyAlignment="1" applyProtection="1">
      <alignment horizontal="right"/>
    </xf>
    <xf numFmtId="1" fontId="0" fillId="12" borderId="57" xfId="0" applyNumberFormat="1" applyFill="1" applyBorder="1" applyAlignment="1" applyProtection="1">
      <alignment horizontal="right"/>
    </xf>
    <xf numFmtId="0" fontId="0" fillId="0" borderId="55" xfId="0" applyFill="1" applyBorder="1" applyAlignment="1" applyProtection="1">
      <alignment horizontal="right"/>
    </xf>
    <xf numFmtId="0" fontId="0" fillId="0" borderId="56" xfId="0" applyFill="1" applyBorder="1" applyAlignment="1" applyProtection="1">
      <alignment horizontal="right"/>
    </xf>
    <xf numFmtId="1" fontId="0" fillId="0" borderId="4" xfId="0" applyNumberFormat="1" applyFill="1" applyBorder="1" applyAlignment="1" applyProtection="1">
      <alignment horizontal="right"/>
    </xf>
    <xf numFmtId="0" fontId="0" fillId="0" borderId="56" xfId="0" applyBorder="1" applyProtection="1"/>
    <xf numFmtId="0" fontId="0" fillId="0" borderId="57" xfId="0" applyBorder="1" applyProtection="1"/>
    <xf numFmtId="0" fontId="0" fillId="12" borderId="2" xfId="0" applyFill="1" applyBorder="1" applyProtection="1"/>
    <xf numFmtId="0" fontId="0" fillId="12" borderId="59" xfId="0" applyFill="1" applyBorder="1" applyProtection="1"/>
    <xf numFmtId="0" fontId="0" fillId="0" borderId="79" xfId="0" applyFill="1" applyBorder="1" applyProtection="1"/>
    <xf numFmtId="1" fontId="0" fillId="12" borderId="2" xfId="0" applyNumberFormat="1" applyFill="1" applyBorder="1" applyAlignment="1" applyProtection="1">
      <alignment horizontal="right"/>
    </xf>
    <xf numFmtId="0" fontId="0" fillId="0" borderId="58" xfId="0" applyFill="1" applyBorder="1" applyAlignment="1" applyProtection="1">
      <alignment horizontal="right"/>
    </xf>
    <xf numFmtId="0" fontId="0" fillId="0" borderId="2" xfId="0" applyFill="1" applyBorder="1" applyAlignment="1" applyProtection="1">
      <alignment horizontal="right"/>
    </xf>
    <xf numFmtId="1" fontId="0" fillId="0" borderId="4" xfId="0" applyNumberFormat="1" applyFill="1" applyBorder="1" applyProtection="1"/>
    <xf numFmtId="0" fontId="0" fillId="0" borderId="59" xfId="0" applyBorder="1" applyProtection="1"/>
    <xf numFmtId="1" fontId="0" fillId="12" borderId="59" xfId="0" applyNumberFormat="1" applyFill="1" applyBorder="1" applyAlignment="1" applyProtection="1">
      <alignment horizontal="right"/>
    </xf>
    <xf numFmtId="0" fontId="0" fillId="0" borderId="4" xfId="0" applyFill="1" applyBorder="1" applyAlignment="1" applyProtection="1">
      <alignment horizontal="right"/>
    </xf>
    <xf numFmtId="0" fontId="0" fillId="0" borderId="58" xfId="0" applyFill="1" applyBorder="1" applyProtection="1"/>
    <xf numFmtId="0" fontId="0" fillId="0" borderId="2" xfId="0" applyFill="1" applyBorder="1" applyProtection="1"/>
    <xf numFmtId="0" fontId="0" fillId="0" borderId="4" xfId="0" applyFill="1" applyBorder="1" applyProtection="1"/>
    <xf numFmtId="10" fontId="0" fillId="0" borderId="2" xfId="0" applyNumberFormat="1" applyFill="1" applyBorder="1" applyProtection="1"/>
    <xf numFmtId="0" fontId="0" fillId="0" borderId="68" xfId="0" applyBorder="1" applyProtection="1"/>
    <xf numFmtId="0" fontId="0" fillId="0" borderId="3" xfId="0" applyBorder="1" applyProtection="1"/>
    <xf numFmtId="0" fontId="0" fillId="12" borderId="3" xfId="0" applyFill="1" applyBorder="1" applyProtection="1"/>
    <xf numFmtId="0" fontId="0" fillId="12" borderId="69" xfId="0" applyFill="1" applyBorder="1" applyProtection="1"/>
    <xf numFmtId="0" fontId="0" fillId="0" borderId="80" xfId="0" applyFill="1" applyBorder="1" applyProtection="1"/>
    <xf numFmtId="0" fontId="0" fillId="12" borderId="61" xfId="0" applyFill="1" applyBorder="1" applyProtection="1"/>
    <xf numFmtId="0" fontId="0" fillId="12" borderId="62" xfId="0" applyFill="1" applyBorder="1" applyProtection="1"/>
    <xf numFmtId="0" fontId="0" fillId="0" borderId="60" xfId="0" applyFill="1" applyBorder="1" applyProtection="1"/>
    <xf numFmtId="10" fontId="0" fillId="0" borderId="61" xfId="0" applyNumberFormat="1" applyFill="1" applyBorder="1" applyProtection="1"/>
    <xf numFmtId="0" fontId="0" fillId="0" borderId="61" xfId="0" applyFill="1" applyBorder="1" applyProtection="1"/>
    <xf numFmtId="0" fontId="0" fillId="0" borderId="83" xfId="0" applyFill="1" applyBorder="1" applyProtection="1"/>
    <xf numFmtId="0" fontId="0" fillId="0" borderId="60" xfId="0" applyFill="1" applyBorder="1" applyAlignment="1" applyProtection="1">
      <alignment horizontal="right"/>
    </xf>
    <xf numFmtId="0" fontId="0" fillId="0" borderId="61" xfId="0" applyBorder="1" applyProtection="1"/>
    <xf numFmtId="0" fontId="0" fillId="0" borderId="62" xfId="0" applyBorder="1" applyProtection="1"/>
    <xf numFmtId="0" fontId="32" fillId="13" borderId="65" xfId="0" applyFont="1" applyFill="1" applyBorder="1" applyProtection="1"/>
    <xf numFmtId="0" fontId="32" fillId="13" borderId="66" xfId="0" applyFont="1" applyFill="1" applyBorder="1" applyProtection="1"/>
    <xf numFmtId="0" fontId="32" fillId="13" borderId="67" xfId="0" applyFont="1" applyFill="1" applyBorder="1" applyProtection="1"/>
    <xf numFmtId="0" fontId="32" fillId="13" borderId="75" xfId="0" applyFont="1" applyFill="1" applyBorder="1" applyProtection="1"/>
    <xf numFmtId="0" fontId="0" fillId="13" borderId="60" xfId="0" applyFill="1" applyBorder="1" applyProtection="1"/>
    <xf numFmtId="0" fontId="0" fillId="13" borderId="61" xfId="0" applyFill="1" applyBorder="1" applyProtection="1"/>
    <xf numFmtId="0" fontId="0" fillId="13" borderId="83" xfId="0" applyFill="1" applyBorder="1" applyProtection="1"/>
    <xf numFmtId="0" fontId="0" fillId="13" borderId="72" xfId="0" applyFill="1" applyBorder="1" applyProtection="1"/>
    <xf numFmtId="0" fontId="0" fillId="8" borderId="77" xfId="0" applyFill="1" applyBorder="1" applyProtection="1"/>
    <xf numFmtId="10" fontId="0" fillId="13" borderId="0" xfId="0" applyNumberFormat="1" applyFill="1" applyProtection="1"/>
    <xf numFmtId="10" fontId="0" fillId="0" borderId="0" xfId="0" applyNumberFormat="1" applyFill="1" applyProtection="1"/>
    <xf numFmtId="0" fontId="0" fillId="9" borderId="55" xfId="0" applyFill="1" applyBorder="1" applyProtection="1"/>
    <xf numFmtId="0" fontId="0" fillId="9" borderId="56" xfId="0" applyFill="1" applyBorder="1" applyProtection="1"/>
    <xf numFmtId="0" fontId="0" fillId="0" borderId="73" xfId="0" applyFill="1" applyBorder="1" applyProtection="1"/>
    <xf numFmtId="0" fontId="0" fillId="0" borderId="73" xfId="0" applyBorder="1" applyProtection="1"/>
    <xf numFmtId="0" fontId="26" fillId="12" borderId="7" xfId="0" applyFont="1" applyFill="1" applyBorder="1" applyAlignment="1" applyProtection="1">
      <alignment horizontal="center" vertical="center"/>
    </xf>
    <xf numFmtId="0" fontId="0" fillId="12" borderId="55" xfId="0" applyFill="1" applyBorder="1" applyProtection="1"/>
    <xf numFmtId="0" fontId="0" fillId="12" borderId="56" xfId="0" applyFill="1" applyBorder="1" applyProtection="1"/>
    <xf numFmtId="0" fontId="0" fillId="12" borderId="57" xfId="0" applyFill="1" applyBorder="1" applyProtection="1"/>
    <xf numFmtId="0" fontId="0" fillId="0" borderId="55" xfId="0" applyFill="1" applyBorder="1" applyProtection="1"/>
    <xf numFmtId="0" fontId="0" fillId="0" borderId="56" xfId="0" applyFill="1" applyBorder="1" applyProtection="1"/>
    <xf numFmtId="0" fontId="0" fillId="0" borderId="82" xfId="0" applyFill="1" applyBorder="1" applyProtection="1"/>
    <xf numFmtId="0" fontId="0" fillId="0" borderId="71" xfId="0" applyFill="1" applyBorder="1" applyProtection="1"/>
    <xf numFmtId="0" fontId="0" fillId="8" borderId="58" xfId="0" applyFill="1" applyBorder="1" applyProtection="1"/>
    <xf numFmtId="0" fontId="43" fillId="0" borderId="0" xfId="0" applyFont="1" applyProtection="1"/>
    <xf numFmtId="0" fontId="0" fillId="0" borderId="74" xfId="0" applyFill="1" applyBorder="1" applyProtection="1"/>
    <xf numFmtId="0" fontId="0" fillId="0" borderId="61" xfId="0" applyFill="1" applyBorder="1" applyAlignment="1" applyProtection="1">
      <alignment horizontal="right"/>
    </xf>
    <xf numFmtId="0" fontId="0" fillId="0" borderId="83" xfId="0" applyFill="1" applyBorder="1" applyAlignment="1" applyProtection="1">
      <alignment horizontal="right"/>
    </xf>
    <xf numFmtId="0" fontId="32" fillId="13" borderId="54" xfId="0" applyFont="1" applyFill="1" applyBorder="1" applyProtection="1"/>
    <xf numFmtId="0" fontId="0" fillId="8" borderId="54" xfId="0" applyFill="1" applyBorder="1" applyProtection="1"/>
    <xf numFmtId="0" fontId="0" fillId="0" borderId="70" xfId="0" applyFill="1" applyBorder="1" applyProtection="1"/>
    <xf numFmtId="0" fontId="0" fillId="0" borderId="82" xfId="0" applyFill="1" applyBorder="1" applyAlignment="1" applyProtection="1">
      <alignment horizontal="right"/>
    </xf>
    <xf numFmtId="0" fontId="0" fillId="0" borderId="60" xfId="0" applyBorder="1" applyProtection="1"/>
    <xf numFmtId="0" fontId="0" fillId="0" borderId="72" xfId="0" applyFill="1" applyBorder="1" applyProtection="1"/>
    <xf numFmtId="0" fontId="0" fillId="8" borderId="2" xfId="0" applyFill="1" applyBorder="1" applyProtection="1"/>
    <xf numFmtId="0" fontId="0" fillId="0" borderId="90" xfId="0" applyBorder="1" applyProtection="1"/>
    <xf numFmtId="0" fontId="0" fillId="12" borderId="15" xfId="0" applyFill="1" applyBorder="1" applyProtection="1"/>
    <xf numFmtId="0" fontId="0" fillId="12" borderId="91" xfId="0" applyFill="1" applyBorder="1" applyProtection="1"/>
    <xf numFmtId="0" fontId="0" fillId="0" borderId="92" xfId="0" applyFill="1" applyBorder="1" applyProtection="1"/>
    <xf numFmtId="0" fontId="0" fillId="0" borderId="92" xfId="0" applyBorder="1" applyProtection="1"/>
    <xf numFmtId="10" fontId="0" fillId="11" borderId="0" xfId="0" applyNumberFormat="1" applyFill="1" applyProtection="1"/>
    <xf numFmtId="0" fontId="0" fillId="0" borderId="0" xfId="0" applyFill="1" applyAlignment="1" applyProtection="1">
      <alignment horizontal="right"/>
    </xf>
    <xf numFmtId="0" fontId="0" fillId="0" borderId="0" xfId="0" applyFill="1" applyBorder="1" applyAlignment="1" applyProtection="1">
      <alignment horizontal="right"/>
    </xf>
    <xf numFmtId="0" fontId="0" fillId="9" borderId="70" xfId="0" applyFill="1" applyBorder="1" applyProtection="1"/>
    <xf numFmtId="0" fontId="0" fillId="9" borderId="84" xfId="0" applyFill="1" applyBorder="1" applyProtection="1"/>
    <xf numFmtId="0" fontId="0" fillId="0" borderId="7" xfId="0" applyBorder="1" applyProtection="1"/>
    <xf numFmtId="10" fontId="0" fillId="12" borderId="0" xfId="0" applyNumberFormat="1" applyFill="1" applyAlignment="1" applyProtection="1">
      <alignment horizontal="center"/>
    </xf>
    <xf numFmtId="0" fontId="0" fillId="0" borderId="72" xfId="0" applyBorder="1" applyProtection="1"/>
    <xf numFmtId="0" fontId="0" fillId="0" borderId="0" xfId="0" applyFill="1" applyBorder="1" applyProtection="1"/>
    <xf numFmtId="0" fontId="0" fillId="8" borderId="84" xfId="0" applyFill="1" applyBorder="1" applyProtection="1"/>
    <xf numFmtId="0" fontId="0" fillId="0" borderId="21" xfId="0" applyBorder="1" applyProtection="1"/>
    <xf numFmtId="9" fontId="0" fillId="0" borderId="22" xfId="0" applyNumberFormat="1" applyBorder="1" applyProtection="1"/>
    <xf numFmtId="0" fontId="0" fillId="0" borderId="22" xfId="0" applyBorder="1" applyProtection="1"/>
    <xf numFmtId="0" fontId="0" fillId="0" borderId="23" xfId="0" applyBorder="1" applyProtection="1"/>
    <xf numFmtId="0" fontId="0" fillId="0" borderId="16" xfId="0" applyBorder="1" applyProtection="1"/>
    <xf numFmtId="9" fontId="0" fillId="0" borderId="0" xfId="0" applyNumberFormat="1" applyBorder="1" applyProtection="1"/>
    <xf numFmtId="0" fontId="0" fillId="0" borderId="17" xfId="0" applyBorder="1" applyProtection="1"/>
    <xf numFmtId="0" fontId="23" fillId="10" borderId="0" xfId="0" applyFont="1" applyFill="1" applyProtection="1"/>
    <xf numFmtId="0" fontId="0" fillId="0" borderId="75" xfId="0" applyFont="1" applyBorder="1" applyProtection="1"/>
    <xf numFmtId="0" fontId="0" fillId="0" borderId="76" xfId="0" applyFont="1" applyBorder="1" applyProtection="1"/>
    <xf numFmtId="0" fontId="0" fillId="0" borderId="77" xfId="0" applyFont="1" applyBorder="1" applyProtection="1"/>
    <xf numFmtId="0" fontId="0" fillId="0" borderId="54" xfId="0" applyBorder="1" applyProtection="1"/>
    <xf numFmtId="0" fontId="0" fillId="0" borderId="18" xfId="0" applyBorder="1" applyProtection="1"/>
    <xf numFmtId="9" fontId="0" fillId="0" borderId="19" xfId="0" applyNumberFormat="1" applyBorder="1" applyProtection="1"/>
    <xf numFmtId="0" fontId="0" fillId="0" borderId="19" xfId="0" applyBorder="1" applyProtection="1"/>
    <xf numFmtId="0" fontId="0" fillId="0" borderId="20" xfId="0" applyBorder="1" applyProtection="1"/>
    <xf numFmtId="0" fontId="0" fillId="10" borderId="0" xfId="0" applyFill="1" applyProtection="1"/>
    <xf numFmtId="0" fontId="0" fillId="2" borderId="0" xfId="0" applyFill="1" applyProtection="1">
      <protection locked="0" hidden="1"/>
    </xf>
    <xf numFmtId="0" fontId="0" fillId="2" borderId="0" xfId="0" applyFill="1" applyAlignment="1" applyProtection="1">
      <alignment wrapText="1"/>
      <protection locked="0" hidden="1"/>
    </xf>
    <xf numFmtId="0" fontId="12" fillId="2" borderId="0" xfId="0" applyFont="1" applyFill="1" applyAlignment="1" applyProtection="1">
      <alignment horizontal="center" wrapText="1"/>
      <protection locked="0" hidden="1"/>
    </xf>
    <xf numFmtId="0" fontId="5" fillId="16" borderId="0" xfId="0" applyFont="1" applyFill="1" applyAlignment="1" applyProtection="1">
      <alignment vertical="top" wrapText="1"/>
      <protection hidden="1"/>
    </xf>
    <xf numFmtId="0" fontId="5" fillId="15" borderId="0" xfId="0" applyFont="1" applyFill="1" applyAlignment="1" applyProtection="1">
      <alignment vertical="top" wrapText="1"/>
      <protection hidden="1"/>
    </xf>
    <xf numFmtId="0" fontId="5" fillId="14" borderId="0" xfId="0" applyFont="1" applyFill="1" applyAlignment="1" applyProtection="1">
      <alignment vertical="top" wrapText="1"/>
      <protection hidden="1"/>
    </xf>
    <xf numFmtId="0" fontId="19" fillId="3" borderId="1" xfId="0" applyFont="1" applyFill="1" applyBorder="1" applyAlignment="1" applyProtection="1">
      <alignment vertical="top"/>
    </xf>
    <xf numFmtId="0" fontId="19" fillId="3" borderId="1" xfId="0" applyFont="1" applyFill="1" applyBorder="1" applyAlignment="1" applyProtection="1">
      <alignment vertical="top" wrapText="1"/>
    </xf>
    <xf numFmtId="0" fontId="29" fillId="2" borderId="116" xfId="0" applyFont="1" applyFill="1" applyBorder="1" applyAlignment="1" applyProtection="1">
      <alignment vertical="top" wrapText="1"/>
    </xf>
    <xf numFmtId="0" fontId="0" fillId="4" borderId="52" xfId="0" applyFill="1" applyBorder="1" applyAlignment="1" applyProtection="1"/>
    <xf numFmtId="0" fontId="29" fillId="2" borderId="117" xfId="0" applyFont="1" applyFill="1" applyBorder="1" applyAlignment="1" applyProtection="1">
      <alignment horizontal="left" wrapText="1"/>
    </xf>
    <xf numFmtId="0" fontId="23" fillId="4" borderId="0" xfId="0" applyFont="1" applyFill="1" applyAlignment="1" applyProtection="1">
      <alignment vertical="center"/>
    </xf>
    <xf numFmtId="0" fontId="0" fillId="4" borderId="0" xfId="0" applyFill="1" applyAlignment="1" applyProtection="1">
      <alignment wrapText="1"/>
    </xf>
    <xf numFmtId="0" fontId="23" fillId="4" borderId="0" xfId="0" applyFont="1" applyFill="1" applyAlignment="1" applyProtection="1">
      <alignment horizontal="right" wrapText="1"/>
      <protection hidden="1"/>
    </xf>
    <xf numFmtId="0" fontId="0" fillId="4" borderId="0" xfId="0" applyFill="1" applyAlignment="1" applyProtection="1">
      <alignment wrapText="1"/>
      <protection hidden="1"/>
    </xf>
    <xf numFmtId="0" fontId="45" fillId="2" borderId="53" xfId="0" applyFont="1" applyFill="1" applyBorder="1" applyAlignment="1" applyProtection="1">
      <alignment horizontal="center" wrapText="1"/>
    </xf>
    <xf numFmtId="164" fontId="9" fillId="5" borderId="26" xfId="2" applyNumberFormat="1" applyFont="1" applyFill="1" applyBorder="1" applyAlignment="1" applyProtection="1">
      <alignment horizontal="left" vertical="center"/>
    </xf>
    <xf numFmtId="164" fontId="9" fillId="5" borderId="37" xfId="2" applyNumberFormat="1" applyFont="1" applyFill="1" applyBorder="1" applyAlignment="1" applyProtection="1">
      <alignment horizontal="left" vertical="center"/>
    </xf>
    <xf numFmtId="0" fontId="40" fillId="2" borderId="0" xfId="0" applyFont="1" applyFill="1" applyBorder="1" applyAlignment="1" applyProtection="1">
      <alignment horizontal="left" vertical="center"/>
      <protection hidden="1"/>
    </xf>
    <xf numFmtId="0" fontId="9" fillId="4" borderId="0" xfId="0" applyFont="1" applyFill="1" applyAlignment="1" applyProtection="1">
      <alignment horizontal="left" vertical="top" wrapText="1"/>
    </xf>
    <xf numFmtId="0" fontId="23" fillId="6" borderId="0" xfId="0" applyFont="1" applyFill="1" applyBorder="1" applyAlignment="1" applyProtection="1">
      <alignment horizontal="right"/>
      <protection hidden="1"/>
    </xf>
    <xf numFmtId="0" fontId="23" fillId="4" borderId="0" xfId="0" applyFont="1" applyFill="1" applyBorder="1" applyProtection="1"/>
    <xf numFmtId="0" fontId="26" fillId="5" borderId="98" xfId="0" applyFont="1" applyFill="1" applyBorder="1" applyAlignment="1" applyProtection="1">
      <alignment horizontal="right" vertical="center"/>
      <protection hidden="1"/>
    </xf>
    <xf numFmtId="0" fontId="0" fillId="4" borderId="0" xfId="0" applyFill="1" applyBorder="1" applyAlignment="1" applyProtection="1">
      <alignment wrapText="1"/>
    </xf>
    <xf numFmtId="0" fontId="0" fillId="2" borderId="0" xfId="0" applyFill="1" applyBorder="1" applyAlignment="1" applyProtection="1">
      <alignment horizontal="right"/>
      <protection hidden="1"/>
    </xf>
    <xf numFmtId="0" fontId="0" fillId="2" borderId="0" xfId="0" applyFill="1" applyBorder="1" applyAlignment="1" applyProtection="1">
      <alignment wrapText="1"/>
      <protection hidden="1"/>
    </xf>
    <xf numFmtId="0" fontId="0" fillId="2" borderId="0" xfId="0" applyFill="1" applyBorder="1" applyAlignment="1" applyProtection="1">
      <alignment horizontal="left" wrapText="1"/>
      <protection hidden="1"/>
    </xf>
    <xf numFmtId="0" fontId="36" fillId="2" borderId="0" xfId="0" applyFont="1" applyFill="1" applyBorder="1" applyAlignment="1" applyProtection="1">
      <alignment horizontal="left" wrapText="1"/>
      <protection locked="0" hidden="1"/>
    </xf>
    <xf numFmtId="0" fontId="26" fillId="4" borderId="6" xfId="0" applyFont="1" applyFill="1" applyBorder="1" applyAlignment="1" applyProtection="1">
      <alignment horizontal="left" vertical="center"/>
      <protection locked="0"/>
    </xf>
    <xf numFmtId="0" fontId="26" fillId="5" borderId="98" xfId="0" applyFont="1" applyFill="1" applyBorder="1" applyAlignment="1" applyProtection="1">
      <alignment horizontal="center" vertical="center"/>
      <protection locked="0"/>
    </xf>
    <xf numFmtId="0" fontId="26" fillId="4" borderId="36" xfId="0" applyFont="1" applyFill="1" applyBorder="1" applyAlignment="1" applyProtection="1">
      <alignment horizontal="left" vertical="center" wrapText="1"/>
      <protection locked="0"/>
    </xf>
    <xf numFmtId="0" fontId="26" fillId="5" borderId="100" xfId="0" applyFont="1" applyFill="1" applyBorder="1" applyAlignment="1" applyProtection="1">
      <alignment horizontal="left" vertical="center" wrapText="1"/>
      <protection locked="0"/>
    </xf>
    <xf numFmtId="0" fontId="26" fillId="4" borderId="120" xfId="0" applyFont="1" applyFill="1" applyBorder="1" applyAlignment="1" applyProtection="1">
      <alignment horizontal="left" vertical="center" wrapText="1"/>
      <protection locked="0"/>
    </xf>
    <xf numFmtId="0" fontId="9" fillId="4" borderId="121" xfId="0" applyFont="1" applyFill="1" applyBorder="1" applyAlignment="1" applyProtection="1">
      <alignment horizontal="left" vertical="top" wrapText="1"/>
    </xf>
    <xf numFmtId="0" fontId="29" fillId="2" borderId="1" xfId="0" applyFont="1" applyFill="1" applyBorder="1" applyAlignment="1" applyProtection="1">
      <alignment vertical="top" wrapText="1"/>
    </xf>
    <xf numFmtId="0" fontId="29" fillId="2" borderId="117" xfId="0" applyFont="1" applyFill="1" applyBorder="1" applyAlignment="1" applyProtection="1">
      <alignment horizontal="center" vertical="top" wrapText="1"/>
    </xf>
    <xf numFmtId="0" fontId="49" fillId="4" borderId="1" xfId="0" applyFont="1" applyFill="1" applyBorder="1" applyAlignment="1" applyProtection="1">
      <alignment horizontal="left"/>
    </xf>
    <xf numFmtId="0" fontId="47" fillId="4" borderId="0" xfId="0" applyFont="1" applyFill="1" applyAlignment="1" applyProtection="1">
      <alignment horizontal="left"/>
      <protection hidden="1"/>
    </xf>
    <xf numFmtId="0" fontId="50" fillId="2" borderId="41" xfId="0" applyFont="1" applyFill="1" applyBorder="1" applyAlignment="1" applyProtection="1">
      <alignment horizontal="center" wrapText="1"/>
    </xf>
    <xf numFmtId="0" fontId="24" fillId="12" borderId="2" xfId="0" applyFont="1" applyFill="1" applyBorder="1" applyProtection="1"/>
    <xf numFmtId="0" fontId="24" fillId="12" borderId="5" xfId="0" applyFont="1" applyFill="1" applyBorder="1" applyProtection="1"/>
    <xf numFmtId="0" fontId="24" fillId="12" borderId="64" xfId="0" applyFont="1" applyFill="1" applyBorder="1" applyProtection="1"/>
    <xf numFmtId="0" fontId="24" fillId="0" borderId="58" xfId="0" applyFont="1" applyBorder="1" applyProtection="1"/>
    <xf numFmtId="0" fontId="24" fillId="0" borderId="2" xfId="0" applyFont="1" applyBorder="1" applyProtection="1"/>
    <xf numFmtId="0" fontId="24" fillId="12" borderId="59" xfId="0" applyFont="1" applyFill="1" applyBorder="1" applyProtection="1"/>
    <xf numFmtId="0" fontId="24" fillId="0" borderId="5" xfId="0" applyFont="1" applyBorder="1" applyProtection="1"/>
    <xf numFmtId="0" fontId="24" fillId="0" borderId="2" xfId="0" applyFont="1" applyFill="1" applyBorder="1" applyProtection="1"/>
    <xf numFmtId="1" fontId="0" fillId="12" borderId="56" xfId="0" applyNumberFormat="1" applyFill="1" applyBorder="1" applyAlignment="1" applyProtection="1">
      <alignment horizontal="right"/>
    </xf>
    <xf numFmtId="1" fontId="0" fillId="0" borderId="0" xfId="0" applyNumberFormat="1" applyAlignment="1" applyProtection="1">
      <alignment horizontal="right"/>
    </xf>
    <xf numFmtId="1" fontId="0" fillId="12" borderId="58" xfId="0" applyNumberFormat="1" applyFill="1" applyBorder="1" applyAlignment="1" applyProtection="1">
      <alignment horizontal="right"/>
    </xf>
    <xf numFmtId="1" fontId="0" fillId="12" borderId="58" xfId="0" applyNumberFormat="1" applyFill="1" applyBorder="1" applyProtection="1"/>
    <xf numFmtId="1" fontId="0" fillId="12" borderId="2" xfId="0" applyNumberFormat="1" applyFill="1" applyBorder="1" applyProtection="1"/>
    <xf numFmtId="1" fontId="0" fillId="12" borderId="59" xfId="0" applyNumberFormat="1" applyFill="1" applyBorder="1" applyProtection="1"/>
    <xf numFmtId="1" fontId="0" fillId="12" borderId="60" xfId="0" applyNumberFormat="1" applyFill="1" applyBorder="1" applyProtection="1"/>
    <xf numFmtId="1" fontId="0" fillId="12" borderId="61" xfId="0" applyNumberFormat="1" applyFill="1" applyBorder="1" applyProtection="1"/>
    <xf numFmtId="1" fontId="0" fillId="12" borderId="62" xfId="0" applyNumberFormat="1" applyFill="1" applyBorder="1" applyProtection="1"/>
    <xf numFmtId="1" fontId="0" fillId="12" borderId="55" xfId="0" applyNumberFormat="1" applyFill="1" applyBorder="1" applyProtection="1"/>
    <xf numFmtId="1" fontId="0" fillId="12" borderId="56" xfId="0" applyNumberFormat="1" applyFill="1" applyBorder="1" applyProtection="1"/>
    <xf numFmtId="1" fontId="0" fillId="12" borderId="57" xfId="0" applyNumberFormat="1" applyFill="1" applyBorder="1" applyProtection="1"/>
    <xf numFmtId="1" fontId="0" fillId="12" borderId="60" xfId="0" applyNumberFormat="1" applyFill="1" applyBorder="1" applyAlignment="1" applyProtection="1">
      <alignment horizontal="right"/>
    </xf>
    <xf numFmtId="1" fontId="0" fillId="12" borderId="61" xfId="0" applyNumberFormat="1" applyFill="1" applyBorder="1" applyAlignment="1" applyProtection="1">
      <alignment horizontal="right"/>
    </xf>
    <xf numFmtId="1" fontId="0" fillId="12" borderId="62" xfId="0" applyNumberFormat="1" applyFill="1" applyBorder="1" applyAlignment="1" applyProtection="1">
      <alignment horizontal="right"/>
    </xf>
    <xf numFmtId="1" fontId="24" fillId="12" borderId="58" xfId="0" applyNumberFormat="1" applyFont="1" applyFill="1" applyBorder="1" applyAlignment="1" applyProtection="1">
      <alignment horizontal="right"/>
    </xf>
    <xf numFmtId="1" fontId="24" fillId="12" borderId="2" xfId="0" applyNumberFormat="1" applyFont="1" applyFill="1" applyBorder="1" applyAlignment="1" applyProtection="1">
      <alignment horizontal="right"/>
    </xf>
    <xf numFmtId="1" fontId="24" fillId="12" borderId="59" xfId="0" applyNumberFormat="1" applyFont="1" applyFill="1" applyBorder="1" applyAlignment="1" applyProtection="1">
      <alignment horizontal="right"/>
    </xf>
    <xf numFmtId="1" fontId="24" fillId="12" borderId="58" xfId="0" applyNumberFormat="1" applyFont="1" applyFill="1" applyBorder="1" applyProtection="1"/>
    <xf numFmtId="1" fontId="24" fillId="12" borderId="2" xfId="0" applyNumberFormat="1" applyFont="1" applyFill="1" applyBorder="1" applyProtection="1"/>
    <xf numFmtId="1" fontId="24" fillId="12" borderId="59" xfId="0" applyNumberFormat="1" applyFont="1" applyFill="1" applyBorder="1" applyProtection="1"/>
    <xf numFmtId="1" fontId="24" fillId="12" borderId="56" xfId="0" applyNumberFormat="1" applyFont="1" applyFill="1" applyBorder="1" applyAlignment="1" applyProtection="1">
      <alignment horizontal="right"/>
    </xf>
    <xf numFmtId="1" fontId="24" fillId="12" borderId="57" xfId="0" applyNumberFormat="1" applyFont="1" applyFill="1" applyBorder="1" applyAlignment="1" applyProtection="1">
      <alignment horizontal="right"/>
    </xf>
    <xf numFmtId="1" fontId="24" fillId="12" borderId="56" xfId="0" applyNumberFormat="1" applyFont="1" applyFill="1" applyBorder="1" applyProtection="1"/>
    <xf numFmtId="1" fontId="24" fillId="12" borderId="57" xfId="0" applyNumberFormat="1" applyFont="1" applyFill="1" applyBorder="1" applyProtection="1"/>
    <xf numFmtId="0" fontId="23" fillId="10" borderId="86" xfId="0" applyFont="1" applyFill="1" applyBorder="1" applyAlignment="1" applyProtection="1">
      <alignment horizontal="center"/>
    </xf>
    <xf numFmtId="0" fontId="23" fillId="10" borderId="87" xfId="0" applyFont="1" applyFill="1" applyBorder="1" applyAlignment="1" applyProtection="1">
      <alignment horizontal="center"/>
    </xf>
    <xf numFmtId="0" fontId="0" fillId="12" borderId="122" xfId="0" applyFill="1" applyBorder="1" applyProtection="1"/>
    <xf numFmtId="0" fontId="0" fillId="12" borderId="89" xfId="0" applyFill="1" applyBorder="1" applyProtection="1"/>
    <xf numFmtId="0" fontId="0" fillId="12" borderId="123" xfId="0" applyFill="1" applyBorder="1" applyProtection="1"/>
    <xf numFmtId="0" fontId="0" fillId="12" borderId="58" xfId="0" applyFill="1" applyBorder="1" applyProtection="1"/>
    <xf numFmtId="0" fontId="0" fillId="0" borderId="122" xfId="0" applyFill="1" applyBorder="1" applyAlignment="1" applyProtection="1">
      <alignment horizontal="right"/>
    </xf>
    <xf numFmtId="0" fontId="0" fillId="0" borderId="89" xfId="0" applyFill="1" applyBorder="1" applyAlignment="1" applyProtection="1">
      <alignment horizontal="right"/>
    </xf>
    <xf numFmtId="0" fontId="0" fillId="0" borderId="124" xfId="0" applyFill="1" applyBorder="1" applyAlignment="1" applyProtection="1">
      <alignment horizontal="right"/>
    </xf>
    <xf numFmtId="0" fontId="0" fillId="0" borderId="89" xfId="0" applyBorder="1" applyProtection="1"/>
    <xf numFmtId="0" fontId="0" fillId="0" borderId="123" xfId="0" applyBorder="1" applyProtection="1"/>
    <xf numFmtId="0" fontId="0" fillId="0" borderId="55" xfId="0" applyBorder="1" applyProtection="1"/>
    <xf numFmtId="0" fontId="0" fillId="0" borderId="15" xfId="0" applyBorder="1" applyProtection="1"/>
    <xf numFmtId="0" fontId="0" fillId="0" borderId="114" xfId="0" applyFill="1" applyBorder="1" applyProtection="1"/>
    <xf numFmtId="0" fontId="0" fillId="8" borderId="15" xfId="0" applyFill="1" applyBorder="1"/>
    <xf numFmtId="0" fontId="23" fillId="4" borderId="0" xfId="0" applyFont="1" applyFill="1" applyBorder="1" applyAlignment="1" applyProtection="1">
      <alignment horizontal="left" vertical="center" wrapText="1"/>
      <protection hidden="1"/>
    </xf>
    <xf numFmtId="0" fontId="23" fillId="4" borderId="0" xfId="0" applyFont="1" applyFill="1" applyBorder="1" applyAlignment="1" applyProtection="1">
      <alignment horizontal="left" vertical="center"/>
      <protection hidden="1"/>
    </xf>
    <xf numFmtId="0" fontId="28" fillId="6" borderId="26" xfId="0" applyFont="1" applyFill="1" applyBorder="1" applyAlignment="1" applyProtection="1">
      <alignment vertical="center"/>
    </xf>
    <xf numFmtId="0" fontId="23" fillId="6" borderId="47" xfId="0" applyFont="1" applyFill="1" applyBorder="1" applyAlignment="1" applyProtection="1">
      <alignment vertical="center"/>
    </xf>
    <xf numFmtId="0" fontId="23" fillId="6" borderId="47" xfId="0" applyFont="1" applyFill="1" applyBorder="1" applyAlignment="1" applyProtection="1">
      <alignment vertical="center"/>
      <protection locked="0"/>
    </xf>
    <xf numFmtId="0" fontId="23" fillId="6" borderId="50" xfId="0" applyFont="1" applyFill="1" applyBorder="1" applyAlignment="1" applyProtection="1">
      <alignment horizontal="left" vertical="center"/>
      <protection locked="0"/>
    </xf>
    <xf numFmtId="0" fontId="23" fillId="4" borderId="40" xfId="0" applyFont="1" applyFill="1" applyBorder="1" applyAlignment="1" applyProtection="1">
      <alignment vertical="center"/>
      <protection locked="0"/>
    </xf>
    <xf numFmtId="0" fontId="23" fillId="6" borderId="53" xfId="0" applyFont="1" applyFill="1" applyBorder="1" applyAlignment="1" applyProtection="1">
      <alignment vertical="center"/>
      <protection locked="0"/>
    </xf>
    <xf numFmtId="0" fontId="23" fillId="6" borderId="1" xfId="0" applyFont="1" applyFill="1" applyBorder="1" applyAlignment="1" applyProtection="1">
      <alignment vertical="center"/>
      <protection locked="0"/>
    </xf>
    <xf numFmtId="0" fontId="23" fillId="6" borderId="41" xfId="0" applyFont="1" applyFill="1" applyBorder="1" applyAlignment="1" applyProtection="1">
      <alignment vertical="center"/>
      <protection locked="0"/>
    </xf>
    <xf numFmtId="0" fontId="0" fillId="4" borderId="0" xfId="0" applyFill="1" applyAlignment="1" applyProtection="1">
      <alignment vertical="center"/>
      <protection locked="0"/>
    </xf>
    <xf numFmtId="0" fontId="0" fillId="5" borderId="24" xfId="0" applyFont="1" applyFill="1" applyBorder="1" applyAlignment="1" applyProtection="1">
      <alignment horizontal="left" vertical="center"/>
    </xf>
    <xf numFmtId="0" fontId="23" fillId="4" borderId="0" xfId="0" applyFont="1" applyFill="1" applyBorder="1" applyAlignment="1" applyProtection="1">
      <alignment vertical="center"/>
      <protection locked="0"/>
    </xf>
    <xf numFmtId="0" fontId="0" fillId="4" borderId="0" xfId="0" applyFill="1" applyAlignment="1" applyProtection="1">
      <alignment vertical="center" wrapText="1"/>
      <protection locked="0"/>
    </xf>
    <xf numFmtId="0" fontId="23" fillId="4" borderId="0" xfId="0" applyFont="1" applyFill="1" applyAlignment="1" applyProtection="1">
      <alignment vertical="center"/>
      <protection locked="0"/>
    </xf>
    <xf numFmtId="0" fontId="32" fillId="5" borderId="93"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0" xfId="0" applyFill="1" applyBorder="1" applyAlignment="1" applyProtection="1">
      <alignment vertical="center"/>
    </xf>
    <xf numFmtId="0" fontId="0" fillId="2" borderId="0" xfId="0" applyFill="1" applyBorder="1" applyAlignment="1" applyProtection="1">
      <alignment vertical="center"/>
      <protection locked="0"/>
    </xf>
    <xf numFmtId="0" fontId="0" fillId="2" borderId="0" xfId="0" applyFill="1" applyBorder="1" applyAlignment="1" applyProtection="1">
      <alignment horizontal="left" vertical="center" wrapText="1"/>
      <protection locked="0"/>
    </xf>
    <xf numFmtId="0" fontId="0" fillId="2" borderId="0" xfId="0" applyFill="1" applyBorder="1" applyAlignment="1" applyProtection="1">
      <alignment vertical="center" wrapText="1"/>
      <protection locked="0"/>
    </xf>
    <xf numFmtId="0" fontId="0" fillId="4" borderId="0" xfId="0" applyFill="1" applyBorder="1" applyAlignment="1" applyProtection="1">
      <alignment vertical="center" wrapText="1"/>
      <protection locked="0"/>
    </xf>
    <xf numFmtId="0" fontId="28" fillId="6" borderId="0" xfId="0" applyFont="1" applyFill="1" applyBorder="1" applyAlignment="1" applyProtection="1">
      <alignment horizontal="left" vertical="center"/>
    </xf>
    <xf numFmtId="0" fontId="23" fillId="6" borderId="47" xfId="0" applyFont="1" applyFill="1" applyBorder="1" applyAlignment="1" applyProtection="1">
      <alignment horizontal="left" vertical="center" wrapText="1"/>
      <protection locked="0"/>
    </xf>
    <xf numFmtId="0" fontId="23" fillId="6" borderId="39" xfId="0" applyFont="1" applyFill="1" applyBorder="1" applyAlignment="1" applyProtection="1">
      <alignment vertical="center"/>
      <protection locked="0"/>
    </xf>
    <xf numFmtId="0" fontId="23" fillId="6" borderId="50" xfId="0" applyFont="1" applyFill="1" applyBorder="1" applyAlignment="1" applyProtection="1">
      <alignment horizontal="left" vertical="center" wrapText="1"/>
      <protection locked="0"/>
    </xf>
    <xf numFmtId="0" fontId="23" fillId="6" borderId="1" xfId="0" applyFont="1" applyFill="1" applyBorder="1" applyAlignment="1" applyProtection="1">
      <alignment horizontal="left" vertical="center" wrapText="1"/>
      <protection locked="0"/>
    </xf>
    <xf numFmtId="0" fontId="23" fillId="6" borderId="1" xfId="0" applyFont="1" applyFill="1" applyBorder="1" applyAlignment="1" applyProtection="1">
      <alignment vertical="center" wrapText="1"/>
      <protection locked="0"/>
    </xf>
    <xf numFmtId="0" fontId="23" fillId="6" borderId="53" xfId="0" applyFont="1" applyFill="1" applyBorder="1" applyAlignment="1" applyProtection="1">
      <alignment vertical="center" wrapText="1"/>
      <protection locked="0"/>
    </xf>
    <xf numFmtId="0" fontId="0" fillId="2" borderId="0" xfId="0" applyFill="1" applyBorder="1" applyAlignment="1" applyProtection="1">
      <alignment horizontal="left" vertical="center" wrapText="1"/>
    </xf>
    <xf numFmtId="0" fontId="28" fillId="6" borderId="0" xfId="0" applyFont="1" applyFill="1" applyBorder="1" applyAlignment="1" applyProtection="1">
      <alignment horizontal="left" vertical="center" wrapText="1"/>
    </xf>
    <xf numFmtId="164" fontId="23" fillId="6" borderId="47" xfId="0" applyNumberFormat="1" applyFont="1" applyFill="1" applyBorder="1" applyAlignment="1" applyProtection="1">
      <alignment vertical="center"/>
    </xf>
    <xf numFmtId="0" fontId="23" fillId="6" borderId="51" xfId="0" applyFont="1" applyFill="1" applyBorder="1" applyAlignment="1" applyProtection="1">
      <alignment horizontal="left" vertical="center" wrapText="1"/>
      <protection locked="0"/>
    </xf>
    <xf numFmtId="0" fontId="23" fillId="6" borderId="48" xfId="0" applyFont="1" applyFill="1" applyBorder="1" applyAlignment="1" applyProtection="1">
      <alignment vertical="center"/>
      <protection locked="0"/>
    </xf>
    <xf numFmtId="0" fontId="23" fillId="6" borderId="47" xfId="0" applyFont="1" applyFill="1" applyBorder="1" applyAlignment="1" applyProtection="1">
      <alignment vertical="center" wrapText="1"/>
      <protection locked="0"/>
    </xf>
    <xf numFmtId="0" fontId="23" fillId="6" borderId="48" xfId="0" applyFont="1" applyFill="1" applyBorder="1" applyAlignment="1" applyProtection="1">
      <alignment vertical="center" wrapText="1"/>
      <protection locked="0"/>
    </xf>
    <xf numFmtId="0" fontId="0" fillId="5" borderId="24" xfId="0" applyFont="1" applyFill="1" applyBorder="1" applyAlignment="1" applyProtection="1">
      <alignment horizontal="left" vertical="center" wrapText="1"/>
    </xf>
    <xf numFmtId="0" fontId="32" fillId="5" borderId="93" xfId="0" applyFont="1" applyFill="1" applyBorder="1" applyAlignment="1" applyProtection="1">
      <alignment horizontal="left" vertical="center" wrapText="1"/>
    </xf>
    <xf numFmtId="0" fontId="0" fillId="0" borderId="2" xfId="0" applyFill="1" applyBorder="1" applyProtection="1">
      <protection hidden="1"/>
    </xf>
    <xf numFmtId="0" fontId="30" fillId="2" borderId="0" xfId="0" applyFont="1" applyFill="1" applyBorder="1" applyAlignment="1" applyProtection="1">
      <alignment horizontal="left" vertical="center"/>
      <protection hidden="1"/>
    </xf>
    <xf numFmtId="0" fontId="49" fillId="4" borderId="1" xfId="0" applyFont="1" applyFill="1" applyBorder="1" applyAlignment="1" applyProtection="1">
      <alignment horizontal="left"/>
      <protection hidden="1"/>
    </xf>
    <xf numFmtId="0" fontId="23" fillId="4" borderId="0" xfId="0" applyFont="1" applyFill="1" applyAlignment="1" applyProtection="1">
      <alignment vertical="center"/>
      <protection hidden="1"/>
    </xf>
    <xf numFmtId="0" fontId="0" fillId="2" borderId="0" xfId="0" applyFill="1" applyBorder="1" applyAlignment="1" applyProtection="1">
      <alignment horizontal="left" vertical="center"/>
      <protection hidden="1"/>
    </xf>
    <xf numFmtId="0" fontId="26" fillId="4" borderId="77" xfId="0" applyFont="1" applyFill="1" applyBorder="1" applyAlignment="1" applyProtection="1">
      <alignment horizontal="center" vertical="center"/>
      <protection locked="0"/>
    </xf>
    <xf numFmtId="0" fontId="0" fillId="18" borderId="75" xfId="0" applyFill="1" applyBorder="1" applyProtection="1"/>
    <xf numFmtId="0" fontId="0" fillId="18" borderId="77" xfId="0" applyFill="1" applyBorder="1" applyProtection="1"/>
    <xf numFmtId="0" fontId="23" fillId="10" borderId="82" xfId="0" applyFont="1" applyFill="1" applyBorder="1" applyProtection="1"/>
    <xf numFmtId="0" fontId="0" fillId="0" borderId="0" xfId="0"/>
    <xf numFmtId="0" fontId="53" fillId="4" borderId="0" xfId="0" applyFont="1" applyFill="1" applyBorder="1" applyAlignment="1">
      <alignment horizontal="left" vertical="top" wrapText="1"/>
    </xf>
    <xf numFmtId="0" fontId="52" fillId="0" borderId="0" xfId="0" applyFont="1" applyBorder="1"/>
    <xf numFmtId="0" fontId="53" fillId="0" borderId="0" xfId="0" applyFont="1" applyBorder="1"/>
    <xf numFmtId="0" fontId="53" fillId="0" borderId="0" xfId="0" applyFont="1" applyFill="1" applyBorder="1"/>
    <xf numFmtId="0" fontId="56" fillId="0" borderId="125" xfId="0" applyFont="1" applyBorder="1" applyProtection="1">
      <protection locked="0"/>
    </xf>
    <xf numFmtId="0" fontId="56" fillId="0" borderId="129" xfId="0" applyFont="1" applyBorder="1" applyProtection="1">
      <protection locked="0"/>
    </xf>
    <xf numFmtId="49" fontId="56" fillId="0" borderId="129" xfId="0" applyNumberFormat="1" applyFont="1" applyBorder="1" applyProtection="1">
      <protection locked="0"/>
    </xf>
    <xf numFmtId="0" fontId="56" fillId="0" borderId="126" xfId="0" applyFont="1" applyBorder="1" applyAlignment="1" applyProtection="1">
      <alignment horizontal="left" vertical="center"/>
      <protection locked="0"/>
    </xf>
    <xf numFmtId="0" fontId="56" fillId="0" borderId="127" xfId="0" applyFont="1" applyBorder="1" applyAlignment="1" applyProtection="1">
      <alignment horizontal="left" vertical="center"/>
      <protection locked="0"/>
    </xf>
    <xf numFmtId="0" fontId="56" fillId="0" borderId="128" xfId="0" applyFont="1" applyBorder="1" applyAlignment="1" applyProtection="1">
      <alignment horizontal="left" vertical="center"/>
      <protection locked="0"/>
    </xf>
    <xf numFmtId="0" fontId="53" fillId="19" borderId="65" xfId="0" applyFont="1" applyFill="1" applyBorder="1" applyAlignment="1">
      <alignment horizontal="center" vertical="top" wrapText="1"/>
    </xf>
    <xf numFmtId="0" fontId="53" fillId="19" borderId="66" xfId="0" applyFont="1" applyFill="1" applyBorder="1" applyAlignment="1">
      <alignment horizontal="left" vertical="top" wrapText="1"/>
    </xf>
    <xf numFmtId="0" fontId="53" fillId="19" borderId="67" xfId="0" applyFont="1" applyFill="1" applyBorder="1" applyAlignment="1">
      <alignment horizontal="center" vertical="top" wrapText="1"/>
    </xf>
    <xf numFmtId="0" fontId="0" fillId="8" borderId="113" xfId="0" applyFill="1" applyBorder="1"/>
    <xf numFmtId="0" fontId="0" fillId="0" borderId="92" xfId="0" applyBorder="1"/>
    <xf numFmtId="0" fontId="56" fillId="0" borderId="130" xfId="0" applyFont="1" applyBorder="1" applyProtection="1">
      <protection locked="0"/>
    </xf>
    <xf numFmtId="0" fontId="52" fillId="0" borderId="59" xfId="0" applyFont="1" applyBorder="1" applyAlignment="1">
      <alignment horizontal="center"/>
    </xf>
    <xf numFmtId="0" fontId="52" fillId="0" borderId="59" xfId="0" applyFont="1" applyBorder="1" applyAlignment="1">
      <alignment horizontal="center" vertical="top"/>
    </xf>
    <xf numFmtId="0" fontId="52" fillId="0" borderId="16" xfId="0" applyFont="1" applyBorder="1"/>
    <xf numFmtId="0" fontId="52" fillId="0" borderId="17" xfId="0" applyFont="1" applyBorder="1" applyAlignment="1">
      <alignment horizontal="center"/>
    </xf>
    <xf numFmtId="0" fontId="53" fillId="0" borderId="16" xfId="0" applyFont="1" applyBorder="1"/>
    <xf numFmtId="0" fontId="54" fillId="0" borderId="59" xfId="0" applyFont="1" applyBorder="1" applyAlignment="1">
      <alignment horizontal="center"/>
    </xf>
    <xf numFmtId="0" fontId="54" fillId="0" borderId="59" xfId="0" applyFont="1" applyBorder="1" applyAlignment="1">
      <alignment horizontal="center" vertical="top"/>
    </xf>
    <xf numFmtId="49" fontId="56" fillId="0" borderId="130" xfId="0" applyNumberFormat="1" applyFont="1" applyBorder="1" applyProtection="1">
      <protection locked="0"/>
    </xf>
    <xf numFmtId="0" fontId="53" fillId="0" borderId="16" xfId="0" applyFont="1" applyFill="1" applyBorder="1"/>
    <xf numFmtId="0" fontId="56" fillId="0" borderId="134" xfId="0" applyFont="1" applyBorder="1" applyProtection="1">
      <protection locked="0"/>
    </xf>
    <xf numFmtId="0" fontId="56" fillId="0" borderId="135" xfId="0" applyFont="1" applyBorder="1" applyProtection="1">
      <protection locked="0"/>
    </xf>
    <xf numFmtId="0" fontId="55" fillId="17" borderId="61" xfId="3" applyBorder="1"/>
    <xf numFmtId="0" fontId="52" fillId="0" borderId="62" xfId="0" applyFont="1" applyBorder="1" applyAlignment="1">
      <alignment horizontal="center"/>
    </xf>
    <xf numFmtId="0" fontId="0" fillId="8" borderId="75" xfId="0" applyFill="1" applyBorder="1"/>
    <xf numFmtId="0" fontId="0" fillId="0" borderId="113" xfId="0" applyBorder="1"/>
    <xf numFmtId="0" fontId="19" fillId="3" borderId="41" xfId="0" applyFont="1" applyFill="1" applyBorder="1" applyAlignment="1" applyProtection="1">
      <alignment vertical="top"/>
    </xf>
    <xf numFmtId="0" fontId="19" fillId="3" borderId="0" xfId="0" applyFont="1" applyFill="1" applyBorder="1" applyAlignment="1" applyProtection="1">
      <alignment vertical="top"/>
      <protection hidden="1"/>
    </xf>
    <xf numFmtId="0" fontId="0" fillId="0" borderId="0" xfId="0" applyAlignment="1">
      <alignment horizontal="center" vertical="center"/>
    </xf>
    <xf numFmtId="0" fontId="0" fillId="18" borderId="5" xfId="0" applyFill="1" applyBorder="1"/>
    <xf numFmtId="0" fontId="53" fillId="4" borderId="21" xfId="0" applyFont="1" applyFill="1" applyBorder="1" applyAlignment="1">
      <alignment horizontal="left" vertical="top" wrapText="1"/>
    </xf>
    <xf numFmtId="0" fontId="53" fillId="4" borderId="22" xfId="0" applyFont="1" applyFill="1" applyBorder="1" applyAlignment="1">
      <alignment horizontal="left" vertical="top" wrapText="1"/>
    </xf>
    <xf numFmtId="0" fontId="53" fillId="4" borderId="23" xfId="0" applyFont="1" applyFill="1" applyBorder="1" applyAlignment="1">
      <alignment horizontal="center" vertical="top" wrapText="1"/>
    </xf>
    <xf numFmtId="0" fontId="0" fillId="0" borderId="0" xfId="0"/>
    <xf numFmtId="0" fontId="52" fillId="0" borderId="0" xfId="0" applyFont="1" applyBorder="1"/>
    <xf numFmtId="0" fontId="55" fillId="17" borderId="2" xfId="3" applyBorder="1"/>
    <xf numFmtId="0" fontId="55" fillId="17" borderId="2" xfId="3" applyBorder="1" applyAlignment="1">
      <alignment vertical="top"/>
    </xf>
    <xf numFmtId="0" fontId="56" fillId="0" borderId="125" xfId="0" applyFont="1" applyBorder="1" applyProtection="1">
      <protection locked="0"/>
    </xf>
    <xf numFmtId="0" fontId="56" fillId="0" borderId="129" xfId="0" applyFont="1" applyBorder="1" applyProtection="1">
      <protection locked="0"/>
    </xf>
    <xf numFmtId="0" fontId="56" fillId="0" borderId="129" xfId="0" applyFont="1" applyBorder="1" applyAlignment="1" applyProtection="1">
      <alignment wrapText="1"/>
      <protection locked="0"/>
    </xf>
    <xf numFmtId="0" fontId="26" fillId="4" borderId="2" xfId="0" applyFont="1" applyFill="1" applyBorder="1" applyAlignment="1" applyProtection="1">
      <alignment horizontal="left" vertical="center"/>
      <protection hidden="1"/>
    </xf>
    <xf numFmtId="0" fontId="58" fillId="2" borderId="1" xfId="0" applyFont="1" applyFill="1" applyBorder="1" applyAlignment="1" applyProtection="1">
      <alignment horizontal="left"/>
      <protection hidden="1"/>
    </xf>
    <xf numFmtId="0" fontId="35" fillId="4" borderId="34" xfId="0" applyFont="1" applyFill="1" applyBorder="1" applyAlignment="1" applyProtection="1">
      <alignment horizontal="left" vertical="center"/>
      <protection hidden="1"/>
    </xf>
    <xf numFmtId="165" fontId="35" fillId="4" borderId="28" xfId="0" applyNumberFormat="1" applyFont="1" applyFill="1" applyBorder="1" applyAlignment="1" applyProtection="1">
      <alignment horizontal="left" vertical="center"/>
      <protection hidden="1"/>
    </xf>
    <xf numFmtId="0" fontId="1" fillId="4" borderId="27" xfId="0" applyFont="1" applyFill="1" applyBorder="1" applyAlignment="1" applyProtection="1">
      <alignment horizontal="left" vertical="center"/>
      <protection hidden="1"/>
    </xf>
    <xf numFmtId="0" fontId="1" fillId="5" borderId="2" xfId="0" applyFont="1" applyFill="1" applyBorder="1" applyAlignment="1" applyProtection="1">
      <alignment horizontal="left" vertical="center"/>
      <protection hidden="1"/>
    </xf>
    <xf numFmtId="164" fontId="9" fillId="5" borderId="2" xfId="2" applyNumberFormat="1" applyFont="1" applyFill="1" applyBorder="1" applyAlignment="1" applyProtection="1">
      <alignment horizontal="left" vertical="center"/>
      <protection hidden="1"/>
    </xf>
    <xf numFmtId="0" fontId="1" fillId="5" borderId="2" xfId="0" applyFont="1" applyFill="1" applyBorder="1" applyAlignment="1" applyProtection="1">
      <alignment vertical="center"/>
      <protection hidden="1"/>
    </xf>
    <xf numFmtId="0" fontId="35" fillId="4" borderId="4" xfId="0" applyFont="1" applyFill="1" applyBorder="1" applyAlignment="1" applyProtection="1">
      <alignment horizontal="left" vertical="center"/>
      <protection hidden="1"/>
    </xf>
    <xf numFmtId="0" fontId="35" fillId="4" borderId="6" xfId="0" applyFont="1" applyFill="1" applyBorder="1" applyAlignment="1" applyProtection="1">
      <alignment horizontal="left" vertical="center"/>
      <protection hidden="1"/>
    </xf>
    <xf numFmtId="0" fontId="35" fillId="4" borderId="7" xfId="0" applyFont="1" applyFill="1" applyBorder="1" applyAlignment="1" applyProtection="1">
      <alignment horizontal="left" vertical="center"/>
      <protection hidden="1"/>
    </xf>
    <xf numFmtId="0" fontId="1" fillId="5" borderId="4" xfId="0" applyFont="1" applyFill="1" applyBorder="1" applyAlignment="1" applyProtection="1">
      <alignment horizontal="left" vertical="center"/>
      <protection hidden="1"/>
    </xf>
    <xf numFmtId="0" fontId="1" fillId="5" borderId="7" xfId="0" applyFont="1" applyFill="1" applyBorder="1" applyAlignment="1" applyProtection="1">
      <alignment horizontal="left" vertical="center"/>
      <protection hidden="1"/>
    </xf>
    <xf numFmtId="164" fontId="9" fillId="5" borderId="4" xfId="2" applyNumberFormat="1" applyFont="1" applyFill="1" applyBorder="1" applyAlignment="1" applyProtection="1">
      <alignment horizontal="left" vertical="center"/>
      <protection hidden="1"/>
    </xf>
    <xf numFmtId="10" fontId="9" fillId="5" borderId="7" xfId="2" applyNumberFormat="1" applyFont="1" applyFill="1" applyBorder="1" applyAlignment="1" applyProtection="1">
      <alignment horizontal="left" vertical="center"/>
      <protection hidden="1"/>
    </xf>
    <xf numFmtId="0" fontId="1" fillId="5" borderId="4" xfId="0" applyFont="1" applyFill="1" applyBorder="1" applyAlignment="1" applyProtection="1">
      <alignment vertical="center"/>
      <protection hidden="1"/>
    </xf>
    <xf numFmtId="0" fontId="1" fillId="5" borderId="7" xfId="0" applyFont="1" applyFill="1" applyBorder="1" applyAlignment="1" applyProtection="1">
      <alignment vertical="center"/>
      <protection hidden="1"/>
    </xf>
    <xf numFmtId="0" fontId="0" fillId="4" borderId="6" xfId="0" applyFill="1" applyBorder="1" applyAlignment="1" applyProtection="1">
      <alignment horizontal="center"/>
      <protection hidden="1"/>
    </xf>
    <xf numFmtId="164" fontId="9" fillId="5" borderId="7" xfId="2" applyNumberFormat="1" applyFont="1" applyFill="1" applyBorder="1" applyAlignment="1" applyProtection="1">
      <alignment horizontal="left" vertical="center"/>
      <protection hidden="1"/>
    </xf>
    <xf numFmtId="0" fontId="26" fillId="5" borderId="99" xfId="0" applyFont="1" applyFill="1" applyBorder="1" applyAlignment="1" applyProtection="1">
      <alignment horizontal="left" vertical="center" wrapText="1"/>
      <protection locked="0"/>
    </xf>
    <xf numFmtId="0" fontId="23" fillId="6" borderId="41" xfId="0" applyFont="1" applyFill="1" applyBorder="1" applyAlignment="1" applyProtection="1">
      <alignment horizontal="left" vertical="center" wrapText="1"/>
      <protection locked="0"/>
    </xf>
    <xf numFmtId="0" fontId="26" fillId="4" borderId="7" xfId="0" applyFont="1" applyFill="1" applyBorder="1" applyAlignment="1" applyProtection="1">
      <alignment horizontal="left" vertical="center" wrapText="1"/>
      <protection locked="0"/>
    </xf>
    <xf numFmtId="0" fontId="26" fillId="5" borderId="97" xfId="0" applyFont="1" applyFill="1" applyBorder="1" applyAlignment="1" applyProtection="1">
      <alignment horizontal="left" vertical="center" wrapText="1"/>
      <protection locked="0"/>
    </xf>
    <xf numFmtId="0" fontId="23" fillId="6" borderId="39" xfId="0" applyFont="1" applyFill="1" applyBorder="1" applyAlignment="1" applyProtection="1">
      <alignment horizontal="left" vertical="center" wrapText="1"/>
      <protection locked="0"/>
    </xf>
    <xf numFmtId="0" fontId="38" fillId="5" borderId="141" xfId="0" applyFont="1" applyFill="1" applyBorder="1" applyAlignment="1" applyProtection="1">
      <alignment horizontal="center" vertical="center"/>
      <protection locked="0"/>
    </xf>
    <xf numFmtId="0" fontId="38" fillId="5" borderId="141" xfId="0" applyFont="1" applyFill="1" applyBorder="1" applyAlignment="1" applyProtection="1">
      <alignment horizontal="center" vertical="center" wrapText="1"/>
      <protection locked="0"/>
    </xf>
    <xf numFmtId="0" fontId="19" fillId="4" borderId="0" xfId="0" applyFont="1" applyFill="1" applyBorder="1" applyAlignment="1" applyProtection="1">
      <alignment vertical="top"/>
      <protection hidden="1"/>
    </xf>
    <xf numFmtId="0" fontId="19" fillId="3" borderId="1" xfId="0" applyFont="1" applyFill="1" applyBorder="1" applyAlignment="1" applyProtection="1">
      <alignment vertical="top"/>
      <protection hidden="1"/>
    </xf>
    <xf numFmtId="0" fontId="0" fillId="4" borderId="0" xfId="0" applyFill="1" applyAlignment="1" applyProtection="1">
      <protection hidden="1"/>
    </xf>
    <xf numFmtId="0" fontId="0" fillId="2" borderId="0" xfId="0" applyFill="1" applyAlignment="1" applyProtection="1">
      <protection hidden="1"/>
    </xf>
    <xf numFmtId="0" fontId="23" fillId="2" borderId="0" xfId="0" applyFont="1" applyFill="1" applyAlignment="1" applyProtection="1">
      <protection hidden="1"/>
    </xf>
    <xf numFmtId="0" fontId="0" fillId="4" borderId="0" xfId="0" applyFill="1" applyBorder="1" applyAlignment="1" applyProtection="1">
      <protection hidden="1"/>
    </xf>
    <xf numFmtId="0" fontId="23" fillId="2" borderId="0" xfId="0" applyFont="1" applyFill="1" applyBorder="1" applyAlignment="1" applyProtection="1">
      <protection hidden="1"/>
    </xf>
    <xf numFmtId="0" fontId="11" fillId="2" borderId="14" xfId="0" applyFont="1" applyFill="1" applyBorder="1" applyAlignment="1" applyProtection="1">
      <protection hidden="1"/>
    </xf>
    <xf numFmtId="0" fontId="58" fillId="2" borderId="1" xfId="0" applyFont="1" applyFill="1" applyBorder="1" applyAlignment="1" applyProtection="1">
      <alignment horizontal="center"/>
      <protection hidden="1"/>
    </xf>
    <xf numFmtId="0" fontId="45" fillId="2" borderId="1" xfId="0" applyFont="1" applyFill="1" applyBorder="1" applyAlignment="1" applyProtection="1">
      <alignment horizontal="center"/>
      <protection hidden="1"/>
    </xf>
    <xf numFmtId="0" fontId="50" fillId="2" borderId="1" xfId="0" applyFont="1" applyFill="1" applyBorder="1" applyAlignment="1" applyProtection="1">
      <alignment horizontal="center"/>
      <protection hidden="1"/>
    </xf>
    <xf numFmtId="0" fontId="45" fillId="2" borderId="5" xfId="0" applyFont="1" applyFill="1" applyBorder="1" applyAlignment="1" applyProtection="1">
      <alignment horizontal="center"/>
      <protection hidden="1"/>
    </xf>
    <xf numFmtId="0" fontId="58" fillId="2" borderId="14" xfId="0" applyFont="1" applyFill="1" applyBorder="1" applyAlignment="1" applyProtection="1">
      <alignment horizontal="center"/>
      <protection hidden="1"/>
    </xf>
    <xf numFmtId="0" fontId="45" fillId="2" borderId="0" xfId="0" applyFont="1" applyFill="1" applyBorder="1" applyAlignment="1" applyProtection="1">
      <alignment horizontal="center"/>
      <protection hidden="1"/>
    </xf>
    <xf numFmtId="0" fontId="0" fillId="2" borderId="1" xfId="0" applyFill="1" applyBorder="1" applyAlignment="1" applyProtection="1">
      <protection hidden="1"/>
    </xf>
    <xf numFmtId="0" fontId="0" fillId="2" borderId="12" xfId="0" applyFont="1" applyFill="1" applyBorder="1" applyAlignment="1" applyProtection="1">
      <protection hidden="1"/>
    </xf>
    <xf numFmtId="0" fontId="0" fillId="4" borderId="15" xfId="0" applyFill="1" applyBorder="1" applyAlignment="1" applyProtection="1">
      <protection hidden="1"/>
    </xf>
    <xf numFmtId="0" fontId="0" fillId="2" borderId="0" xfId="0" applyFont="1" applyFill="1" applyAlignment="1" applyProtection="1">
      <protection hidden="1"/>
    </xf>
    <xf numFmtId="0" fontId="0" fillId="4" borderId="0" xfId="0" applyFont="1" applyFill="1" applyAlignment="1" applyProtection="1">
      <protection hidden="1"/>
    </xf>
    <xf numFmtId="0" fontId="1" fillId="4" borderId="0" xfId="0" applyFont="1" applyFill="1" applyAlignment="1" applyProtection="1">
      <protection hidden="1"/>
    </xf>
    <xf numFmtId="0" fontId="9" fillId="4" borderId="0" xfId="0" applyFont="1" applyFill="1" applyAlignment="1" applyProtection="1">
      <alignment horizontal="left" vertical="top"/>
      <protection hidden="1"/>
    </xf>
    <xf numFmtId="0" fontId="0" fillId="0" borderId="0" xfId="0" applyAlignment="1" applyProtection="1">
      <protection hidden="1"/>
    </xf>
    <xf numFmtId="0" fontId="0" fillId="2" borderId="0" xfId="0" applyFont="1" applyFill="1" applyBorder="1" applyAlignment="1" applyProtection="1">
      <protection hidden="1"/>
    </xf>
    <xf numFmtId="0" fontId="39" fillId="2" borderId="0" xfId="0" applyFont="1" applyFill="1" applyBorder="1" applyAlignment="1" applyProtection="1">
      <protection hidden="1"/>
    </xf>
    <xf numFmtId="0" fontId="0" fillId="4" borderId="0" xfId="0" applyFont="1" applyFill="1" applyBorder="1" applyAlignment="1" applyProtection="1">
      <protection hidden="1"/>
    </xf>
    <xf numFmtId="0" fontId="59" fillId="2" borderId="0" xfId="0" applyFont="1" applyFill="1" applyBorder="1" applyAlignment="1" applyProtection="1">
      <alignment horizontal="left"/>
      <protection hidden="1"/>
    </xf>
    <xf numFmtId="0" fontId="3" fillId="4" borderId="0" xfId="0" applyFont="1" applyFill="1" applyAlignment="1" applyProtection="1">
      <protection hidden="1"/>
    </xf>
    <xf numFmtId="0" fontId="23" fillId="5" borderId="14" xfId="0" applyFont="1" applyFill="1" applyBorder="1" applyAlignment="1" applyProtection="1">
      <alignment horizontal="left" vertical="center"/>
      <protection hidden="1"/>
    </xf>
    <xf numFmtId="0" fontId="15" fillId="4" borderId="0" xfId="0" applyFont="1" applyFill="1" applyAlignment="1" applyProtection="1">
      <protection hidden="1"/>
    </xf>
    <xf numFmtId="0" fontId="24" fillId="2" borderId="0" xfId="0" applyFont="1" applyFill="1" applyAlignment="1" applyProtection="1">
      <protection hidden="1"/>
    </xf>
    <xf numFmtId="0" fontId="0" fillId="2" borderId="0" xfId="0" applyFill="1" applyBorder="1" applyAlignment="1" applyProtection="1">
      <alignment horizontal="left" vertical="top"/>
      <protection hidden="1"/>
    </xf>
    <xf numFmtId="0" fontId="23" fillId="4" borderId="0" xfId="0" applyFont="1" applyFill="1" applyBorder="1" applyAlignment="1" applyProtection="1">
      <alignment horizontal="left"/>
      <protection hidden="1"/>
    </xf>
    <xf numFmtId="0" fontId="23" fillId="4" borderId="0" xfId="0" applyFont="1" applyFill="1" applyAlignment="1" applyProtection="1">
      <protection hidden="1"/>
    </xf>
    <xf numFmtId="0" fontId="12" fillId="2" borderId="0" xfId="0" applyFont="1" applyFill="1" applyAlignment="1" applyProtection="1">
      <alignment horizontal="center"/>
      <protection hidden="1"/>
    </xf>
    <xf numFmtId="0" fontId="17" fillId="2" borderId="0" xfId="0" applyFont="1" applyFill="1" applyAlignment="1" applyProtection="1">
      <alignment horizontal="left" vertical="top"/>
      <protection hidden="1"/>
    </xf>
    <xf numFmtId="0" fontId="14" fillId="2" borderId="0" xfId="0" applyFont="1" applyFill="1" applyAlignment="1" applyProtection="1">
      <alignment vertical="center" wrapText="1"/>
      <protection hidden="1"/>
    </xf>
    <xf numFmtId="0" fontId="60" fillId="2" borderId="0" xfId="0" applyFont="1" applyFill="1" applyProtection="1">
      <protection hidden="1"/>
    </xf>
    <xf numFmtId="0" fontId="60" fillId="4" borderId="0" xfId="0" applyFont="1" applyFill="1"/>
    <xf numFmtId="0" fontId="61" fillId="3" borderId="0" xfId="0" applyFont="1" applyFill="1" applyBorder="1" applyAlignment="1" applyProtection="1">
      <alignment horizontal="left" vertical="top"/>
      <protection hidden="1"/>
    </xf>
    <xf numFmtId="0" fontId="62" fillId="3" borderId="0" xfId="0" applyFont="1" applyFill="1" applyBorder="1" applyProtection="1">
      <protection hidden="1"/>
    </xf>
    <xf numFmtId="0" fontId="61" fillId="3" borderId="0" xfId="0" applyFont="1" applyFill="1" applyBorder="1" applyAlignment="1" applyProtection="1">
      <alignment vertical="top"/>
      <protection hidden="1"/>
    </xf>
    <xf numFmtId="0" fontId="63" fillId="2" borderId="0" xfId="0" applyFont="1" applyFill="1" applyAlignment="1" applyProtection="1">
      <alignment horizontal="left" vertical="center"/>
      <protection hidden="1"/>
    </xf>
    <xf numFmtId="0" fontId="64" fillId="2" borderId="0" xfId="0" applyFont="1" applyFill="1" applyAlignment="1" applyProtection="1">
      <alignment horizontal="right"/>
      <protection hidden="1"/>
    </xf>
    <xf numFmtId="0" fontId="65" fillId="4" borderId="1" xfId="0" applyFont="1" applyFill="1" applyBorder="1" applyAlignment="1" applyProtection="1">
      <alignment horizontal="left"/>
      <protection hidden="1"/>
    </xf>
    <xf numFmtId="0" fontId="66" fillId="2" borderId="1" xfId="0" applyFont="1" applyFill="1" applyBorder="1" applyProtection="1">
      <protection hidden="1"/>
    </xf>
    <xf numFmtId="0" fontId="67" fillId="2" borderId="1" xfId="0" applyFont="1" applyFill="1" applyBorder="1" applyProtection="1">
      <protection hidden="1"/>
    </xf>
    <xf numFmtId="0" fontId="68" fillId="3" borderId="6" xfId="0" applyFont="1" applyFill="1" applyBorder="1" applyProtection="1">
      <protection hidden="1"/>
    </xf>
    <xf numFmtId="0" fontId="69" fillId="3" borderId="6" xfId="0" applyFont="1" applyFill="1" applyBorder="1" applyAlignment="1" applyProtection="1">
      <alignment horizontal="right" vertical="center"/>
      <protection hidden="1"/>
    </xf>
    <xf numFmtId="0" fontId="67" fillId="5" borderId="6" xfId="0" applyFont="1" applyFill="1" applyBorder="1" applyAlignment="1" applyProtection="1">
      <alignment horizontal="left" vertical="center"/>
      <protection hidden="1"/>
    </xf>
    <xf numFmtId="0" fontId="60" fillId="5" borderId="6" xfId="0" applyFont="1" applyFill="1" applyBorder="1" applyProtection="1">
      <protection hidden="1"/>
    </xf>
    <xf numFmtId="0" fontId="60" fillId="5" borderId="7" xfId="0" applyFont="1" applyFill="1" applyBorder="1" applyProtection="1">
      <protection hidden="1"/>
    </xf>
    <xf numFmtId="0" fontId="60" fillId="4" borderId="0" xfId="0" applyFont="1" applyFill="1" applyProtection="1"/>
    <xf numFmtId="0" fontId="60" fillId="5" borderId="4" xfId="0" applyFont="1" applyFill="1" applyBorder="1" applyAlignment="1" applyProtection="1">
      <alignment horizontal="right"/>
      <protection hidden="1"/>
    </xf>
    <xf numFmtId="0" fontId="60" fillId="5" borderId="6" xfId="0" applyFont="1" applyFill="1" applyBorder="1" applyAlignment="1" applyProtection="1">
      <alignment horizontal="right"/>
      <protection hidden="1"/>
    </xf>
    <xf numFmtId="14" fontId="60" fillId="5" borderId="7" xfId="0" applyNumberFormat="1" applyFont="1" applyFill="1" applyBorder="1" applyAlignment="1" applyProtection="1">
      <alignment horizontal="left"/>
      <protection hidden="1"/>
    </xf>
    <xf numFmtId="0" fontId="68" fillId="4" borderId="0" xfId="0" applyFont="1" applyFill="1" applyBorder="1" applyProtection="1">
      <protection hidden="1"/>
    </xf>
    <xf numFmtId="0" fontId="69" fillId="4" borderId="0" xfId="0" applyFont="1" applyFill="1" applyBorder="1" applyAlignment="1" applyProtection="1">
      <alignment horizontal="right" vertical="center"/>
      <protection hidden="1"/>
    </xf>
    <xf numFmtId="0" fontId="60" fillId="4" borderId="0" xfId="0" applyFont="1" applyFill="1" applyProtection="1">
      <protection hidden="1"/>
    </xf>
    <xf numFmtId="0" fontId="69" fillId="3" borderId="107" xfId="0" applyFont="1" applyFill="1" applyBorder="1" applyProtection="1">
      <protection hidden="1"/>
    </xf>
    <xf numFmtId="0" fontId="69" fillId="3" borderId="112" xfId="0" applyFont="1" applyFill="1" applyBorder="1" applyAlignment="1" applyProtection="1">
      <alignment horizontal="right" vertical="center"/>
      <protection hidden="1"/>
    </xf>
    <xf numFmtId="0" fontId="73" fillId="4" borderId="0" xfId="0" applyFont="1" applyFill="1" applyAlignment="1" applyProtection="1">
      <alignment horizontal="left" vertical="top" wrapText="1"/>
      <protection hidden="1"/>
    </xf>
    <xf numFmtId="0" fontId="69" fillId="3" borderId="47" xfId="0" applyFont="1" applyFill="1" applyBorder="1" applyProtection="1">
      <protection hidden="1"/>
    </xf>
    <xf numFmtId="0" fontId="69" fillId="3" borderId="115" xfId="0" applyFont="1" applyFill="1" applyBorder="1" applyAlignment="1" applyProtection="1">
      <alignment horizontal="right" vertical="center"/>
      <protection hidden="1"/>
    </xf>
    <xf numFmtId="0" fontId="69" fillId="3" borderId="27" xfId="0" applyFont="1" applyFill="1" applyBorder="1" applyProtection="1">
      <protection hidden="1"/>
    </xf>
    <xf numFmtId="0" fontId="69" fillId="3" borderId="109" xfId="0" applyFont="1" applyFill="1" applyBorder="1" applyAlignment="1" applyProtection="1">
      <alignment horizontal="right" vertical="center"/>
      <protection hidden="1"/>
    </xf>
    <xf numFmtId="0" fontId="69" fillId="3" borderId="108" xfId="0" applyFont="1" applyFill="1" applyBorder="1" applyProtection="1">
      <protection hidden="1"/>
    </xf>
    <xf numFmtId="0" fontId="69" fillId="3" borderId="110" xfId="0" applyFont="1" applyFill="1" applyBorder="1" applyAlignment="1" applyProtection="1">
      <alignment horizontal="right" vertical="center"/>
      <protection hidden="1"/>
    </xf>
    <xf numFmtId="0" fontId="60" fillId="2" borderId="11" xfId="0" applyFont="1" applyFill="1" applyBorder="1" applyAlignment="1" applyProtection="1">
      <protection hidden="1"/>
    </xf>
    <xf numFmtId="0" fontId="60" fillId="2" borderId="0" xfId="0" applyFont="1" applyFill="1" applyBorder="1" applyAlignment="1" applyProtection="1">
      <protection hidden="1"/>
    </xf>
    <xf numFmtId="0" fontId="60" fillId="2" borderId="55" xfId="0" applyFont="1" applyFill="1" applyBorder="1" applyProtection="1">
      <protection hidden="1"/>
    </xf>
    <xf numFmtId="0" fontId="60" fillId="4" borderId="56" xfId="0" applyFont="1" applyFill="1" applyBorder="1"/>
    <xf numFmtId="0" fontId="60" fillId="4" borderId="57" xfId="0" applyFont="1" applyFill="1" applyBorder="1"/>
    <xf numFmtId="0" fontId="60" fillId="2" borderId="58" xfId="0" applyFont="1" applyFill="1" applyBorder="1" applyProtection="1">
      <protection hidden="1"/>
    </xf>
    <xf numFmtId="9" fontId="60" fillId="4" borderId="2" xfId="0" applyNumberFormat="1" applyFont="1" applyFill="1" applyBorder="1"/>
    <xf numFmtId="9" fontId="60" fillId="4" borderId="59" xfId="0" applyNumberFormat="1" applyFont="1" applyFill="1" applyBorder="1"/>
    <xf numFmtId="0" fontId="60" fillId="2" borderId="60" xfId="0" applyFont="1" applyFill="1" applyBorder="1" applyProtection="1">
      <protection hidden="1"/>
    </xf>
    <xf numFmtId="9" fontId="60" fillId="4" borderId="61" xfId="0" applyNumberFormat="1" applyFont="1" applyFill="1" applyBorder="1"/>
    <xf numFmtId="9" fontId="60" fillId="4" borderId="62" xfId="0" applyNumberFormat="1" applyFont="1" applyFill="1" applyBorder="1"/>
    <xf numFmtId="0" fontId="60" fillId="4" borderId="12" xfId="0" applyFont="1" applyFill="1" applyBorder="1" applyProtection="1"/>
    <xf numFmtId="0" fontId="74" fillId="2" borderId="15" xfId="0" applyFont="1" applyFill="1" applyBorder="1" applyAlignment="1" applyProtection="1">
      <alignment horizontal="center" wrapText="1"/>
      <protection hidden="1"/>
    </xf>
    <xf numFmtId="0" fontId="75" fillId="2" borderId="14" xfId="0" applyFont="1" applyFill="1" applyBorder="1" applyAlignment="1" applyProtection="1">
      <alignment horizontal="left"/>
      <protection hidden="1"/>
    </xf>
    <xf numFmtId="0" fontId="70" fillId="2" borderId="1" xfId="0" applyFont="1" applyFill="1" applyBorder="1" applyAlignment="1" applyProtection="1">
      <alignment horizontal="center" wrapText="1"/>
      <protection hidden="1"/>
    </xf>
    <xf numFmtId="0" fontId="70" fillId="2" borderId="13" xfId="0" applyFont="1" applyFill="1" applyBorder="1" applyAlignment="1" applyProtection="1">
      <alignment horizontal="center" wrapText="1"/>
      <protection hidden="1"/>
    </xf>
    <xf numFmtId="0" fontId="70" fillId="2" borderId="14" xfId="0" applyFont="1" applyFill="1" applyBorder="1" applyAlignment="1" applyProtection="1">
      <alignment horizontal="center" wrapText="1"/>
      <protection hidden="1"/>
    </xf>
    <xf numFmtId="0" fontId="74" fillId="2" borderId="5" xfId="0" applyFont="1" applyFill="1" applyBorder="1" applyAlignment="1" applyProtection="1">
      <alignment horizontal="center" wrapText="1"/>
      <protection hidden="1"/>
    </xf>
    <xf numFmtId="0" fontId="70" fillId="2" borderId="5" xfId="0" applyFont="1" applyFill="1" applyBorder="1" applyAlignment="1" applyProtection="1">
      <alignment horizontal="center" vertical="top" wrapText="1"/>
      <protection hidden="1"/>
    </xf>
    <xf numFmtId="0" fontId="69" fillId="3" borderId="25" xfId="0" applyFont="1" applyFill="1" applyBorder="1" applyAlignment="1" applyProtection="1">
      <alignment horizontal="left" vertical="center"/>
      <protection hidden="1"/>
    </xf>
    <xf numFmtId="0" fontId="67" fillId="5" borderId="31" xfId="0" applyFont="1" applyFill="1" applyBorder="1" applyAlignment="1" applyProtection="1">
      <alignment horizontal="center" vertical="center"/>
      <protection hidden="1"/>
    </xf>
    <xf numFmtId="0" fontId="67" fillId="5" borderId="32" xfId="0" applyFont="1" applyFill="1" applyBorder="1" applyAlignment="1" applyProtection="1">
      <alignment horizontal="center" vertical="center"/>
      <protection hidden="1"/>
    </xf>
    <xf numFmtId="9" fontId="67" fillId="5" borderId="30" xfId="2" applyNumberFormat="1" applyFont="1" applyFill="1" applyBorder="1" applyAlignment="1" applyProtection="1">
      <alignment horizontal="center" vertical="center"/>
      <protection hidden="1"/>
    </xf>
    <xf numFmtId="9" fontId="67" fillId="5" borderId="31" xfId="2" applyNumberFormat="1" applyFont="1" applyFill="1" applyBorder="1" applyAlignment="1" applyProtection="1">
      <alignment horizontal="center" vertical="center"/>
      <protection hidden="1"/>
    </xf>
    <xf numFmtId="9" fontId="67" fillId="5" borderId="34" xfId="2" applyNumberFormat="1" applyFont="1" applyFill="1" applyBorder="1" applyAlignment="1" applyProtection="1">
      <alignment horizontal="center" vertical="center"/>
      <protection hidden="1"/>
    </xf>
    <xf numFmtId="9" fontId="67" fillId="5" borderId="25" xfId="2" applyNumberFormat="1" applyFont="1" applyFill="1" applyBorder="1" applyAlignment="1" applyProtection="1">
      <alignment horizontal="center" vertical="center"/>
      <protection hidden="1"/>
    </xf>
    <xf numFmtId="9" fontId="67" fillId="5" borderId="118" xfId="2" applyNumberFormat="1" applyFont="1" applyFill="1" applyBorder="1" applyAlignment="1" applyProtection="1">
      <alignment horizontal="center" vertical="center"/>
      <protection hidden="1"/>
    </xf>
    <xf numFmtId="0" fontId="60" fillId="4" borderId="113" xfId="0" applyFont="1" applyFill="1" applyBorder="1"/>
    <xf numFmtId="0" fontId="60" fillId="4" borderId="82" xfId="0" applyFont="1" applyFill="1" applyBorder="1"/>
    <xf numFmtId="0" fontId="69" fillId="3" borderId="24" xfId="0" applyFont="1" applyFill="1" applyBorder="1" applyAlignment="1" applyProtection="1">
      <alignment horizontal="left" vertical="center"/>
      <protection hidden="1"/>
    </xf>
    <xf numFmtId="0" fontId="67" fillId="5" borderId="26" xfId="0" applyFont="1" applyFill="1" applyBorder="1" applyAlignment="1" applyProtection="1">
      <alignment horizontal="center" vertical="center"/>
      <protection hidden="1"/>
    </xf>
    <xf numFmtId="0" fontId="67" fillId="5" borderId="33" xfId="0" applyFont="1" applyFill="1" applyBorder="1" applyAlignment="1" applyProtection="1">
      <alignment horizontal="center" vertical="center"/>
      <protection hidden="1"/>
    </xf>
    <xf numFmtId="9" fontId="67" fillId="5" borderId="29" xfId="2" applyNumberFormat="1" applyFont="1" applyFill="1" applyBorder="1" applyAlignment="1" applyProtection="1">
      <alignment horizontal="center" vertical="center"/>
      <protection hidden="1"/>
    </xf>
    <xf numFmtId="9" fontId="67" fillId="5" borderId="28" xfId="2" applyNumberFormat="1" applyFont="1" applyFill="1" applyBorder="1" applyAlignment="1" applyProtection="1">
      <alignment horizontal="center" vertical="center"/>
      <protection hidden="1"/>
    </xf>
    <xf numFmtId="9" fontId="67" fillId="5" borderId="24" xfId="2" applyNumberFormat="1" applyFont="1" applyFill="1" applyBorder="1" applyAlignment="1" applyProtection="1">
      <alignment horizontal="center" vertical="center"/>
      <protection hidden="1"/>
    </xf>
    <xf numFmtId="0" fontId="60" fillId="4" borderId="114" xfId="0" applyFont="1" applyFill="1" applyBorder="1"/>
    <xf numFmtId="0" fontId="60" fillId="4" borderId="58" xfId="0" applyFont="1" applyFill="1" applyBorder="1"/>
    <xf numFmtId="0" fontId="60" fillId="4" borderId="2" xfId="0" applyFont="1" applyFill="1" applyBorder="1"/>
    <xf numFmtId="0" fontId="60" fillId="4" borderId="59" xfId="0" applyFont="1" applyFill="1" applyBorder="1"/>
    <xf numFmtId="0" fontId="76" fillId="4" borderId="0" xfId="0" applyFont="1" applyFill="1" applyProtection="1"/>
    <xf numFmtId="0" fontId="76" fillId="4" borderId="0" xfId="0" applyFont="1" applyFill="1"/>
    <xf numFmtId="164" fontId="67" fillId="5" borderId="28" xfId="2" applyNumberFormat="1" applyFont="1" applyFill="1" applyBorder="1" applyAlignment="1" applyProtection="1">
      <alignment horizontal="center" vertical="center"/>
      <protection hidden="1"/>
    </xf>
    <xf numFmtId="0" fontId="68" fillId="3" borderId="24" xfId="0" applyFont="1" applyFill="1" applyBorder="1" applyAlignment="1" applyProtection="1">
      <alignment horizontal="left" vertical="center"/>
      <protection hidden="1"/>
    </xf>
    <xf numFmtId="0" fontId="66" fillId="5" borderId="26" xfId="0" applyFont="1" applyFill="1" applyBorder="1" applyAlignment="1" applyProtection="1">
      <alignment horizontal="center" vertical="center"/>
      <protection hidden="1"/>
    </xf>
    <xf numFmtId="0" fontId="66" fillId="5" borderId="33" xfId="0" applyFont="1" applyFill="1" applyBorder="1" applyAlignment="1" applyProtection="1">
      <alignment horizontal="center" vertical="center"/>
      <protection hidden="1"/>
    </xf>
    <xf numFmtId="164" fontId="67" fillId="5" borderId="29" xfId="2" applyNumberFormat="1" applyFont="1" applyFill="1" applyBorder="1" applyAlignment="1" applyProtection="1">
      <alignment horizontal="center" vertical="center"/>
      <protection hidden="1"/>
    </xf>
    <xf numFmtId="0" fontId="66" fillId="5" borderId="28" xfId="0" applyFont="1" applyFill="1" applyBorder="1" applyAlignment="1" applyProtection="1">
      <alignment horizontal="center" vertical="center"/>
      <protection hidden="1"/>
    </xf>
    <xf numFmtId="164" fontId="67" fillId="5" borderId="26" xfId="2" applyNumberFormat="1" applyFont="1" applyFill="1" applyBorder="1" applyAlignment="1" applyProtection="1">
      <alignment horizontal="center" vertical="center"/>
      <protection hidden="1"/>
    </xf>
    <xf numFmtId="164" fontId="66" fillId="5" borderId="24" xfId="2" applyNumberFormat="1" applyFont="1" applyFill="1" applyBorder="1" applyAlignment="1" applyProtection="1">
      <alignment horizontal="center" vertical="center"/>
      <protection hidden="1"/>
    </xf>
    <xf numFmtId="164" fontId="66" fillId="5" borderId="29" xfId="2" applyNumberFormat="1" applyFont="1" applyFill="1" applyBorder="1" applyAlignment="1" applyProtection="1">
      <alignment horizontal="center" vertical="center"/>
      <protection hidden="1"/>
    </xf>
    <xf numFmtId="0" fontId="69" fillId="3" borderId="27" xfId="0" applyFont="1" applyFill="1" applyBorder="1" applyAlignment="1" applyProtection="1">
      <alignment horizontal="left" vertical="center"/>
      <protection hidden="1"/>
    </xf>
    <xf numFmtId="0" fontId="69" fillId="3" borderId="27" xfId="0" applyFont="1" applyFill="1" applyBorder="1" applyAlignment="1" applyProtection="1">
      <alignment horizontal="right" vertical="center"/>
      <protection hidden="1"/>
    </xf>
    <xf numFmtId="9" fontId="69" fillId="3" borderId="28" xfId="0" applyNumberFormat="1" applyFont="1" applyFill="1" applyBorder="1" applyAlignment="1" applyProtection="1">
      <alignment horizontal="right" vertical="center"/>
      <protection hidden="1"/>
    </xf>
    <xf numFmtId="164" fontId="67" fillId="5" borderId="24" xfId="2" applyNumberFormat="1" applyFont="1" applyFill="1" applyBorder="1" applyAlignment="1" applyProtection="1">
      <alignment horizontal="center" vertical="center"/>
      <protection hidden="1"/>
    </xf>
    <xf numFmtId="0" fontId="60" fillId="0" borderId="0" xfId="0" applyFont="1" applyProtection="1"/>
    <xf numFmtId="0" fontId="77" fillId="2" borderId="0" xfId="0" applyFont="1" applyFill="1" applyAlignment="1" applyProtection="1">
      <alignment horizontal="center" wrapText="1"/>
      <protection hidden="1"/>
    </xf>
    <xf numFmtId="0" fontId="78" fillId="2" borderId="0" xfId="0" applyFont="1" applyFill="1" applyAlignment="1" applyProtection="1">
      <alignment horizontal="center" wrapText="1"/>
      <protection hidden="1"/>
    </xf>
    <xf numFmtId="0" fontId="79" fillId="2" borderId="0" xfId="0" applyFont="1" applyFill="1" applyAlignment="1" applyProtection="1">
      <alignment horizontal="left" vertical="top" wrapText="1"/>
      <protection hidden="1"/>
    </xf>
    <xf numFmtId="0" fontId="80" fillId="4" borderId="0" xfId="0" applyFont="1" applyFill="1" applyProtection="1">
      <protection hidden="1"/>
    </xf>
    <xf numFmtId="0" fontId="81" fillId="4" borderId="0" xfId="0" applyFont="1" applyFill="1" applyProtection="1">
      <protection hidden="1"/>
    </xf>
    <xf numFmtId="0" fontId="60" fillId="2" borderId="1" xfId="0" applyFont="1" applyFill="1" applyBorder="1" applyProtection="1">
      <protection hidden="1"/>
    </xf>
    <xf numFmtId="0" fontId="60" fillId="4" borderId="60" xfId="0" applyFont="1" applyFill="1" applyBorder="1"/>
    <xf numFmtId="0" fontId="60" fillId="4" borderId="61" xfId="0" applyFont="1" applyFill="1" applyBorder="1"/>
    <xf numFmtId="0" fontId="60" fillId="4" borderId="62" xfId="0" applyFont="1" applyFill="1" applyBorder="1"/>
    <xf numFmtId="0" fontId="82" fillId="4" borderId="0" xfId="0" applyFont="1" applyFill="1" applyProtection="1">
      <protection hidden="1"/>
    </xf>
    <xf numFmtId="0" fontId="83" fillId="2" borderId="0" xfId="0" applyFont="1" applyFill="1" applyAlignment="1" applyProtection="1">
      <alignment horizontal="center" wrapText="1"/>
      <protection hidden="1"/>
    </xf>
    <xf numFmtId="0" fontId="60" fillId="2" borderId="0" xfId="0" applyFont="1" applyFill="1" applyAlignment="1" applyProtection="1">
      <alignment wrapText="1"/>
      <protection hidden="1"/>
    </xf>
    <xf numFmtId="0" fontId="60" fillId="0" borderId="0" xfId="0" applyFont="1"/>
    <xf numFmtId="0" fontId="76" fillId="4" borderId="0" xfId="0" applyFont="1" applyFill="1" applyProtection="1">
      <protection hidden="1"/>
    </xf>
    <xf numFmtId="0" fontId="73" fillId="4" borderId="0" xfId="0" applyFont="1" applyFill="1" applyAlignment="1" applyProtection="1">
      <alignment vertical="top" wrapText="1"/>
    </xf>
    <xf numFmtId="0" fontId="84" fillId="2" borderId="21" xfId="0" applyFont="1" applyFill="1" applyBorder="1" applyProtection="1">
      <protection hidden="1"/>
    </xf>
    <xf numFmtId="0" fontId="84" fillId="2" borderId="22" xfId="0" applyFont="1" applyFill="1" applyBorder="1" applyProtection="1">
      <protection hidden="1"/>
    </xf>
    <xf numFmtId="10" fontId="84" fillId="2" borderId="23" xfId="0" applyNumberFormat="1" applyFont="1" applyFill="1" applyBorder="1" applyProtection="1">
      <protection hidden="1"/>
    </xf>
    <xf numFmtId="0" fontId="84" fillId="2" borderId="16" xfId="0" applyFont="1" applyFill="1" applyBorder="1" applyProtection="1">
      <protection hidden="1"/>
    </xf>
    <xf numFmtId="0" fontId="84" fillId="2" borderId="0" xfId="0" applyFont="1" applyFill="1" applyBorder="1" applyProtection="1">
      <protection hidden="1"/>
    </xf>
    <xf numFmtId="10" fontId="84" fillId="2" borderId="17" xfId="0" applyNumberFormat="1" applyFont="1" applyFill="1" applyBorder="1" applyProtection="1">
      <protection hidden="1"/>
    </xf>
    <xf numFmtId="0" fontId="84" fillId="2" borderId="18" xfId="0" applyFont="1" applyFill="1" applyBorder="1" applyProtection="1">
      <protection hidden="1"/>
    </xf>
    <xf numFmtId="0" fontId="84" fillId="2" borderId="19" xfId="0" applyFont="1" applyFill="1" applyBorder="1" applyProtection="1">
      <protection hidden="1"/>
    </xf>
    <xf numFmtId="10" fontId="84" fillId="2" borderId="20" xfId="0" applyNumberFormat="1" applyFont="1" applyFill="1" applyBorder="1" applyProtection="1">
      <protection hidden="1"/>
    </xf>
    <xf numFmtId="0" fontId="85" fillId="3" borderId="1" xfId="0" applyFont="1" applyFill="1" applyBorder="1" applyAlignment="1" applyProtection="1">
      <alignment vertical="top"/>
      <protection hidden="1"/>
    </xf>
    <xf numFmtId="0" fontId="85" fillId="3" borderId="41" xfId="0" applyFont="1" applyFill="1" applyBorder="1" applyAlignment="1" applyProtection="1">
      <alignment horizontal="left" vertical="top"/>
      <protection hidden="1"/>
    </xf>
    <xf numFmtId="0" fontId="0" fillId="0" borderId="0" xfId="0" applyProtection="1">
      <protection hidden="1"/>
    </xf>
    <xf numFmtId="0" fontId="31" fillId="3" borderId="0" xfId="0" applyFont="1" applyFill="1" applyBorder="1" applyAlignment="1" applyProtection="1">
      <alignment vertical="top"/>
      <protection hidden="1"/>
    </xf>
    <xf numFmtId="0" fontId="31" fillId="3" borderId="0" xfId="0" applyFont="1" applyFill="1" applyBorder="1" applyAlignment="1" applyProtection="1">
      <alignment vertical="top" wrapText="1"/>
      <protection hidden="1"/>
    </xf>
    <xf numFmtId="0" fontId="14" fillId="4" borderId="0" xfId="0" applyFont="1" applyFill="1" applyAlignment="1" applyProtection="1">
      <alignment vertical="center" wrapText="1"/>
      <protection hidden="1"/>
    </xf>
    <xf numFmtId="0" fontId="47" fillId="2" borderId="0" xfId="0" applyFont="1" applyFill="1" applyAlignment="1" applyProtection="1">
      <alignment horizontal="right"/>
      <protection hidden="1"/>
    </xf>
    <xf numFmtId="0" fontId="25" fillId="4" borderId="1" xfId="0" applyFont="1" applyFill="1" applyBorder="1" applyAlignment="1" applyProtection="1">
      <alignment horizontal="left"/>
      <protection hidden="1"/>
    </xf>
    <xf numFmtId="0" fontId="7" fillId="3" borderId="144" xfId="0" applyFont="1" applyFill="1" applyBorder="1" applyAlignment="1" applyProtection="1">
      <alignment horizontal="right" vertical="center"/>
      <protection hidden="1"/>
    </xf>
    <xf numFmtId="0" fontId="1" fillId="4" borderId="2" xfId="0" applyFont="1" applyFill="1" applyBorder="1" applyAlignment="1" applyProtection="1">
      <alignment vertical="center" wrapText="1"/>
      <protection locked="0" hidden="1"/>
    </xf>
    <xf numFmtId="0" fontId="7" fillId="3" borderId="105" xfId="0" applyFont="1" applyFill="1" applyBorder="1" applyAlignment="1" applyProtection="1">
      <alignment horizontal="right" vertical="center"/>
      <protection hidden="1"/>
    </xf>
    <xf numFmtId="0" fontId="7" fillId="3" borderId="142" xfId="0" applyFont="1" applyFill="1" applyBorder="1" applyAlignment="1" applyProtection="1">
      <alignment horizontal="right" vertical="center"/>
      <protection hidden="1"/>
    </xf>
    <xf numFmtId="0" fontId="7" fillId="3" borderId="106" xfId="0" applyFont="1" applyFill="1" applyBorder="1" applyAlignment="1" applyProtection="1">
      <alignment horizontal="right" vertical="center"/>
      <protection hidden="1"/>
    </xf>
    <xf numFmtId="0" fontId="1" fillId="0" borderId="2" xfId="0" applyFont="1" applyFill="1" applyBorder="1" applyAlignment="1" applyProtection="1">
      <alignment vertical="center" wrapText="1"/>
      <protection locked="0" hidden="1"/>
    </xf>
    <xf numFmtId="0" fontId="9" fillId="0" borderId="2" xfId="0" applyFont="1" applyFill="1" applyBorder="1" applyAlignment="1" applyProtection="1">
      <alignment vertical="center" wrapText="1"/>
      <protection locked="0" hidden="1"/>
    </xf>
    <xf numFmtId="0" fontId="7" fillId="3" borderId="143" xfId="0" applyFont="1" applyFill="1" applyBorder="1" applyAlignment="1" applyProtection="1">
      <alignment horizontal="right" vertical="center"/>
      <protection hidden="1"/>
    </xf>
    <xf numFmtId="0" fontId="7" fillId="3" borderId="119" xfId="0" applyFont="1" applyFill="1" applyBorder="1" applyAlignment="1" applyProtection="1">
      <alignment horizontal="right" vertical="center"/>
      <protection hidden="1"/>
    </xf>
    <xf numFmtId="0" fontId="0" fillId="2" borderId="6" xfId="0" applyFill="1" applyBorder="1" applyProtection="1">
      <protection hidden="1"/>
    </xf>
    <xf numFmtId="0" fontId="7" fillId="3" borderId="9" xfId="0" applyFont="1" applyFill="1" applyBorder="1" applyAlignment="1" applyProtection="1">
      <alignment horizontal="right" vertical="center"/>
      <protection hidden="1"/>
    </xf>
    <xf numFmtId="0" fontId="7" fillId="3" borderId="145" xfId="0" applyFont="1" applyFill="1" applyBorder="1" applyAlignment="1" applyProtection="1">
      <alignment horizontal="right" vertical="top"/>
      <protection hidden="1"/>
    </xf>
    <xf numFmtId="0" fontId="8" fillId="3" borderId="15" xfId="0" applyFont="1" applyFill="1" applyBorder="1" applyAlignment="1" applyProtection="1">
      <alignment horizontal="right" vertical="top"/>
      <protection hidden="1"/>
    </xf>
    <xf numFmtId="0" fontId="1" fillId="0" borderId="15" xfId="0" applyFont="1" applyFill="1" applyBorder="1" applyAlignment="1" applyProtection="1">
      <alignment vertical="center" wrapText="1"/>
      <protection locked="0" hidden="1"/>
    </xf>
    <xf numFmtId="0" fontId="0" fillId="0" borderId="6" xfId="0" applyBorder="1" applyProtection="1">
      <protection hidden="1"/>
    </xf>
    <xf numFmtId="0" fontId="0" fillId="0" borderId="0" xfId="0" applyFill="1" applyProtection="1">
      <protection locked="0" hidden="1"/>
    </xf>
    <xf numFmtId="0" fontId="8" fillId="3" borderId="15" xfId="0" applyFont="1" applyFill="1" applyBorder="1" applyAlignment="1" applyProtection="1">
      <alignment horizontal="left" vertical="center" wrapText="1"/>
      <protection hidden="1"/>
    </xf>
    <xf numFmtId="0" fontId="7" fillId="3" borderId="146" xfId="0" applyFont="1" applyFill="1" applyBorder="1" applyAlignment="1" applyProtection="1">
      <alignment horizontal="right" vertical="top"/>
      <protection hidden="1"/>
    </xf>
    <xf numFmtId="0" fontId="7" fillId="3" borderId="144" xfId="0" applyFont="1" applyFill="1" applyBorder="1" applyAlignment="1" applyProtection="1">
      <alignment horizontal="right" vertical="top"/>
      <protection hidden="1"/>
    </xf>
    <xf numFmtId="0" fontId="7" fillId="3" borderId="106" xfId="0" applyFont="1" applyFill="1" applyBorder="1" applyAlignment="1" applyProtection="1">
      <alignment horizontal="right" wrapText="1"/>
      <protection hidden="1"/>
    </xf>
    <xf numFmtId="0" fontId="7" fillId="3" borderId="142" xfId="0" applyFont="1" applyFill="1" applyBorder="1" applyAlignment="1" applyProtection="1">
      <alignment horizontal="right" vertical="top"/>
      <protection hidden="1"/>
    </xf>
    <xf numFmtId="0" fontId="7" fillId="3" borderId="106" xfId="0" applyFont="1" applyFill="1" applyBorder="1" applyAlignment="1" applyProtection="1">
      <alignment horizontal="right" vertical="center" wrapText="1"/>
      <protection hidden="1"/>
    </xf>
    <xf numFmtId="0" fontId="0" fillId="8" borderId="2" xfId="0" applyFont="1" applyFill="1" applyBorder="1" applyProtection="1">
      <protection hidden="1"/>
    </xf>
    <xf numFmtId="0" fontId="0" fillId="2" borderId="11" xfId="0" applyFill="1" applyBorder="1" applyProtection="1">
      <protection hidden="1"/>
    </xf>
    <xf numFmtId="0" fontId="7" fillId="3" borderId="105" xfId="0" applyFont="1" applyFill="1" applyBorder="1" applyAlignment="1" applyProtection="1">
      <alignment horizontal="right" wrapText="1"/>
      <protection hidden="1"/>
    </xf>
    <xf numFmtId="0" fontId="1" fillId="0" borderId="2" xfId="0" applyFont="1" applyFill="1" applyBorder="1" applyAlignment="1" applyProtection="1">
      <alignment vertical="center" wrapText="1"/>
      <protection hidden="1"/>
    </xf>
    <xf numFmtId="0" fontId="7" fillId="3" borderId="143" xfId="0" applyFont="1" applyFill="1" applyBorder="1" applyAlignment="1" applyProtection="1">
      <alignment horizontal="right" vertical="top" wrapText="1"/>
      <protection hidden="1"/>
    </xf>
    <xf numFmtId="0" fontId="7" fillId="3" borderId="119" xfId="0" applyFont="1" applyFill="1" applyBorder="1" applyAlignment="1" applyProtection="1">
      <alignment horizontal="right" vertical="center" wrapText="1"/>
      <protection hidden="1"/>
    </xf>
    <xf numFmtId="0" fontId="25" fillId="4" borderId="0" xfId="0" applyFont="1" applyFill="1" applyBorder="1" applyAlignment="1" applyProtection="1">
      <alignment horizontal="left"/>
      <protection hidden="1"/>
    </xf>
    <xf numFmtId="0" fontId="0" fillId="2" borderId="1" xfId="0" applyFont="1" applyFill="1" applyBorder="1" applyProtection="1">
      <protection hidden="1"/>
    </xf>
    <xf numFmtId="0" fontId="47" fillId="2" borderId="1" xfId="0" applyFont="1" applyFill="1" applyBorder="1" applyAlignment="1" applyProtection="1">
      <alignment horizontal="right"/>
      <protection hidden="1"/>
    </xf>
    <xf numFmtId="0" fontId="35" fillId="4" borderId="0" xfId="0" applyFont="1" applyFill="1" applyBorder="1" applyAlignment="1" applyProtection="1">
      <alignment horizontal="left" vertical="top" wrapText="1"/>
      <protection hidden="1"/>
    </xf>
    <xf numFmtId="0" fontId="0" fillId="0" borderId="0" xfId="0" applyFont="1" applyAlignment="1" applyProtection="1">
      <alignment horizontal="right"/>
      <protection hidden="1"/>
    </xf>
    <xf numFmtId="0" fontId="0" fillId="2" borderId="0" xfId="0" applyFont="1" applyFill="1" applyProtection="1">
      <protection locked="0" hidden="1"/>
    </xf>
    <xf numFmtId="0" fontId="9" fillId="2" borderId="0" xfId="0" applyFont="1" applyFill="1" applyProtection="1">
      <protection locked="0" hidden="1"/>
    </xf>
    <xf numFmtId="0" fontId="33" fillId="2" borderId="0" xfId="0" applyFont="1" applyFill="1" applyProtection="1">
      <protection locked="0" hidden="1"/>
    </xf>
    <xf numFmtId="0" fontId="0" fillId="2" borderId="0" xfId="0" applyFont="1" applyFill="1" applyAlignment="1" applyProtection="1">
      <alignment horizontal="right"/>
      <protection hidden="1"/>
    </xf>
    <xf numFmtId="0" fontId="9" fillId="2" borderId="0" xfId="0" applyFont="1" applyFill="1" applyAlignment="1" applyProtection="1">
      <alignment vertical="top" wrapText="1"/>
      <protection locked="0" hidden="1"/>
    </xf>
    <xf numFmtId="0" fontId="17" fillId="2" borderId="1" xfId="0" applyFont="1" applyFill="1" applyBorder="1" applyAlignment="1" applyProtection="1">
      <alignment vertical="top" wrapText="1"/>
      <protection hidden="1"/>
    </xf>
    <xf numFmtId="0" fontId="0" fillId="8" borderId="55" xfId="0" applyFill="1" applyBorder="1" applyProtection="1">
      <protection hidden="1"/>
    </xf>
    <xf numFmtId="0" fontId="0" fillId="7" borderId="58" xfId="0" applyFill="1" applyBorder="1" applyProtection="1">
      <protection hidden="1"/>
    </xf>
    <xf numFmtId="0" fontId="13" fillId="2" borderId="0" xfId="0" applyFont="1" applyFill="1" applyAlignment="1" applyProtection="1">
      <alignment vertical="top" wrapText="1"/>
      <protection hidden="1"/>
    </xf>
    <xf numFmtId="0" fontId="0" fillId="9" borderId="58" xfId="0" applyFill="1" applyBorder="1" applyProtection="1">
      <protection hidden="1"/>
    </xf>
    <xf numFmtId="0" fontId="48" fillId="2" borderId="1" xfId="0" applyFont="1" applyFill="1" applyBorder="1" applyAlignment="1" applyProtection="1">
      <alignment horizontal="right" vertical="top" wrapText="1"/>
      <protection hidden="1"/>
    </xf>
    <xf numFmtId="0" fontId="35" fillId="2" borderId="0" xfId="0" applyFont="1" applyFill="1" applyProtection="1">
      <protection hidden="1"/>
    </xf>
    <xf numFmtId="0" fontId="46" fillId="2" borderId="0" xfId="0" applyFont="1" applyFill="1" applyProtection="1">
      <protection hidden="1"/>
    </xf>
    <xf numFmtId="0" fontId="27" fillId="2" borderId="0" xfId="0" applyFont="1" applyFill="1" applyProtection="1">
      <protection hidden="1"/>
    </xf>
    <xf numFmtId="0" fontId="44" fillId="2" borderId="0" xfId="0" applyFont="1" applyFill="1" applyProtection="1">
      <protection hidden="1"/>
    </xf>
    <xf numFmtId="0" fontId="9" fillId="2" borderId="0" xfId="0" applyFont="1" applyFill="1" applyAlignment="1" applyProtection="1">
      <alignment horizontal="right" vertical="center"/>
      <protection hidden="1"/>
    </xf>
    <xf numFmtId="2" fontId="9" fillId="2" borderId="0" xfId="0" applyNumberFormat="1" applyFont="1" applyFill="1" applyAlignment="1" applyProtection="1">
      <alignment horizontal="left" vertical="top"/>
      <protection hidden="1"/>
    </xf>
    <xf numFmtId="14" fontId="9" fillId="2" borderId="0" xfId="0" applyNumberFormat="1" applyFont="1" applyFill="1" applyAlignment="1" applyProtection="1">
      <alignment horizontal="left"/>
      <protection hidden="1"/>
    </xf>
    <xf numFmtId="0" fontId="0" fillId="0" borderId="0" xfId="0" applyFont="1" applyProtection="1">
      <protection hidden="1"/>
    </xf>
    <xf numFmtId="0" fontId="9" fillId="4" borderId="0" xfId="0" applyFont="1" applyFill="1" applyBorder="1" applyAlignment="1" applyProtection="1">
      <alignment vertical="center" wrapText="1"/>
      <protection hidden="1"/>
    </xf>
    <xf numFmtId="0" fontId="0" fillId="2" borderId="102" xfId="0" applyFont="1" applyFill="1" applyBorder="1" applyAlignment="1" applyProtection="1">
      <alignment horizontal="left" wrapText="1"/>
      <protection hidden="1"/>
    </xf>
    <xf numFmtId="0" fontId="0" fillId="2" borderId="138" xfId="0" applyFont="1" applyFill="1" applyBorder="1" applyAlignment="1" applyProtection="1">
      <alignment horizontal="left" wrapText="1"/>
      <protection hidden="1"/>
    </xf>
    <xf numFmtId="0" fontId="32" fillId="2" borderId="137" xfId="0" applyFont="1" applyFill="1" applyBorder="1" applyAlignment="1" applyProtection="1">
      <alignment horizontal="left" vertical="top" wrapText="1"/>
      <protection hidden="1"/>
    </xf>
    <xf numFmtId="0" fontId="0" fillId="2" borderId="0" xfId="0" applyFont="1" applyFill="1" applyBorder="1" applyAlignment="1" applyProtection="1">
      <alignment horizontal="left" wrapText="1"/>
      <protection hidden="1"/>
    </xf>
    <xf numFmtId="0" fontId="0" fillId="2" borderId="116" xfId="0" applyFont="1" applyFill="1" applyBorder="1" applyAlignment="1" applyProtection="1">
      <alignment vertical="top" wrapText="1"/>
      <protection hidden="1"/>
    </xf>
    <xf numFmtId="0" fontId="0" fillId="2" borderId="1" xfId="0" applyFont="1" applyFill="1" applyBorder="1" applyAlignment="1" applyProtection="1">
      <alignment vertical="top" wrapText="1"/>
      <protection hidden="1"/>
    </xf>
    <xf numFmtId="0" fontId="0" fillId="2" borderId="139" xfId="0" applyFont="1" applyFill="1" applyBorder="1" applyAlignment="1" applyProtection="1">
      <alignment horizontal="center" vertical="top" wrapText="1"/>
      <protection hidden="1"/>
    </xf>
    <xf numFmtId="0" fontId="0" fillId="4" borderId="5" xfId="0" applyFont="1" applyFill="1" applyBorder="1" applyAlignment="1" applyProtection="1">
      <alignment wrapText="1"/>
      <protection hidden="1"/>
    </xf>
    <xf numFmtId="0" fontId="32" fillId="2" borderId="0" xfId="0" applyFont="1" applyFill="1" applyBorder="1" applyAlignment="1" applyProtection="1">
      <alignment horizontal="left" vertical="top" wrapText="1"/>
      <protection hidden="1"/>
    </xf>
    <xf numFmtId="0" fontId="0" fillId="2" borderId="102" xfId="0" applyFont="1" applyFill="1" applyBorder="1" applyAlignment="1" applyProtection="1">
      <alignment vertical="top" wrapText="1"/>
      <protection hidden="1"/>
    </xf>
    <xf numFmtId="0" fontId="0" fillId="2" borderId="102" xfId="0" applyFont="1" applyFill="1" applyBorder="1" applyAlignment="1" applyProtection="1">
      <alignment horizontal="left" vertical="top" wrapText="1"/>
      <protection hidden="1"/>
    </xf>
    <xf numFmtId="0" fontId="0" fillId="2" borderId="0" xfId="0" applyFont="1" applyFill="1" applyBorder="1" applyAlignment="1" applyProtection="1">
      <alignment horizontal="center" vertical="top" wrapText="1"/>
      <protection hidden="1"/>
    </xf>
    <xf numFmtId="0" fontId="0" fillId="4" borderId="5" xfId="0" applyFont="1" applyFill="1" applyBorder="1" applyAlignment="1" applyProtection="1">
      <alignment vertical="top" wrapText="1"/>
      <protection hidden="1"/>
    </xf>
    <xf numFmtId="0" fontId="0" fillId="2" borderId="12" xfId="0" applyFont="1" applyFill="1" applyBorder="1" applyAlignment="1" applyProtection="1">
      <alignment horizontal="center" vertical="top" wrapText="1"/>
      <protection hidden="1"/>
    </xf>
    <xf numFmtId="0" fontId="59" fillId="5" borderId="136" xfId="0" applyFont="1" applyFill="1" applyBorder="1" applyAlignment="1" applyProtection="1">
      <alignment vertical="center" wrapText="1"/>
      <protection hidden="1"/>
    </xf>
    <xf numFmtId="0" fontId="23" fillId="5" borderId="0" xfId="0" applyFont="1" applyFill="1" applyBorder="1" applyAlignment="1" applyProtection="1">
      <alignment vertical="center" wrapText="1"/>
      <protection hidden="1"/>
    </xf>
    <xf numFmtId="0" fontId="23" fillId="5" borderId="0" xfId="0" applyFont="1" applyFill="1" applyBorder="1" applyAlignment="1" applyProtection="1">
      <alignment horizontal="left" vertical="center" wrapText="1"/>
      <protection hidden="1"/>
    </xf>
    <xf numFmtId="0" fontId="23" fillId="4" borderId="3" xfId="0" applyFont="1" applyFill="1" applyBorder="1" applyAlignment="1" applyProtection="1">
      <alignment vertical="center" wrapText="1"/>
      <protection hidden="1"/>
    </xf>
    <xf numFmtId="0" fontId="0" fillId="4" borderId="3" xfId="0" applyFill="1" applyBorder="1" applyAlignment="1" applyProtection="1">
      <alignment vertical="center" wrapText="1"/>
      <protection hidden="1"/>
    </xf>
    <xf numFmtId="0" fontId="0" fillId="4" borderId="2" xfId="0" applyFont="1" applyFill="1" applyBorder="1" applyAlignment="1" applyProtection="1">
      <alignment horizontal="left" vertical="center" wrapText="1"/>
      <protection hidden="1"/>
    </xf>
    <xf numFmtId="0" fontId="26" fillId="4" borderId="2" xfId="0" applyFont="1" applyFill="1" applyBorder="1" applyAlignment="1" applyProtection="1">
      <alignment horizontal="center" vertical="center" wrapText="1"/>
      <protection hidden="1"/>
    </xf>
    <xf numFmtId="164" fontId="26" fillId="4" borderId="2" xfId="0" applyNumberFormat="1" applyFont="1" applyFill="1" applyBorder="1" applyAlignment="1" applyProtection="1">
      <alignment horizontal="center" vertical="center" wrapText="1"/>
      <protection hidden="1"/>
    </xf>
    <xf numFmtId="0" fontId="0" fillId="4" borderId="2" xfId="0" applyFill="1" applyBorder="1" applyAlignment="1" applyProtection="1">
      <alignment vertical="center" wrapText="1"/>
      <protection hidden="1"/>
    </xf>
    <xf numFmtId="0" fontId="26" fillId="4" borderId="2" xfId="0" applyFont="1" applyFill="1" applyBorder="1" applyAlignment="1" applyProtection="1">
      <alignment horizontal="left" vertical="center" wrapText="1"/>
      <protection hidden="1"/>
    </xf>
    <xf numFmtId="0" fontId="26" fillId="4" borderId="4" xfId="0" applyFont="1" applyFill="1" applyBorder="1" applyAlignment="1" applyProtection="1">
      <alignment horizontal="left" vertical="center" wrapText="1"/>
      <protection hidden="1"/>
    </xf>
    <xf numFmtId="0" fontId="23" fillId="4" borderId="15" xfId="0" applyFont="1" applyFill="1" applyBorder="1" applyAlignment="1" applyProtection="1">
      <alignment vertical="center" wrapText="1"/>
      <protection hidden="1"/>
    </xf>
    <xf numFmtId="0" fontId="26" fillId="4" borderId="7" xfId="0" applyFont="1" applyFill="1" applyBorder="1" applyAlignment="1" applyProtection="1">
      <alignment horizontal="center" vertical="center" wrapText="1"/>
      <protection hidden="1"/>
    </xf>
    <xf numFmtId="0" fontId="0" fillId="4" borderId="15" xfId="0" applyFill="1" applyBorder="1" applyAlignment="1" applyProtection="1">
      <alignment vertical="center" wrapText="1"/>
      <protection hidden="1"/>
    </xf>
    <xf numFmtId="0" fontId="26" fillId="4" borderId="2" xfId="0" applyFont="1" applyFill="1" applyBorder="1" applyAlignment="1" applyProtection="1">
      <alignment vertical="center" wrapText="1"/>
      <protection hidden="1"/>
    </xf>
    <xf numFmtId="0" fontId="32" fillId="4" borderId="2" xfId="0" applyFont="1" applyFill="1" applyBorder="1" applyAlignment="1" applyProtection="1">
      <alignment horizontal="left" vertical="center" wrapText="1"/>
      <protection hidden="1"/>
    </xf>
    <xf numFmtId="0" fontId="38" fillId="4" borderId="2" xfId="0" applyFont="1" applyFill="1" applyBorder="1" applyAlignment="1" applyProtection="1">
      <alignment horizontal="center" vertical="center" wrapText="1"/>
      <protection hidden="1"/>
    </xf>
    <xf numFmtId="164" fontId="38" fillId="4" borderId="2" xfId="0" applyNumberFormat="1" applyFont="1" applyFill="1" applyBorder="1" applyAlignment="1" applyProtection="1">
      <alignment horizontal="center" vertical="center" wrapText="1"/>
      <protection hidden="1"/>
    </xf>
    <xf numFmtId="0" fontId="38" fillId="4" borderId="7" xfId="0" applyFont="1" applyFill="1" applyBorder="1" applyAlignment="1" applyProtection="1">
      <alignment horizontal="center" vertical="center" wrapText="1"/>
      <protection hidden="1"/>
    </xf>
    <xf numFmtId="0" fontId="0" fillId="2" borderId="0" xfId="0" applyFill="1" applyBorder="1" applyAlignment="1" applyProtection="1">
      <alignment horizontal="left" vertical="center" wrapText="1"/>
      <protection hidden="1"/>
    </xf>
    <xf numFmtId="0" fontId="0" fillId="2" borderId="0" xfId="0" applyFill="1" applyBorder="1" applyAlignment="1" applyProtection="1">
      <alignment vertical="center" wrapText="1"/>
      <protection hidden="1"/>
    </xf>
    <xf numFmtId="0" fontId="59" fillId="5" borderId="140" xfId="0" applyFont="1" applyFill="1" applyBorder="1" applyAlignment="1" applyProtection="1">
      <alignment vertical="center" wrapText="1"/>
      <protection hidden="1"/>
    </xf>
    <xf numFmtId="0" fontId="0" fillId="4" borderId="2" xfId="0" applyFill="1" applyBorder="1" applyAlignment="1" applyProtection="1">
      <alignment horizontal="left" vertical="center" wrapText="1"/>
      <protection hidden="1"/>
    </xf>
    <xf numFmtId="0" fontId="23" fillId="4" borderId="5" xfId="0" applyFont="1" applyFill="1" applyBorder="1" applyAlignment="1" applyProtection="1">
      <alignment vertical="center" wrapText="1"/>
      <protection hidden="1"/>
    </xf>
    <xf numFmtId="0" fontId="0" fillId="4" borderId="5" xfId="0" applyFill="1" applyBorder="1" applyAlignment="1" applyProtection="1">
      <alignment vertical="center" wrapText="1"/>
      <protection hidden="1"/>
    </xf>
    <xf numFmtId="0" fontId="23" fillId="4" borderId="0" xfId="0" applyFont="1" applyFill="1" applyBorder="1" applyAlignment="1" applyProtection="1">
      <alignment wrapText="1"/>
      <protection hidden="1"/>
    </xf>
    <xf numFmtId="0" fontId="0" fillId="4" borderId="0" xfId="0" applyFill="1" applyBorder="1" applyAlignment="1" applyProtection="1">
      <alignment wrapText="1"/>
      <protection hidden="1"/>
    </xf>
    <xf numFmtId="0" fontId="23" fillId="4" borderId="0" xfId="0" applyFont="1" applyFill="1" applyAlignment="1" applyProtection="1">
      <alignment horizontal="left" wrapText="1"/>
      <protection hidden="1"/>
    </xf>
    <xf numFmtId="0" fontId="21" fillId="3" borderId="111" xfId="0" applyFont="1" applyFill="1" applyBorder="1" applyAlignment="1" applyProtection="1">
      <alignment vertical="top"/>
      <protection hidden="1"/>
    </xf>
    <xf numFmtId="0" fontId="20" fillId="3" borderId="111" xfId="0" applyFont="1" applyFill="1" applyBorder="1" applyProtection="1">
      <protection hidden="1"/>
    </xf>
    <xf numFmtId="0" fontId="14" fillId="2" borderId="8" xfId="0" applyFont="1" applyFill="1" applyBorder="1" applyAlignment="1" applyProtection="1">
      <alignment horizontal="left" vertical="center"/>
      <protection hidden="1"/>
    </xf>
    <xf numFmtId="0" fontId="14" fillId="2" borderId="0" xfId="0" applyFont="1" applyFill="1" applyBorder="1" applyAlignment="1" applyProtection="1">
      <alignment horizontal="left" vertical="center" wrapText="1"/>
      <protection hidden="1"/>
    </xf>
    <xf numFmtId="0" fontId="0" fillId="2" borderId="12" xfId="0" applyFill="1" applyBorder="1" applyProtection="1">
      <protection hidden="1"/>
    </xf>
    <xf numFmtId="0" fontId="7" fillId="3" borderId="2" xfId="0" applyFont="1" applyFill="1" applyBorder="1" applyAlignment="1" applyProtection="1">
      <alignment horizontal="center"/>
      <protection hidden="1"/>
    </xf>
    <xf numFmtId="2" fontId="1" fillId="2" borderId="2" xfId="0" applyNumberFormat="1" applyFont="1" applyFill="1" applyBorder="1" applyAlignment="1" applyProtection="1">
      <alignment horizontal="center" vertical="center"/>
      <protection hidden="1"/>
    </xf>
    <xf numFmtId="14" fontId="1" fillId="2" borderId="2" xfId="0" applyNumberFormat="1" applyFont="1" applyFill="1" applyBorder="1" applyAlignment="1" applyProtection="1">
      <alignment horizontal="center" vertical="center"/>
      <protection hidden="1"/>
    </xf>
    <xf numFmtId="2" fontId="1" fillId="2" borderId="6" xfId="0" applyNumberFormat="1" applyFont="1" applyFill="1" applyBorder="1" applyAlignment="1" applyProtection="1">
      <alignment horizontal="center" vertical="center"/>
      <protection hidden="1"/>
    </xf>
    <xf numFmtId="0" fontId="1" fillId="2" borderId="6" xfId="0" applyFont="1" applyFill="1" applyBorder="1" applyProtection="1">
      <protection hidden="1"/>
    </xf>
    <xf numFmtId="0" fontId="1" fillId="2" borderId="6" xfId="0" applyFont="1" applyFill="1" applyBorder="1" applyAlignment="1" applyProtection="1">
      <alignment horizontal="center" vertical="top" wrapText="1"/>
      <protection hidden="1"/>
    </xf>
    <xf numFmtId="0" fontId="0" fillId="2" borderId="6" xfId="0" applyFont="1" applyFill="1" applyBorder="1" applyProtection="1">
      <protection hidden="1"/>
    </xf>
    <xf numFmtId="0" fontId="7" fillId="3" borderId="5" xfId="0" applyFont="1" applyFill="1" applyBorder="1" applyAlignment="1" applyProtection="1">
      <alignment horizontal="left" vertical="center"/>
      <protection hidden="1"/>
    </xf>
    <xf numFmtId="0" fontId="7" fillId="3" borderId="5" xfId="0" applyFont="1" applyFill="1" applyBorder="1" applyAlignment="1" applyProtection="1">
      <alignment horizontal="center"/>
      <protection hidden="1"/>
    </xf>
    <xf numFmtId="0" fontId="7" fillId="3" borderId="13" xfId="0" applyFont="1" applyFill="1" applyBorder="1" applyAlignment="1" applyProtection="1">
      <alignment horizontal="left"/>
      <protection hidden="1"/>
    </xf>
    <xf numFmtId="0" fontId="7" fillId="3" borderId="1" xfId="0" applyFont="1" applyFill="1" applyBorder="1" applyAlignment="1" applyProtection="1">
      <alignment horizontal="left"/>
      <protection hidden="1"/>
    </xf>
    <xf numFmtId="0" fontId="7" fillId="3" borderId="14" xfId="0" applyFont="1" applyFill="1" applyBorder="1" applyAlignment="1" applyProtection="1">
      <alignment horizontal="left"/>
      <protection hidden="1"/>
    </xf>
    <xf numFmtId="49" fontId="0" fillId="4" borderId="2" xfId="0" applyNumberFormat="1" applyFont="1" applyFill="1" applyBorder="1" applyAlignment="1" applyProtection="1">
      <alignment horizontal="center" vertical="center"/>
      <protection hidden="1"/>
    </xf>
    <xf numFmtId="14" fontId="0" fillId="4" borderId="2" xfId="0" applyNumberFormat="1" applyFont="1" applyFill="1" applyBorder="1" applyAlignment="1" applyProtection="1">
      <alignment horizontal="center" vertical="center"/>
      <protection hidden="1"/>
    </xf>
    <xf numFmtId="49" fontId="1" fillId="2" borderId="2" xfId="0" applyNumberFormat="1" applyFont="1" applyFill="1" applyBorder="1" applyAlignment="1" applyProtection="1">
      <alignment horizontal="center" vertical="center"/>
      <protection hidden="1"/>
    </xf>
    <xf numFmtId="0" fontId="0" fillId="2" borderId="0" xfId="0" applyFont="1" applyFill="1" applyBorder="1" applyProtection="1">
      <protection hidden="1"/>
    </xf>
    <xf numFmtId="0" fontId="1" fillId="4" borderId="2" xfId="0" applyFont="1" applyFill="1" applyBorder="1" applyAlignment="1" applyProtection="1">
      <alignment vertical="center" wrapText="1"/>
      <protection locked="0"/>
    </xf>
    <xf numFmtId="0" fontId="0" fillId="0" borderId="1" xfId="0" applyFill="1" applyBorder="1" applyProtection="1"/>
    <xf numFmtId="0" fontId="1" fillId="0" borderId="2" xfId="0" applyFont="1" applyFill="1" applyBorder="1" applyAlignment="1" applyProtection="1">
      <alignment vertical="center" wrapText="1"/>
      <protection locked="0"/>
    </xf>
    <xf numFmtId="0" fontId="1" fillId="0" borderId="3" xfId="0" applyFont="1" applyFill="1" applyBorder="1" applyAlignment="1" applyProtection="1">
      <alignment vertical="center" wrapText="1"/>
      <protection locked="0"/>
    </xf>
    <xf numFmtId="0" fontId="1" fillId="0" borderId="15" xfId="0" applyFont="1" applyFill="1" applyBorder="1" applyAlignment="1" applyProtection="1">
      <alignment vertical="center" wrapText="1"/>
      <protection locked="0"/>
    </xf>
    <xf numFmtId="0" fontId="1" fillId="0" borderId="15" xfId="0" applyFont="1" applyFill="1" applyBorder="1" applyAlignment="1" applyProtection="1">
      <alignment horizontal="left" vertical="center" wrapText="1"/>
      <protection locked="0"/>
    </xf>
    <xf numFmtId="0" fontId="1" fillId="0" borderId="5" xfId="0" applyFont="1" applyFill="1" applyBorder="1" applyAlignment="1" applyProtection="1">
      <alignment vertical="center" wrapText="1"/>
      <protection locked="0"/>
    </xf>
    <xf numFmtId="0" fontId="0" fillId="0" borderId="2" xfId="0" applyFont="1" applyFill="1" applyBorder="1" applyProtection="1">
      <protection locked="0"/>
    </xf>
    <xf numFmtId="0" fontId="0" fillId="2" borderId="2" xfId="0" applyFont="1" applyFill="1" applyBorder="1" applyProtection="1">
      <protection locked="0"/>
    </xf>
    <xf numFmtId="0" fontId="0" fillId="2" borderId="0" xfId="0" applyFill="1" applyProtection="1"/>
    <xf numFmtId="0" fontId="0" fillId="4" borderId="1" xfId="0" applyFill="1" applyBorder="1" applyProtection="1"/>
    <xf numFmtId="0" fontId="0" fillId="2" borderId="0" xfId="0" applyFont="1" applyFill="1" applyProtection="1">
      <protection locked="0"/>
    </xf>
    <xf numFmtId="0" fontId="87" fillId="0" borderId="0" xfId="0" applyFont="1" applyProtection="1"/>
    <xf numFmtId="0" fontId="87" fillId="0" borderId="0" xfId="0" applyFont="1"/>
    <xf numFmtId="0" fontId="88" fillId="3" borderId="0" xfId="0" applyFont="1" applyFill="1" applyBorder="1" applyAlignment="1" applyProtection="1">
      <alignment vertical="center"/>
    </xf>
    <xf numFmtId="0" fontId="88" fillId="3" borderId="0" xfId="0" applyFont="1" applyFill="1" applyBorder="1" applyAlignment="1" applyProtection="1">
      <alignment vertical="top"/>
    </xf>
    <xf numFmtId="0" fontId="89" fillId="3" borderId="0" xfId="0" applyFont="1" applyFill="1" applyBorder="1" applyProtection="1"/>
    <xf numFmtId="1" fontId="88" fillId="3" borderId="0" xfId="0" applyNumberFormat="1" applyFont="1" applyFill="1" applyBorder="1" applyAlignment="1" applyProtection="1">
      <alignment vertical="top"/>
    </xf>
    <xf numFmtId="14" fontId="88" fillId="3" borderId="0" xfId="0" applyNumberFormat="1" applyFont="1" applyFill="1" applyBorder="1" applyAlignment="1" applyProtection="1">
      <alignment vertical="top"/>
    </xf>
    <xf numFmtId="0" fontId="87" fillId="0" borderId="0" xfId="0" applyFont="1" applyBorder="1"/>
    <xf numFmtId="0" fontId="87" fillId="0" borderId="0" xfId="0" applyFont="1" applyBorder="1" applyProtection="1"/>
    <xf numFmtId="0" fontId="90" fillId="0" borderId="0" xfId="0" applyFont="1" applyBorder="1" applyProtection="1"/>
    <xf numFmtId="0" fontId="91" fillId="0" borderId="0" xfId="0" applyFont="1" applyBorder="1" applyAlignment="1" applyProtection="1">
      <alignment horizontal="center"/>
    </xf>
    <xf numFmtId="0" fontId="32" fillId="0" borderId="0" xfId="0" applyFont="1" applyBorder="1" applyProtection="1"/>
    <xf numFmtId="0" fontId="19" fillId="3" borderId="0" xfId="0" applyFont="1" applyFill="1" applyBorder="1" applyAlignment="1" applyProtection="1">
      <alignment horizontal="right" vertical="top"/>
      <protection hidden="1"/>
    </xf>
    <xf numFmtId="0" fontId="85" fillId="3" borderId="1" xfId="0" applyFont="1" applyFill="1" applyBorder="1" applyAlignment="1" applyProtection="1">
      <alignment horizontal="right" vertical="top"/>
      <protection hidden="1"/>
    </xf>
    <xf numFmtId="0" fontId="21" fillId="3" borderId="84" xfId="0" applyFont="1" applyFill="1" applyBorder="1" applyAlignment="1" applyProtection="1">
      <alignment horizontal="right" vertical="top"/>
      <protection hidden="1"/>
    </xf>
    <xf numFmtId="0" fontId="94" fillId="3" borderId="0" xfId="0" applyFont="1" applyFill="1" applyBorder="1" applyAlignment="1" applyProtection="1">
      <alignment horizontal="right" vertical="top"/>
    </xf>
    <xf numFmtId="0" fontId="31" fillId="3" borderId="0" xfId="0" applyFont="1" applyFill="1" applyBorder="1" applyAlignment="1" applyProtection="1">
      <alignment horizontal="right" vertical="top" wrapText="1"/>
      <protection hidden="1"/>
    </xf>
    <xf numFmtId="0" fontId="19" fillId="3" borderId="1" xfId="0" applyFont="1" applyFill="1" applyBorder="1" applyAlignment="1" applyProtection="1">
      <alignment horizontal="right" vertical="top" wrapText="1"/>
    </xf>
    <xf numFmtId="0" fontId="45" fillId="2" borderId="1" xfId="0" applyFont="1" applyFill="1" applyBorder="1" applyAlignment="1" applyProtection="1">
      <alignment wrapText="1"/>
    </xf>
    <xf numFmtId="0" fontId="45" fillId="2" borderId="41" xfId="0" applyFont="1" applyFill="1" applyBorder="1" applyAlignment="1" applyProtection="1">
      <alignment wrapText="1"/>
    </xf>
    <xf numFmtId="0" fontId="26" fillId="4" borderId="52" xfId="0" applyFont="1" applyFill="1" applyBorder="1" applyAlignment="1" applyProtection="1">
      <alignment horizontal="left" vertical="center" wrapText="1"/>
      <protection locked="0"/>
    </xf>
    <xf numFmtId="0" fontId="26" fillId="5" borderId="148" xfId="0" applyFont="1" applyFill="1" applyBorder="1" applyAlignment="1" applyProtection="1">
      <alignment horizontal="left" vertical="center" wrapText="1"/>
      <protection locked="0"/>
    </xf>
    <xf numFmtId="0" fontId="26" fillId="4" borderId="50" xfId="0" applyFont="1" applyFill="1" applyBorder="1" applyAlignment="1" applyProtection="1">
      <alignment horizontal="left" vertical="center" wrapText="1"/>
      <protection locked="0"/>
    </xf>
    <xf numFmtId="0" fontId="60" fillId="0" borderId="5" xfId="0" applyFont="1" applyBorder="1"/>
    <xf numFmtId="0" fontId="0" fillId="0" borderId="22" xfId="0" applyBorder="1"/>
    <xf numFmtId="0" fontId="23" fillId="10" borderId="2" xfId="0" applyFont="1" applyFill="1" applyBorder="1"/>
    <xf numFmtId="0" fontId="23" fillId="6" borderId="50" xfId="0" applyFont="1" applyFill="1" applyBorder="1" applyAlignment="1" applyProtection="1">
      <alignment horizontal="center" vertical="center"/>
      <protection locked="0"/>
    </xf>
    <xf numFmtId="0" fontId="0" fillId="8" borderId="0" xfId="0" applyFont="1" applyFill="1" applyBorder="1" applyProtection="1">
      <protection hidden="1"/>
    </xf>
    <xf numFmtId="0" fontId="0" fillId="12" borderId="2" xfId="0" applyFill="1" applyBorder="1" applyProtection="1">
      <protection hidden="1"/>
    </xf>
    <xf numFmtId="0" fontId="23" fillId="10" borderId="0" xfId="0" applyFont="1" applyFill="1" applyBorder="1"/>
    <xf numFmtId="0" fontId="0" fillId="0" borderId="0" xfId="0" applyBorder="1"/>
    <xf numFmtId="0" fontId="0" fillId="18" borderId="2" xfId="0" applyFill="1" applyBorder="1" applyProtection="1">
      <protection hidden="1"/>
    </xf>
    <xf numFmtId="0" fontId="3" fillId="12" borderId="2" xfId="0" applyFont="1" applyFill="1" applyBorder="1" applyProtection="1">
      <protection hidden="1"/>
    </xf>
    <xf numFmtId="0" fontId="0" fillId="18" borderId="0" xfId="0" applyFill="1"/>
    <xf numFmtId="0" fontId="0" fillId="12" borderId="0" xfId="0" applyFill="1"/>
    <xf numFmtId="0" fontId="0" fillId="2" borderId="5" xfId="0" applyFill="1" applyBorder="1" applyProtection="1">
      <protection hidden="1"/>
    </xf>
    <xf numFmtId="0" fontId="0" fillId="2" borderId="61" xfId="0" applyFill="1" applyBorder="1" applyProtection="1">
      <protection hidden="1"/>
    </xf>
    <xf numFmtId="0" fontId="43" fillId="0" borderId="2" xfId="0" applyFont="1" applyBorder="1" applyProtection="1"/>
    <xf numFmtId="0" fontId="95" fillId="10" borderId="66" xfId="0" applyFont="1" applyFill="1" applyBorder="1" applyProtection="1"/>
    <xf numFmtId="0" fontId="0" fillId="2" borderId="56" xfId="0" applyFill="1" applyBorder="1" applyProtection="1">
      <protection hidden="1"/>
    </xf>
    <xf numFmtId="0" fontId="0" fillId="2" borderId="3" xfId="0" applyFill="1" applyBorder="1" applyProtection="1">
      <protection hidden="1"/>
    </xf>
    <xf numFmtId="0" fontId="0" fillId="0" borderId="69" xfId="0" applyBorder="1" applyProtection="1"/>
    <xf numFmtId="0" fontId="0" fillId="0" borderId="64" xfId="0" applyBorder="1" applyProtection="1"/>
    <xf numFmtId="0" fontId="43" fillId="0" borderId="5" xfId="0" applyFont="1" applyBorder="1" applyProtection="1"/>
    <xf numFmtId="0" fontId="43" fillId="0" borderId="3" xfId="0" applyFont="1" applyBorder="1" applyProtection="1"/>
    <xf numFmtId="0" fontId="43" fillId="0" borderId="56" xfId="0" applyFont="1" applyBorder="1" applyProtection="1"/>
    <xf numFmtId="0" fontId="0" fillId="0" borderId="85" xfId="0" applyBorder="1" applyProtection="1"/>
    <xf numFmtId="0" fontId="0" fillId="2" borderId="86" xfId="0" applyFill="1" applyBorder="1" applyProtection="1">
      <protection hidden="1"/>
    </xf>
    <xf numFmtId="0" fontId="0" fillId="0" borderId="86" xfId="0" applyBorder="1" applyProtection="1"/>
    <xf numFmtId="0" fontId="32" fillId="9" borderId="56" xfId="0" applyFont="1" applyFill="1" applyBorder="1" applyProtection="1"/>
    <xf numFmtId="0" fontId="24" fillId="0" borderId="0" xfId="0" applyFont="1" applyProtection="1"/>
    <xf numFmtId="0" fontId="96" fillId="3" borderId="0" xfId="0" applyFont="1" applyFill="1" applyAlignment="1" applyProtection="1">
      <alignment horizontal="center"/>
      <protection hidden="1"/>
    </xf>
    <xf numFmtId="0" fontId="96" fillId="3" borderId="0" xfId="0" applyFont="1" applyFill="1" applyAlignment="1" applyProtection="1">
      <alignment horizontal="left"/>
      <protection hidden="1"/>
    </xf>
    <xf numFmtId="0" fontId="0" fillId="12" borderId="7" xfId="0" applyFill="1" applyBorder="1" applyProtection="1">
      <protection hidden="1"/>
    </xf>
    <xf numFmtId="0" fontId="0" fillId="2" borderId="7" xfId="0" applyFill="1" applyBorder="1" applyProtection="1">
      <protection hidden="1"/>
    </xf>
    <xf numFmtId="0" fontId="0" fillId="20" borderId="5" xfId="0" applyFill="1" applyBorder="1" applyProtection="1"/>
    <xf numFmtId="0" fontId="0" fillId="20" borderId="0" xfId="0" applyFill="1" applyProtection="1"/>
    <xf numFmtId="0" fontId="0" fillId="8" borderId="5" xfId="0" applyFill="1" applyBorder="1" applyProtection="1"/>
    <xf numFmtId="0" fontId="45" fillId="2" borderId="1" xfId="0" applyFont="1" applyFill="1" applyBorder="1" applyAlignment="1" applyProtection="1">
      <alignment horizontal="center" wrapText="1"/>
    </xf>
    <xf numFmtId="0" fontId="0" fillId="0" borderId="5" xfId="0" applyFont="1" applyBorder="1" applyProtection="1"/>
    <xf numFmtId="0" fontId="0" fillId="0" borderId="2" xfId="0" applyFont="1" applyBorder="1" applyProtection="1"/>
    <xf numFmtId="0" fontId="23" fillId="10" borderId="21" xfId="0" applyFont="1" applyFill="1" applyBorder="1" applyProtection="1"/>
    <xf numFmtId="0" fontId="23" fillId="10" borderId="70" xfId="0" applyFont="1" applyFill="1" applyBorder="1" applyProtection="1"/>
    <xf numFmtId="0" fontId="0" fillId="21" borderId="0" xfId="0" applyFill="1" applyProtection="1"/>
    <xf numFmtId="0" fontId="0" fillId="8" borderId="0" xfId="0" applyFill="1" applyProtection="1"/>
    <xf numFmtId="0" fontId="23" fillId="10" borderId="2" xfId="0" applyFont="1" applyFill="1" applyBorder="1" applyAlignment="1" applyProtection="1">
      <alignment wrapText="1"/>
    </xf>
    <xf numFmtId="0" fontId="54" fillId="4" borderId="52" xfId="0" applyFont="1" applyFill="1" applyBorder="1" applyAlignment="1" applyProtection="1">
      <alignment horizontal="left" vertical="center" wrapText="1"/>
      <protection locked="0"/>
    </xf>
    <xf numFmtId="0" fontId="97" fillId="4" borderId="52" xfId="0" applyFont="1" applyFill="1" applyBorder="1" applyAlignment="1" applyProtection="1">
      <alignment horizontal="left" vertical="center" wrapText="1"/>
      <protection locked="0"/>
    </xf>
    <xf numFmtId="0" fontId="26" fillId="4" borderId="2" xfId="0" quotePrefix="1" applyFont="1" applyFill="1" applyBorder="1" applyAlignment="1" applyProtection="1">
      <alignment horizontal="left" vertical="center" wrapText="1"/>
      <protection locked="0"/>
    </xf>
    <xf numFmtId="0" fontId="45" fillId="2" borderId="50" xfId="0" applyFont="1" applyFill="1" applyBorder="1" applyAlignment="1" applyProtection="1">
      <alignment horizontal="center" vertical="top" wrapText="1"/>
    </xf>
    <xf numFmtId="0" fontId="23" fillId="10" borderId="0" xfId="0" applyFont="1" applyFill="1" applyAlignment="1" applyProtection="1">
      <alignment wrapText="1"/>
    </xf>
    <xf numFmtId="1" fontId="0" fillId="0" borderId="58" xfId="0" applyNumberFormat="1" applyFill="1" applyBorder="1" applyAlignment="1" applyProtection="1">
      <alignment horizontal="right"/>
    </xf>
    <xf numFmtId="0" fontId="58" fillId="2" borderId="5" xfId="0" applyFont="1" applyFill="1" applyBorder="1" applyAlignment="1" applyProtection="1">
      <alignment horizontal="center"/>
      <protection hidden="1"/>
    </xf>
    <xf numFmtId="0" fontId="0" fillId="4" borderId="15" xfId="0" applyFill="1" applyBorder="1" applyAlignment="1" applyProtection="1">
      <alignment horizontal="center" vertical="top"/>
      <protection hidden="1"/>
    </xf>
    <xf numFmtId="0" fontId="1" fillId="0" borderId="15" xfId="0" applyFont="1" applyFill="1" applyBorder="1" applyAlignment="1" applyProtection="1">
      <alignment horizontal="left" vertical="center"/>
      <protection hidden="1"/>
    </xf>
    <xf numFmtId="164" fontId="9" fillId="0" borderId="15" xfId="2" applyNumberFormat="1" applyFont="1" applyFill="1" applyBorder="1" applyAlignment="1" applyProtection="1">
      <alignment horizontal="left" vertical="center"/>
      <protection hidden="1"/>
    </xf>
    <xf numFmtId="0" fontId="1" fillId="0" borderId="5" xfId="0" applyFont="1" applyFill="1" applyBorder="1" applyAlignment="1" applyProtection="1">
      <alignment vertical="center"/>
      <protection hidden="1"/>
    </xf>
    <xf numFmtId="0" fontId="0" fillId="5" borderId="15" xfId="0" applyFont="1" applyFill="1" applyBorder="1" applyAlignment="1" applyProtection="1">
      <protection hidden="1"/>
    </xf>
    <xf numFmtId="0" fontId="0" fillId="5" borderId="5" xfId="0" applyFont="1" applyFill="1" applyBorder="1" applyAlignment="1" applyProtection="1">
      <protection hidden="1"/>
    </xf>
    <xf numFmtId="0" fontId="0" fillId="0" borderId="12" xfId="0" applyFont="1" applyFill="1" applyBorder="1" applyAlignment="1" applyProtection="1">
      <alignment horizontal="center" vertical="top" wrapText="1"/>
      <protection hidden="1"/>
    </xf>
    <xf numFmtId="0" fontId="23" fillId="0" borderId="0" xfId="0" applyFont="1" applyFill="1" applyBorder="1" applyAlignment="1" applyProtection="1">
      <alignment horizontal="left" vertical="center"/>
      <protection hidden="1"/>
    </xf>
    <xf numFmtId="0" fontId="26" fillId="0" borderId="0" xfId="0" applyFont="1" applyFill="1" applyBorder="1" applyAlignment="1" applyProtection="1">
      <alignment horizontal="left" vertical="center"/>
      <protection hidden="1"/>
    </xf>
    <xf numFmtId="0" fontId="0" fillId="0" borderId="0" xfId="0" applyFill="1" applyBorder="1" applyAlignment="1" applyProtection="1">
      <alignment horizontal="left" vertical="center"/>
      <protection hidden="1"/>
    </xf>
    <xf numFmtId="0" fontId="0" fillId="0" borderId="0" xfId="0" applyFill="1" applyBorder="1" applyAlignment="1" applyProtection="1">
      <protection hidden="1"/>
    </xf>
    <xf numFmtId="0" fontId="23" fillId="5" borderId="12" xfId="0" applyFont="1" applyFill="1" applyBorder="1" applyAlignment="1" applyProtection="1">
      <alignment horizontal="left" vertical="center" wrapText="1"/>
      <protection hidden="1"/>
    </xf>
    <xf numFmtId="0" fontId="29" fillId="2" borderId="147" xfId="0" applyFont="1" applyFill="1" applyBorder="1" applyAlignment="1" applyProtection="1">
      <alignment horizontal="center" vertical="top" wrapText="1"/>
    </xf>
    <xf numFmtId="0" fontId="1" fillId="5" borderId="37" xfId="0" applyFont="1" applyFill="1" applyBorder="1" applyAlignment="1" applyProtection="1">
      <alignment vertical="center"/>
      <protection locked="0"/>
    </xf>
    <xf numFmtId="0" fontId="0" fillId="0" borderId="0" xfId="0" applyFont="1" applyBorder="1" applyAlignment="1" applyProtection="1">
      <alignment horizontal="left" vertical="top" wrapText="1"/>
    </xf>
    <xf numFmtId="0" fontId="87" fillId="0" borderId="0" xfId="0" applyFont="1" applyBorder="1" applyAlignment="1" applyProtection="1">
      <alignment horizontal="left" vertical="top"/>
    </xf>
    <xf numFmtId="0" fontId="35" fillId="2" borderId="0" xfId="0" applyFont="1" applyFill="1" applyAlignment="1" applyProtection="1">
      <alignment horizontal="left" vertical="top" wrapText="1"/>
      <protection hidden="1"/>
    </xf>
    <xf numFmtId="0" fontId="35" fillId="2" borderId="11" xfId="0" applyFont="1" applyFill="1" applyBorder="1" applyAlignment="1" applyProtection="1">
      <alignment horizontal="left" vertical="top" wrapText="1"/>
      <protection hidden="1"/>
    </xf>
    <xf numFmtId="0" fontId="35" fillId="4" borderId="0" xfId="0" applyFont="1" applyFill="1" applyBorder="1" applyAlignment="1" applyProtection="1">
      <alignment horizontal="left" vertical="top" wrapText="1"/>
      <protection hidden="1"/>
    </xf>
    <xf numFmtId="0" fontId="1" fillId="4" borderId="4"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9" fillId="4" borderId="40" xfId="0" applyFont="1" applyFill="1" applyBorder="1" applyAlignment="1" applyProtection="1">
      <alignment horizontal="center" vertical="top" wrapText="1"/>
    </xf>
    <xf numFmtId="0" fontId="9" fillId="4" borderId="0" xfId="0" applyFont="1" applyFill="1" applyAlignment="1" applyProtection="1">
      <alignment horizontal="center" vertical="top" wrapText="1"/>
    </xf>
    <xf numFmtId="0" fontId="45" fillId="2" borderId="53" xfId="0" applyFont="1" applyFill="1" applyBorder="1" applyAlignment="1" applyProtection="1">
      <alignment horizontal="center" wrapText="1"/>
    </xf>
    <xf numFmtId="0" fontId="45" fillId="2" borderId="1" xfId="0" applyFont="1" applyFill="1" applyBorder="1" applyAlignment="1" applyProtection="1">
      <alignment horizontal="center" wrapText="1"/>
    </xf>
    <xf numFmtId="0" fontId="45" fillId="2" borderId="41" xfId="0" applyFont="1" applyFill="1" applyBorder="1" applyAlignment="1" applyProtection="1">
      <alignment horizontal="center" wrapText="1"/>
    </xf>
    <xf numFmtId="0" fontId="0" fillId="5" borderId="149" xfId="0" applyFont="1" applyFill="1" applyBorder="1" applyAlignment="1" applyProtection="1">
      <alignment horizontal="left" vertical="top" wrapText="1"/>
    </xf>
    <xf numFmtId="0" fontId="0" fillId="5" borderId="147" xfId="0" applyFont="1" applyFill="1" applyBorder="1" applyAlignment="1" applyProtection="1">
      <alignment horizontal="left" vertical="top" wrapText="1"/>
    </xf>
    <xf numFmtId="0" fontId="23" fillId="10" borderId="84" xfId="0" applyFont="1" applyFill="1" applyBorder="1" applyAlignment="1" applyProtection="1">
      <alignment horizontal="center" wrapText="1"/>
      <protection hidden="1"/>
    </xf>
    <xf numFmtId="0" fontId="23" fillId="10" borderId="56" xfId="0" applyFont="1" applyFill="1" applyBorder="1" applyAlignment="1" applyProtection="1">
      <alignment horizontal="center" wrapText="1"/>
      <protection hidden="1"/>
    </xf>
    <xf numFmtId="0" fontId="23" fillId="10" borderId="57" xfId="0" applyFont="1" applyFill="1" applyBorder="1" applyAlignment="1" applyProtection="1">
      <alignment horizontal="center" wrapText="1"/>
      <protection hidden="1"/>
    </xf>
    <xf numFmtId="0" fontId="23" fillId="10" borderId="21" xfId="0" applyFont="1" applyFill="1" applyBorder="1" applyAlignment="1" applyProtection="1">
      <alignment horizontal="center"/>
    </xf>
    <xf numFmtId="0" fontId="23" fillId="10" borderId="22" xfId="0" applyFont="1" applyFill="1" applyBorder="1" applyAlignment="1" applyProtection="1">
      <alignment horizontal="center"/>
    </xf>
    <xf numFmtId="0" fontId="23" fillId="10" borderId="55" xfId="0" applyFont="1" applyFill="1" applyBorder="1" applyAlignment="1" applyProtection="1">
      <alignment horizontal="center" wrapText="1"/>
      <protection hidden="1"/>
    </xf>
    <xf numFmtId="0" fontId="0" fillId="0" borderId="55" xfId="0" applyBorder="1" applyAlignment="1" applyProtection="1">
      <alignment horizontal="center"/>
    </xf>
    <xf numFmtId="0" fontId="0" fillId="0" borderId="56" xfId="0" applyBorder="1" applyAlignment="1" applyProtection="1">
      <alignment horizontal="center"/>
    </xf>
    <xf numFmtId="0" fontId="0" fillId="0" borderId="57" xfId="0" applyBorder="1" applyAlignment="1" applyProtection="1">
      <alignment horizontal="center"/>
    </xf>
    <xf numFmtId="0" fontId="0" fillId="0" borderId="58" xfId="0" applyBorder="1" applyAlignment="1" applyProtection="1">
      <alignment horizontal="center"/>
    </xf>
    <xf numFmtId="0" fontId="0" fillId="0" borderId="2" xfId="0" applyBorder="1" applyAlignment="1" applyProtection="1">
      <alignment horizontal="center"/>
    </xf>
    <xf numFmtId="0" fontId="0" fillId="0" borderId="59" xfId="0" applyBorder="1" applyAlignment="1" applyProtection="1">
      <alignment horizontal="center"/>
    </xf>
    <xf numFmtId="0" fontId="0" fillId="0" borderId="60" xfId="0" applyFont="1" applyBorder="1" applyAlignment="1" applyProtection="1">
      <alignment horizontal="center"/>
    </xf>
    <xf numFmtId="0" fontId="0" fillId="0" borderId="61" xfId="0" applyFont="1" applyBorder="1" applyAlignment="1" applyProtection="1">
      <alignment horizontal="center"/>
    </xf>
    <xf numFmtId="0" fontId="0" fillId="0" borderId="62" xfId="0" applyFont="1" applyBorder="1" applyAlignment="1" applyProtection="1">
      <alignment horizontal="center"/>
    </xf>
    <xf numFmtId="0" fontId="38" fillId="8" borderId="10" xfId="0" applyFont="1" applyFill="1" applyBorder="1" applyAlignment="1" applyProtection="1">
      <alignment horizontal="center"/>
    </xf>
    <xf numFmtId="0" fontId="38" fillId="8" borderId="3" xfId="0" applyFont="1" applyFill="1" applyBorder="1" applyAlignment="1" applyProtection="1">
      <alignment horizontal="center"/>
    </xf>
    <xf numFmtId="0" fontId="0" fillId="9" borderId="21" xfId="0" applyFill="1" applyBorder="1" applyAlignment="1" applyProtection="1">
      <alignment horizontal="center" vertical="center"/>
    </xf>
    <xf numFmtId="0" fontId="0" fillId="9" borderId="22" xfId="0" applyFill="1" applyBorder="1" applyAlignment="1" applyProtection="1">
      <alignment horizontal="center" vertical="center"/>
    </xf>
    <xf numFmtId="0" fontId="0" fillId="9" borderId="23" xfId="0" applyFill="1" applyBorder="1" applyAlignment="1" applyProtection="1">
      <alignment horizontal="center" vertical="center"/>
    </xf>
    <xf numFmtId="0" fontId="0" fillId="8" borderId="75" xfId="0" applyFill="1" applyBorder="1" applyAlignment="1" applyProtection="1">
      <alignment horizontal="center"/>
    </xf>
    <xf numFmtId="0" fontId="0" fillId="8" borderId="76" xfId="0" applyFill="1" applyBorder="1" applyAlignment="1" applyProtection="1">
      <alignment horizontal="center"/>
    </xf>
    <xf numFmtId="0" fontId="0" fillId="8" borderId="77" xfId="0" applyFill="1" applyBorder="1" applyAlignment="1" applyProtection="1">
      <alignment horizontal="center"/>
    </xf>
    <xf numFmtId="0" fontId="0" fillId="0" borderId="0" xfId="0" applyAlignment="1">
      <alignment horizontal="center"/>
    </xf>
    <xf numFmtId="0" fontId="56" fillId="0" borderId="131" xfId="0" applyFont="1" applyBorder="1" applyAlignment="1" applyProtection="1">
      <alignment horizontal="left" vertical="center"/>
      <protection locked="0"/>
    </xf>
    <xf numFmtId="0" fontId="56" fillId="0" borderId="132" xfId="0" applyFont="1" applyBorder="1" applyAlignment="1" applyProtection="1">
      <alignment horizontal="left" vertical="center"/>
      <protection locked="0"/>
    </xf>
    <xf numFmtId="0" fontId="56" fillId="0" borderId="133" xfId="0" applyFont="1" applyBorder="1" applyAlignment="1" applyProtection="1">
      <alignment horizontal="left" vertical="center"/>
      <protection locked="0"/>
    </xf>
    <xf numFmtId="0" fontId="71" fillId="4" borderId="13" xfId="0" applyFont="1" applyFill="1" applyBorder="1" applyAlignment="1" applyProtection="1">
      <alignment horizontal="center"/>
      <protection hidden="1"/>
    </xf>
    <xf numFmtId="0" fontId="71" fillId="4" borderId="14" xfId="0" applyFont="1" applyFill="1" applyBorder="1" applyAlignment="1" applyProtection="1">
      <alignment horizontal="center"/>
      <protection hidden="1"/>
    </xf>
    <xf numFmtId="0" fontId="60" fillId="5" borderId="105" xfId="0" applyFont="1" applyFill="1" applyBorder="1" applyAlignment="1" applyProtection="1">
      <alignment horizontal="center"/>
      <protection hidden="1"/>
    </xf>
    <xf numFmtId="0" fontId="60" fillId="5" borderId="112" xfId="0" applyFont="1" applyFill="1" applyBorder="1" applyAlignment="1" applyProtection="1">
      <alignment horizontal="center"/>
      <protection hidden="1"/>
    </xf>
    <xf numFmtId="164" fontId="60" fillId="5" borderId="106" xfId="0" applyNumberFormat="1" applyFont="1" applyFill="1" applyBorder="1" applyAlignment="1" applyProtection="1">
      <alignment horizontal="center"/>
      <protection hidden="1"/>
    </xf>
    <xf numFmtId="164" fontId="60" fillId="5" borderId="109" xfId="0" applyNumberFormat="1" applyFont="1" applyFill="1" applyBorder="1" applyAlignment="1" applyProtection="1">
      <alignment horizontal="center"/>
      <protection hidden="1"/>
    </xf>
    <xf numFmtId="0" fontId="60" fillId="5" borderId="119" xfId="0" applyFont="1" applyFill="1" applyBorder="1" applyAlignment="1" applyProtection="1">
      <alignment horizontal="center"/>
      <protection hidden="1"/>
    </xf>
    <xf numFmtId="0" fontId="60" fillId="5" borderId="110" xfId="0" applyFont="1" applyFill="1" applyBorder="1" applyAlignment="1" applyProtection="1">
      <alignment horizontal="center"/>
      <protection hidden="1"/>
    </xf>
    <xf numFmtId="0" fontId="70" fillId="4" borderId="13" xfId="0" applyFont="1" applyFill="1" applyBorder="1" applyAlignment="1" applyProtection="1">
      <alignment horizontal="center" vertical="center"/>
      <protection hidden="1"/>
    </xf>
    <xf numFmtId="0" fontId="70" fillId="4" borderId="14" xfId="0" applyFont="1" applyFill="1" applyBorder="1" applyAlignment="1" applyProtection="1">
      <alignment horizontal="center" vertical="center"/>
      <protection hidden="1"/>
    </xf>
    <xf numFmtId="0" fontId="72" fillId="5" borderId="105" xfId="0" applyFont="1" applyFill="1" applyBorder="1" applyAlignment="1" applyProtection="1">
      <alignment horizontal="center"/>
      <protection hidden="1"/>
    </xf>
    <xf numFmtId="0" fontId="72" fillId="5" borderId="112" xfId="0" applyFont="1" applyFill="1" applyBorder="1" applyAlignment="1" applyProtection="1">
      <alignment horizontal="center"/>
      <protection hidden="1"/>
    </xf>
    <xf numFmtId="164" fontId="72" fillId="5" borderId="106" xfId="0" applyNumberFormat="1" applyFont="1" applyFill="1" applyBorder="1" applyAlignment="1" applyProtection="1">
      <alignment horizontal="center"/>
      <protection hidden="1"/>
    </xf>
    <xf numFmtId="164" fontId="72" fillId="5" borderId="109" xfId="0" applyNumberFormat="1" applyFont="1" applyFill="1" applyBorder="1" applyAlignment="1" applyProtection="1">
      <alignment horizontal="center"/>
      <protection hidden="1"/>
    </xf>
    <xf numFmtId="0" fontId="72" fillId="5" borderId="119" xfId="0" applyFont="1" applyFill="1" applyBorder="1" applyAlignment="1" applyProtection="1">
      <alignment horizontal="center"/>
      <protection hidden="1"/>
    </xf>
    <xf numFmtId="0" fontId="72" fillId="5" borderId="110" xfId="0" applyFont="1" applyFill="1" applyBorder="1" applyAlignment="1" applyProtection="1">
      <alignment horizontal="center"/>
      <protection hidden="1"/>
    </xf>
    <xf numFmtId="0" fontId="74" fillId="2" borderId="8" xfId="0" applyFont="1" applyFill="1" applyBorder="1" applyAlignment="1" applyProtection="1">
      <alignment horizontal="center" wrapText="1"/>
      <protection hidden="1"/>
    </xf>
    <xf numFmtId="0" fontId="74" fillId="2" borderId="12" xfId="0" applyFont="1" applyFill="1" applyBorder="1" applyAlignment="1" applyProtection="1">
      <alignment horizontal="center" wrapText="1"/>
      <protection hidden="1"/>
    </xf>
    <xf numFmtId="0" fontId="73" fillId="2" borderId="0" xfId="0" applyFont="1" applyFill="1" applyAlignment="1" applyProtection="1">
      <alignment horizontal="left" vertical="top" wrapText="1"/>
      <protection hidden="1"/>
    </xf>
    <xf numFmtId="0" fontId="72" fillId="4" borderId="2" xfId="0" applyFont="1" applyFill="1" applyBorder="1" applyAlignment="1" applyProtection="1">
      <alignment horizontal="center"/>
      <protection locked="0" hidden="1"/>
    </xf>
    <xf numFmtId="0" fontId="74" fillId="2" borderId="0" xfId="0" applyFont="1" applyFill="1" applyBorder="1" applyAlignment="1" applyProtection="1">
      <alignment horizontal="center" wrapText="1"/>
      <protection hidden="1"/>
    </xf>
    <xf numFmtId="0" fontId="14" fillId="2" borderId="0" xfId="0" applyFont="1" applyFill="1" applyAlignment="1" applyProtection="1">
      <alignment vertical="center" wrapText="1"/>
      <protection hidden="1"/>
    </xf>
    <xf numFmtId="0" fontId="14" fillId="0" borderId="0" xfId="0" applyFont="1" applyAlignment="1" applyProtection="1">
      <alignment vertical="center" wrapText="1"/>
      <protection hidden="1"/>
    </xf>
    <xf numFmtId="0" fontId="0" fillId="4" borderId="2" xfId="0" applyFont="1" applyFill="1" applyBorder="1" applyAlignment="1" applyProtection="1">
      <alignment wrapText="1"/>
      <protection hidden="1"/>
    </xf>
    <xf numFmtId="0" fontId="0" fillId="4" borderId="2" xfId="0" applyFont="1" applyFill="1" applyBorder="1" applyProtection="1">
      <protection hidden="1"/>
    </xf>
    <xf numFmtId="0" fontId="1" fillId="2" borderId="2" xfId="0" applyFont="1" applyFill="1" applyBorder="1" applyAlignment="1" applyProtection="1">
      <alignment horizontal="left" vertical="center" wrapText="1"/>
      <protection hidden="1"/>
    </xf>
    <xf numFmtId="0" fontId="1" fillId="2" borderId="2" xfId="0" applyFont="1" applyFill="1" applyBorder="1" applyAlignment="1" applyProtection="1">
      <alignment horizontal="left" vertical="top" wrapText="1"/>
      <protection hidden="1"/>
    </xf>
    <xf numFmtId="0" fontId="21" fillId="3" borderId="82" xfId="0" applyFont="1" applyFill="1" applyBorder="1" applyAlignment="1" applyProtection="1">
      <alignment horizontal="left" vertical="top" wrapText="1"/>
      <protection hidden="1"/>
    </xf>
    <xf numFmtId="0" fontId="21" fillId="3" borderId="111" xfId="0" applyFont="1" applyFill="1" applyBorder="1" applyAlignment="1" applyProtection="1">
      <alignment horizontal="left" vertical="top" wrapText="1"/>
      <protection hidden="1"/>
    </xf>
    <xf numFmtId="0" fontId="7" fillId="3" borderId="4" xfId="0" applyFont="1" applyFill="1" applyBorder="1" applyAlignment="1" applyProtection="1">
      <alignment horizontal="left"/>
      <protection hidden="1"/>
    </xf>
    <xf numFmtId="0" fontId="7" fillId="3" borderId="6" xfId="0" applyFont="1" applyFill="1" applyBorder="1" applyAlignment="1" applyProtection="1">
      <alignment horizontal="left"/>
      <protection hidden="1"/>
    </xf>
    <xf numFmtId="0" fontId="7" fillId="3" borderId="7" xfId="0" applyFont="1" applyFill="1" applyBorder="1" applyAlignment="1" applyProtection="1">
      <alignment horizontal="left"/>
      <protection hidden="1"/>
    </xf>
    <xf numFmtId="0" fontId="32" fillId="4" borderId="2" xfId="0" applyFont="1" applyFill="1" applyBorder="1" applyAlignment="1" applyProtection="1">
      <alignment horizontal="left" vertical="center" wrapText="1"/>
      <protection hidden="1"/>
    </xf>
    <xf numFmtId="0" fontId="0" fillId="4" borderId="2" xfId="0" applyFont="1" applyFill="1" applyBorder="1" applyAlignment="1" applyProtection="1">
      <alignment horizontal="left" vertical="center"/>
      <protection hidden="1"/>
    </xf>
    <xf numFmtId="0" fontId="0" fillId="4" borderId="2" xfId="0" applyFont="1" applyFill="1" applyBorder="1" applyAlignment="1" applyProtection="1">
      <alignment horizontal="left" vertical="center" wrapText="1"/>
      <protection hidden="1"/>
    </xf>
    <xf numFmtId="0" fontId="0" fillId="4" borderId="0" xfId="0" applyFill="1" applyBorder="1" applyAlignment="1" applyProtection="1">
      <alignment wrapText="1"/>
      <protection locked="0"/>
    </xf>
  </cellXfs>
  <cellStyles count="4">
    <cellStyle name="Good 2" xfId="3" xr:uid="{00000000-0005-0000-0000-000000000000}"/>
    <cellStyle name="Normal" xfId="0" builtinId="0"/>
    <cellStyle name="Normal 3" xfId="1" xr:uid="{00000000-0005-0000-0000-000002000000}"/>
    <cellStyle name="Percent" xfId="2" builtinId="5"/>
  </cellStyles>
  <dxfs count="473">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right style="thin">
          <color theme="1"/>
        </right>
      </border>
    </dxf>
    <dxf>
      <font>
        <color theme="0"/>
      </font>
      <fill>
        <patternFill>
          <bgColor theme="0"/>
        </patternFill>
      </fill>
    </dxf>
    <dxf>
      <font>
        <color theme="0"/>
      </font>
      <fill>
        <patternFill>
          <bgColor theme="0"/>
        </patternFill>
      </fill>
      <border>
        <left style="thin">
          <color theme="1"/>
        </left>
        <vertical/>
        <horizontal/>
      </border>
    </dxf>
    <dxf>
      <fill>
        <patternFill>
          <bgColor rgb="FFFF0000"/>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dxf>
    <dxf>
      <fill>
        <patternFill>
          <bgColor theme="0" tint="-0.14996795556505021"/>
        </patternFill>
      </fill>
    </dxf>
    <dxf>
      <font>
        <color theme="0"/>
      </font>
      <fill>
        <patternFill>
          <bgColor theme="0"/>
        </patternFill>
      </fill>
      <border>
        <left/>
        <right/>
        <top/>
        <bottom/>
        <vertical/>
        <horizontal/>
      </border>
    </dxf>
    <dxf>
      <font>
        <color theme="1"/>
      </font>
      <fill>
        <patternFill>
          <bgColor theme="0"/>
        </patternFill>
      </fill>
    </dxf>
    <dxf>
      <font>
        <color theme="1"/>
      </font>
      <fill>
        <patternFill>
          <bgColor theme="0"/>
        </patternFill>
      </fill>
    </dxf>
    <dxf>
      <font>
        <b/>
        <i val="0"/>
        <color rgb="FFFF0000"/>
      </font>
    </dxf>
    <dxf>
      <font>
        <b/>
        <i val="0"/>
        <color rgb="FFFF0000"/>
      </font>
    </dxf>
    <dxf>
      <font>
        <b/>
        <i val="0"/>
        <color rgb="FFFF0000"/>
      </font>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border>
        <top style="thin">
          <color auto="1"/>
        </top>
        <vertical/>
        <horizontal/>
      </border>
    </dxf>
    <dxf>
      <border>
        <top style="thin">
          <color theme="0"/>
        </top>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style="thin">
          <color auto="1"/>
        </bottom>
        <vertical/>
        <horizontal/>
      </border>
    </dxf>
  </dxfs>
  <tableStyles count="0" defaultTableStyle="TableStyleMedium9" defaultPivotStyle="PivotStyleLight16"/>
  <colors>
    <mruColors>
      <color rgb="FF3D6864"/>
      <color rgb="FFFFD146"/>
      <color rgb="FF56B146"/>
      <color rgb="FFF16161"/>
      <color rgb="FFC4BD97"/>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 of Building Performance'!$AC$21</c:f>
              <c:strCache>
                <c:ptCount val="1"/>
                <c:pt idx="0">
                  <c:v>Section score available</c:v>
                </c:pt>
              </c:strCache>
            </c:strRef>
          </c:tx>
          <c:spPr>
            <a:solidFill>
              <a:srgbClr val="406864"/>
            </a:solidFill>
          </c:spPr>
          <c:invertIfNegative val="0"/>
          <c:cat>
            <c:strRef>
              <c:f>'Summary of Building Performance'!$AB$22:$AB$31</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Performance'!$AC$22:$AC$31</c:f>
              <c:numCache>
                <c:formatCode>0%</c:formatCode>
                <c:ptCount val="10"/>
                <c:pt idx="0">
                  <c:v>0.12</c:v>
                </c:pt>
                <c:pt idx="1">
                  <c:v>0.15</c:v>
                </c:pt>
                <c:pt idx="2">
                  <c:v>0.19</c:v>
                </c:pt>
                <c:pt idx="3">
                  <c:v>0.1</c:v>
                </c:pt>
                <c:pt idx="4">
                  <c:v>0.05</c:v>
                </c:pt>
                <c:pt idx="5">
                  <c:v>0.13500000000000001</c:v>
                </c:pt>
                <c:pt idx="6">
                  <c:v>7.4999999999999997E-2</c:v>
                </c:pt>
                <c:pt idx="7">
                  <c:v>0.1</c:v>
                </c:pt>
                <c:pt idx="8">
                  <c:v>0.08</c:v>
                </c:pt>
                <c:pt idx="9">
                  <c:v>0.1</c:v>
                </c:pt>
              </c:numCache>
            </c:numRef>
          </c:val>
          <c:extLst>
            <c:ext xmlns:c16="http://schemas.microsoft.com/office/drawing/2014/chart" uri="{C3380CC4-5D6E-409C-BE32-E72D297353CC}">
              <c16:uniqueId val="{00000000-F474-4344-A64F-9500F3F284CF}"/>
            </c:ext>
          </c:extLst>
        </c:ser>
        <c:ser>
          <c:idx val="1"/>
          <c:order val="1"/>
          <c:tx>
            <c:strRef>
              <c:f>'Summary of Building Performance'!$AD$21</c:f>
              <c:strCache>
                <c:ptCount val="1"/>
                <c:pt idx="0">
                  <c:v>Initial target setting</c:v>
                </c:pt>
              </c:strCache>
            </c:strRef>
          </c:tx>
          <c:spPr>
            <a:solidFill>
              <a:srgbClr val="56B146"/>
            </a:solidFill>
          </c:spPr>
          <c:invertIfNegative val="0"/>
          <c:cat>
            <c:strRef>
              <c:f>'Summary of Building Performance'!$AB$22:$AB$31</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Performance'!$AD$22:$AD$31</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474-4344-A64F-9500F3F284CF}"/>
            </c:ext>
          </c:extLst>
        </c:ser>
        <c:ser>
          <c:idx val="2"/>
          <c:order val="2"/>
          <c:tx>
            <c:strRef>
              <c:f>'Summary of Building Performance'!$AE$21</c:f>
              <c:strCache>
                <c:ptCount val="1"/>
                <c:pt idx="0">
                  <c:v>Design phase</c:v>
                </c:pt>
              </c:strCache>
            </c:strRef>
          </c:tx>
          <c:spPr>
            <a:solidFill>
              <a:schemeClr val="accent1">
                <a:lumMod val="40000"/>
                <a:lumOff val="60000"/>
              </a:schemeClr>
            </a:solidFill>
          </c:spPr>
          <c:invertIfNegative val="0"/>
          <c:cat>
            <c:strRef>
              <c:f>'Summary of Building Performance'!$AB$22:$AB$31</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Performance'!$AE$22:$AE$31</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F474-4344-A64F-9500F3F284CF}"/>
            </c:ext>
          </c:extLst>
        </c:ser>
        <c:ser>
          <c:idx val="3"/>
          <c:order val="3"/>
          <c:tx>
            <c:strRef>
              <c:f>'Summary of Building Performance'!$AF$21</c:f>
              <c:strCache>
                <c:ptCount val="1"/>
                <c:pt idx="0">
                  <c:v>Construction phase</c:v>
                </c:pt>
              </c:strCache>
            </c:strRef>
          </c:tx>
          <c:spPr>
            <a:solidFill>
              <a:schemeClr val="bg2">
                <a:lumMod val="75000"/>
              </a:schemeClr>
            </a:solidFill>
          </c:spPr>
          <c:invertIfNegative val="0"/>
          <c:cat>
            <c:strRef>
              <c:f>'Summary of Building Performance'!$AB$22:$AB$31</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Performance'!$AF$22:$AF$31</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F474-4344-A64F-9500F3F284CF}"/>
            </c:ext>
          </c:extLst>
        </c:ser>
        <c:dLbls>
          <c:showLegendKey val="0"/>
          <c:showVal val="0"/>
          <c:showCatName val="0"/>
          <c:showSerName val="0"/>
          <c:showPercent val="0"/>
          <c:showBubbleSize val="0"/>
        </c:dLbls>
        <c:gapWidth val="75"/>
        <c:overlap val="-25"/>
        <c:axId val="621716544"/>
        <c:axId val="621717720"/>
      </c:barChart>
      <c:catAx>
        <c:axId val="62171654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7720"/>
        <c:crosses val="autoZero"/>
        <c:auto val="1"/>
        <c:lblAlgn val="ctr"/>
        <c:lblOffset val="100"/>
        <c:noMultiLvlLbl val="0"/>
      </c:catAx>
      <c:valAx>
        <c:axId val="621717720"/>
        <c:scaling>
          <c:orientation val="minMax"/>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nb-NO"/>
          </a:p>
        </c:txPr>
        <c:crossAx val="621716544"/>
        <c:crosses val="autoZero"/>
        <c:crossBetween val="between"/>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6350">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6029043955481"/>
          <c:y val="4.2195507462141082E-2"/>
          <c:w val="0.85957557632275794"/>
          <c:h val="0.722508509326657"/>
        </c:manualLayout>
      </c:layout>
      <c:barChart>
        <c:barDir val="col"/>
        <c:grouping val="clustered"/>
        <c:varyColors val="0"/>
        <c:ser>
          <c:idx val="0"/>
          <c:order val="0"/>
          <c:tx>
            <c:strRef>
              <c:f>'Summary of Building Performance'!$AC$35</c:f>
              <c:strCache>
                <c:ptCount val="1"/>
                <c:pt idx="0">
                  <c:v>Initial target setting</c:v>
                </c:pt>
              </c:strCache>
            </c:strRef>
          </c:tx>
          <c:spPr>
            <a:solidFill>
              <a:srgbClr val="56B146"/>
            </a:solidFill>
          </c:spPr>
          <c:invertIfNegative val="0"/>
          <c:cat>
            <c:strRef>
              <c:f>'Summary of Building Performance'!$AB$36:$AB$51</c:f>
              <c:strCache>
                <c:ptCount val="16"/>
                <c:pt idx="0">
                  <c:v>Man 03</c:v>
                </c:pt>
                <c:pt idx="1">
                  <c:v>Man 04</c:v>
                </c:pt>
                <c:pt idx="2">
                  <c:v>Man 05</c:v>
                </c:pt>
                <c:pt idx="3">
                  <c:v>Hea 01</c:v>
                </c:pt>
                <c:pt idx="4">
                  <c:v>Hea 02</c:v>
                </c:pt>
                <c:pt idx="6">
                  <c:v>Hea 09</c:v>
                </c:pt>
                <c:pt idx="7">
                  <c:v>Ene 01</c:v>
                </c:pt>
                <c:pt idx="8">
                  <c:v>Ene 02</c:v>
                </c:pt>
                <c:pt idx="9">
                  <c:v>Ene 04</c:v>
                </c:pt>
                <c:pt idx="10">
                  <c:v>Ene 23</c:v>
                </c:pt>
                <c:pt idx="11">
                  <c:v>Wat 01</c:v>
                </c:pt>
                <c:pt idx="12">
                  <c:v>Mat 01</c:v>
                </c:pt>
                <c:pt idx="13">
                  <c:v>Mat 03</c:v>
                </c:pt>
                <c:pt idx="14">
                  <c:v>Wst 01</c:v>
                </c:pt>
                <c:pt idx="15">
                  <c:v>Wst 03</c:v>
                </c:pt>
              </c:strCache>
            </c:strRef>
          </c:cat>
          <c:val>
            <c:numRef>
              <c:f>'Summary of Building Performance'!$AC$36:$AC$51</c:f>
              <c:numCache>
                <c:formatCode>General</c:formatCode>
                <c:ptCount val="16"/>
                <c:pt idx="0">
                  <c:v>3</c:v>
                </c:pt>
                <c:pt idx="1">
                  <c:v>0</c:v>
                </c:pt>
                <c:pt idx="2">
                  <c:v>3</c:v>
                </c:pt>
                <c:pt idx="3">
                  <c:v>0</c:v>
                </c:pt>
                <c:pt idx="4">
                  <c:v>2</c:v>
                </c:pt>
                <c:pt idx="5">
                  <c:v>0</c:v>
                </c:pt>
                <c:pt idx="6">
                  <c:v>2</c:v>
                </c:pt>
                <c:pt idx="7">
                  <c:v>3</c:v>
                </c:pt>
                <c:pt idx="8">
                  <c:v>2</c:v>
                </c:pt>
                <c:pt idx="9">
                  <c:v>3</c:v>
                </c:pt>
                <c:pt idx="10">
                  <c:v>4</c:v>
                </c:pt>
                <c:pt idx="11">
                  <c:v>3</c:v>
                </c:pt>
                <c:pt idx="12">
                  <c:v>0</c:v>
                </c:pt>
                <c:pt idx="13">
                  <c:v>0</c:v>
                </c:pt>
                <c:pt idx="14">
                  <c:v>4</c:v>
                </c:pt>
                <c:pt idx="15">
                  <c:v>3</c:v>
                </c:pt>
              </c:numCache>
            </c:numRef>
          </c:val>
          <c:extLst>
            <c:ext xmlns:c16="http://schemas.microsoft.com/office/drawing/2014/chart" uri="{C3380CC4-5D6E-409C-BE32-E72D297353CC}">
              <c16:uniqueId val="{00000000-F474-4344-A64F-9500F3F284CF}"/>
            </c:ext>
          </c:extLst>
        </c:ser>
        <c:ser>
          <c:idx val="1"/>
          <c:order val="1"/>
          <c:tx>
            <c:strRef>
              <c:f>'Summary of Building Performance'!$AD$35</c:f>
              <c:strCache>
                <c:ptCount val="1"/>
                <c:pt idx="0">
                  <c:v>Design phase</c:v>
                </c:pt>
              </c:strCache>
            </c:strRef>
          </c:tx>
          <c:spPr>
            <a:solidFill>
              <a:srgbClr val="B9CDE5"/>
            </a:solidFill>
          </c:spPr>
          <c:invertIfNegative val="0"/>
          <c:cat>
            <c:strRef>
              <c:f>'Summary of Building Performance'!$AB$36:$AB$51</c:f>
              <c:strCache>
                <c:ptCount val="16"/>
                <c:pt idx="0">
                  <c:v>Man 03</c:v>
                </c:pt>
                <c:pt idx="1">
                  <c:v>Man 04</c:v>
                </c:pt>
                <c:pt idx="2">
                  <c:v>Man 05</c:v>
                </c:pt>
                <c:pt idx="3">
                  <c:v>Hea 01</c:v>
                </c:pt>
                <c:pt idx="4">
                  <c:v>Hea 02</c:v>
                </c:pt>
                <c:pt idx="6">
                  <c:v>Hea 09</c:v>
                </c:pt>
                <c:pt idx="7">
                  <c:v>Ene 01</c:v>
                </c:pt>
                <c:pt idx="8">
                  <c:v>Ene 02</c:v>
                </c:pt>
                <c:pt idx="9">
                  <c:v>Ene 04</c:v>
                </c:pt>
                <c:pt idx="10">
                  <c:v>Ene 23</c:v>
                </c:pt>
                <c:pt idx="11">
                  <c:v>Wat 01</c:v>
                </c:pt>
                <c:pt idx="12">
                  <c:v>Mat 01</c:v>
                </c:pt>
                <c:pt idx="13">
                  <c:v>Mat 03</c:v>
                </c:pt>
                <c:pt idx="14">
                  <c:v>Wst 01</c:v>
                </c:pt>
                <c:pt idx="15">
                  <c:v>Wst 03</c:v>
                </c:pt>
              </c:strCache>
            </c:strRef>
          </c:cat>
          <c:val>
            <c:numRef>
              <c:f>'Summary of Building Performance'!$AD$36:$AD$51</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F474-4344-A64F-9500F3F284CF}"/>
            </c:ext>
          </c:extLst>
        </c:ser>
        <c:ser>
          <c:idx val="2"/>
          <c:order val="2"/>
          <c:tx>
            <c:strRef>
              <c:f>'Summary of Building Performance'!$AE$35</c:f>
              <c:strCache>
                <c:ptCount val="1"/>
                <c:pt idx="0">
                  <c:v>Construction phase</c:v>
                </c:pt>
              </c:strCache>
            </c:strRef>
          </c:tx>
          <c:spPr>
            <a:solidFill>
              <a:srgbClr val="C4BD97"/>
            </a:solidFill>
          </c:spPr>
          <c:invertIfNegative val="0"/>
          <c:cat>
            <c:strRef>
              <c:f>'Summary of Building Performance'!$AB$36:$AB$51</c:f>
              <c:strCache>
                <c:ptCount val="16"/>
                <c:pt idx="0">
                  <c:v>Man 03</c:v>
                </c:pt>
                <c:pt idx="1">
                  <c:v>Man 04</c:v>
                </c:pt>
                <c:pt idx="2">
                  <c:v>Man 05</c:v>
                </c:pt>
                <c:pt idx="3">
                  <c:v>Hea 01</c:v>
                </c:pt>
                <c:pt idx="4">
                  <c:v>Hea 02</c:v>
                </c:pt>
                <c:pt idx="6">
                  <c:v>Hea 09</c:v>
                </c:pt>
                <c:pt idx="7">
                  <c:v>Ene 01</c:v>
                </c:pt>
                <c:pt idx="8">
                  <c:v>Ene 02</c:v>
                </c:pt>
                <c:pt idx="9">
                  <c:v>Ene 04</c:v>
                </c:pt>
                <c:pt idx="10">
                  <c:v>Ene 23</c:v>
                </c:pt>
                <c:pt idx="11">
                  <c:v>Wat 01</c:v>
                </c:pt>
                <c:pt idx="12">
                  <c:v>Mat 01</c:v>
                </c:pt>
                <c:pt idx="13">
                  <c:v>Mat 03</c:v>
                </c:pt>
                <c:pt idx="14">
                  <c:v>Wst 01</c:v>
                </c:pt>
                <c:pt idx="15">
                  <c:v>Wst 03</c:v>
                </c:pt>
              </c:strCache>
            </c:strRef>
          </c:cat>
          <c:val>
            <c:numRef>
              <c:f>'Summary of Building Performance'!$AE$36:$AE$51</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F474-4344-A64F-9500F3F284CF}"/>
            </c:ext>
          </c:extLst>
        </c:ser>
        <c:dLbls>
          <c:showLegendKey val="0"/>
          <c:showVal val="0"/>
          <c:showCatName val="0"/>
          <c:showSerName val="0"/>
          <c:showPercent val="0"/>
          <c:showBubbleSize val="0"/>
        </c:dLbls>
        <c:gapWidth val="75"/>
        <c:overlap val="-25"/>
        <c:axId val="621713800"/>
        <c:axId val="621718504"/>
      </c:barChart>
      <c:catAx>
        <c:axId val="62171380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8504"/>
        <c:crosses val="autoZero"/>
        <c:auto val="1"/>
        <c:lblAlgn val="ctr"/>
        <c:lblOffset val="100"/>
        <c:noMultiLvlLbl val="0"/>
      </c:catAx>
      <c:valAx>
        <c:axId val="621718504"/>
        <c:scaling>
          <c:orientation val="minMax"/>
          <c:max val="5"/>
        </c:scaling>
        <c:delete val="1"/>
        <c:axPos val="l"/>
        <c:majorGridlines/>
        <c:numFmt formatCode="0%" sourceLinked="0"/>
        <c:majorTickMark val="none"/>
        <c:minorTickMark val="none"/>
        <c:tickLblPos val="nextTo"/>
        <c:crossAx val="621713800"/>
        <c:crosses val="autoZero"/>
        <c:crossBetween val="between"/>
        <c:majorUnit val="1"/>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layout>
        <c:manualLayout>
          <c:xMode val="edge"/>
          <c:yMode val="edge"/>
          <c:x val="0.10425054779133901"/>
          <c:y val="0.88460329124958204"/>
          <c:w val="0.78340991326686749"/>
          <c:h val="9.2380977407431883E-2"/>
        </c:manualLayout>
      </c:layout>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3</xdr:col>
      <xdr:colOff>1026365</xdr:colOff>
      <xdr:row>10</xdr:row>
      <xdr:rowOff>95250</xdr:rowOff>
    </xdr:from>
    <xdr:to>
      <xdr:col>8</xdr:col>
      <xdr:colOff>114301</xdr:colOff>
      <xdr:row>14</xdr:row>
      <xdr:rowOff>104774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0365" y="5810250"/>
          <a:ext cx="2574086" cy="771524"/>
        </a:xfrm>
        <a:prstGeom prst="rect">
          <a:avLst/>
        </a:prstGeom>
      </xdr:spPr>
    </xdr:pic>
    <xdr:clientData/>
  </xdr:twoCellAnchor>
  <xdr:twoCellAnchor editAs="oneCell">
    <xdr:from>
      <xdr:col>9</xdr:col>
      <xdr:colOff>219075</xdr:colOff>
      <xdr:row>11</xdr:row>
      <xdr:rowOff>5952</xdr:rowOff>
    </xdr:from>
    <xdr:to>
      <xdr:col>12</xdr:col>
      <xdr:colOff>228600</xdr:colOff>
      <xdr:row>15</xdr:row>
      <xdr:rowOff>35780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5838825" y="5911452"/>
          <a:ext cx="1990725" cy="791828"/>
        </a:xfrm>
        <a:prstGeom prst="rect">
          <a:avLst/>
        </a:prstGeom>
      </xdr:spPr>
    </xdr:pic>
    <xdr:clientData/>
  </xdr:twoCellAnchor>
  <xdr:twoCellAnchor editAs="oneCell">
    <xdr:from>
      <xdr:col>13</xdr:col>
      <xdr:colOff>314324</xdr:colOff>
      <xdr:row>11</xdr:row>
      <xdr:rowOff>142873</xdr:rowOff>
    </xdr:from>
    <xdr:to>
      <xdr:col>16</xdr:col>
      <xdr:colOff>3777</xdr:colOff>
      <xdr:row>15</xdr:row>
      <xdr:rowOff>104774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8524874" y="6048373"/>
          <a:ext cx="1499203" cy="723901"/>
        </a:xfrm>
        <a:prstGeom prst="rect">
          <a:avLst/>
        </a:prstGeom>
      </xdr:spPr>
    </xdr:pic>
    <xdr:clientData/>
  </xdr:twoCellAnchor>
  <xdr:twoCellAnchor editAs="oneCell">
    <xdr:from>
      <xdr:col>1</xdr:col>
      <xdr:colOff>47625</xdr:colOff>
      <xdr:row>8</xdr:row>
      <xdr:rowOff>76199</xdr:rowOff>
    </xdr:from>
    <xdr:to>
      <xdr:col>3</xdr:col>
      <xdr:colOff>971003</xdr:colOff>
      <xdr:row>17</xdr:row>
      <xdr:rowOff>85724</xdr:rowOff>
    </xdr:to>
    <xdr:pic>
      <xdr:nvPicPr>
        <xdr:cNvPr id="8" name="Picture 7">
          <a:extLst>
            <a:ext uri="{FF2B5EF4-FFF2-40B4-BE49-F238E27FC236}">
              <a16:creationId xmlns:a16="http://schemas.microsoft.com/office/drawing/2014/main" id="{514DB9FE-E69C-44D8-90E6-192BCA61C62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6225" y="5143499"/>
          <a:ext cx="2199728" cy="1724025"/>
        </a:xfrm>
        <a:prstGeom prst="rect">
          <a:avLst/>
        </a:prstGeom>
      </xdr:spPr>
    </xdr:pic>
    <xdr:clientData/>
  </xdr:twoCellAnchor>
  <xdr:twoCellAnchor editAs="oneCell">
    <xdr:from>
      <xdr:col>11</xdr:col>
      <xdr:colOff>352425</xdr:colOff>
      <xdr:row>0</xdr:row>
      <xdr:rowOff>142875</xdr:rowOff>
    </xdr:from>
    <xdr:to>
      <xdr:col>16</xdr:col>
      <xdr:colOff>51435</xdr:colOff>
      <xdr:row>3</xdr:row>
      <xdr:rowOff>89288</xdr:rowOff>
    </xdr:to>
    <xdr:pic>
      <xdr:nvPicPr>
        <xdr:cNvPr id="9" name="Bilde 7">
          <a:extLst>
            <a:ext uri="{FF2B5EF4-FFF2-40B4-BE49-F238E27FC236}">
              <a16:creationId xmlns:a16="http://schemas.microsoft.com/office/drawing/2014/main" id="{2E416739-5696-4333-80A2-9773A284A95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038975" y="142875"/>
          <a:ext cx="2823210" cy="670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39</xdr:row>
      <xdr:rowOff>706840</xdr:rowOff>
    </xdr:from>
    <xdr:to>
      <xdr:col>2</xdr:col>
      <xdr:colOff>2404110</xdr:colOff>
      <xdr:row>40</xdr:row>
      <xdr:rowOff>411395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0" y="8298265"/>
          <a:ext cx="2373630" cy="510370"/>
        </a:xfrm>
        <a:prstGeom prst="rect">
          <a:avLst/>
        </a:prstGeom>
      </xdr:spPr>
    </xdr:pic>
    <xdr:clientData/>
  </xdr:twoCellAnchor>
  <xdr:twoCellAnchor>
    <xdr:from>
      <xdr:col>2</xdr:col>
      <xdr:colOff>3390900</xdr:colOff>
      <xdr:row>52</xdr:row>
      <xdr:rowOff>180975</xdr:rowOff>
    </xdr:from>
    <xdr:to>
      <xdr:col>4</xdr:col>
      <xdr:colOff>19050</xdr:colOff>
      <xdr:row>54</xdr:row>
      <xdr:rowOff>57150</xdr:rowOff>
    </xdr:to>
    <xdr:sp macro="" textlink="">
      <xdr:nvSpPr>
        <xdr:cNvPr id="6" name="TextBox 5">
          <a:extLst>
            <a:ext uri="{FF2B5EF4-FFF2-40B4-BE49-F238E27FC236}">
              <a16:creationId xmlns:a16="http://schemas.microsoft.com/office/drawing/2014/main" id="{A26ADC79-7EC8-47E4-B5D3-1CCBDADB2BE3}"/>
            </a:ext>
          </a:extLst>
        </xdr:cNvPr>
        <xdr:cNvSpPr txBox="1"/>
      </xdr:nvSpPr>
      <xdr:spPr>
        <a:xfrm>
          <a:off x="6096000" y="13611225"/>
          <a:ext cx="9906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nb-NO" sz="1100">
              <a:solidFill>
                <a:sysClr val="windowText" lastClr="000000"/>
              </a:solidFill>
            </a:rPr>
            <a:t>Tool date:</a:t>
          </a:r>
        </a:p>
      </xdr:txBody>
    </xdr:sp>
    <xdr:clientData/>
  </xdr:twoCellAnchor>
  <xdr:twoCellAnchor editAs="oneCell">
    <xdr:from>
      <xdr:col>5</xdr:col>
      <xdr:colOff>981075</xdr:colOff>
      <xdr:row>0</xdr:row>
      <xdr:rowOff>123825</xdr:rowOff>
    </xdr:from>
    <xdr:to>
      <xdr:col>6</xdr:col>
      <xdr:colOff>34290</xdr:colOff>
      <xdr:row>2</xdr:row>
      <xdr:rowOff>72143</xdr:rowOff>
    </xdr:to>
    <xdr:pic>
      <xdr:nvPicPr>
        <xdr:cNvPr id="5" name="Bilde 6">
          <a:extLst>
            <a:ext uri="{FF2B5EF4-FFF2-40B4-BE49-F238E27FC236}">
              <a16:creationId xmlns:a16="http://schemas.microsoft.com/office/drawing/2014/main" id="{D6381F30-8EEF-46F6-8E0F-07F579C38F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59000" y="123825"/>
          <a:ext cx="2815590" cy="670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19050</xdr:colOff>
      <xdr:row>0</xdr:row>
      <xdr:rowOff>38100</xdr:rowOff>
    </xdr:from>
    <xdr:to>
      <xdr:col>23</xdr:col>
      <xdr:colOff>346710</xdr:colOff>
      <xdr:row>1</xdr:row>
      <xdr:rowOff>75953</xdr:rowOff>
    </xdr:to>
    <xdr:pic>
      <xdr:nvPicPr>
        <xdr:cNvPr id="3" name="Bilde 2">
          <a:extLst>
            <a:ext uri="{FF2B5EF4-FFF2-40B4-BE49-F238E27FC236}">
              <a16:creationId xmlns:a16="http://schemas.microsoft.com/office/drawing/2014/main" id="{D95C09B3-24AB-4E08-9EEA-97C0984520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799"/>
        <a:stretch/>
      </xdr:blipFill>
      <xdr:spPr>
        <a:xfrm>
          <a:off x="14887575" y="38100"/>
          <a:ext cx="2832735" cy="5712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8967</xdr:colOff>
      <xdr:row>13</xdr:row>
      <xdr:rowOff>96932</xdr:rowOff>
    </xdr:from>
    <xdr:to>
      <xdr:col>7</xdr:col>
      <xdr:colOff>428625</xdr:colOff>
      <xdr:row>30</xdr:row>
      <xdr:rowOff>141755</xdr:rowOff>
    </xdr:to>
    <xdr:graphicFrame macro="">
      <xdr:nvGraphicFramePr>
        <xdr:cNvPr id="6" name="Chart 4">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485775</xdr:colOff>
      <xdr:row>13</xdr:row>
      <xdr:rowOff>96929</xdr:rowOff>
    </xdr:from>
    <xdr:to>
      <xdr:col>14</xdr:col>
      <xdr:colOff>30257</xdr:colOff>
      <xdr:row>30</xdr:row>
      <xdr:rowOff>169208</xdr:rowOff>
    </xdr:to>
    <xdr:graphicFrame macro="">
      <xdr:nvGraphicFramePr>
        <xdr:cNvPr id="8" name="Chart 4">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438150</xdr:colOff>
      <xdr:row>26</xdr:row>
      <xdr:rowOff>9525</xdr:rowOff>
    </xdr:from>
    <xdr:to>
      <xdr:col>8</xdr:col>
      <xdr:colOff>714375</xdr:colOff>
      <xdr:row>27</xdr:row>
      <xdr:rowOff>47625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715000" y="5638800"/>
          <a:ext cx="10096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Unclassified</a:t>
          </a:r>
        </a:p>
      </xdr:txBody>
    </xdr:sp>
    <xdr:clientData/>
  </xdr:twoCellAnchor>
  <xdr:twoCellAnchor>
    <xdr:from>
      <xdr:col>8</xdr:col>
      <xdr:colOff>66675</xdr:colOff>
      <xdr:row>23</xdr:row>
      <xdr:rowOff>76199</xdr:rowOff>
    </xdr:from>
    <xdr:to>
      <xdr:col>8</xdr:col>
      <xdr:colOff>542925</xdr:colOff>
      <xdr:row>24</xdr:row>
      <xdr:rowOff>142874</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6076950" y="5133974"/>
          <a:ext cx="4762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Pass</a:t>
          </a:r>
        </a:p>
      </xdr:txBody>
    </xdr:sp>
    <xdr:clientData/>
  </xdr:twoCellAnchor>
  <xdr:twoCellAnchor>
    <xdr:from>
      <xdr:col>8</xdr:col>
      <xdr:colOff>38100</xdr:colOff>
      <xdr:row>20</xdr:row>
      <xdr:rowOff>190499</xdr:rowOff>
    </xdr:from>
    <xdr:to>
      <xdr:col>8</xdr:col>
      <xdr:colOff>523875</xdr:colOff>
      <xdr:row>22</xdr:row>
      <xdr:rowOff>66674</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048375" y="4676774"/>
          <a:ext cx="485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Good</a:t>
          </a:r>
        </a:p>
      </xdr:txBody>
    </xdr:sp>
    <xdr:clientData/>
  </xdr:twoCellAnchor>
  <xdr:twoCellAnchor>
    <xdr:from>
      <xdr:col>7</xdr:col>
      <xdr:colOff>523875</xdr:colOff>
      <xdr:row>18</xdr:row>
      <xdr:rowOff>85725</xdr:rowOff>
    </xdr:from>
    <xdr:to>
      <xdr:col>8</xdr:col>
      <xdr:colOff>561975</xdr:colOff>
      <xdr:row>19</xdr:row>
      <xdr:rowOff>180975</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5800725" y="4191000"/>
          <a:ext cx="771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Very Good</a:t>
          </a:r>
        </a:p>
      </xdr:txBody>
    </xdr:sp>
    <xdr:clientData/>
  </xdr:twoCellAnchor>
  <xdr:twoCellAnchor>
    <xdr:from>
      <xdr:col>7</xdr:col>
      <xdr:colOff>600075</xdr:colOff>
      <xdr:row>16</xdr:row>
      <xdr:rowOff>9525</xdr:rowOff>
    </xdr:from>
    <xdr:to>
      <xdr:col>8</xdr:col>
      <xdr:colOff>542925</xdr:colOff>
      <xdr:row>17</xdr:row>
      <xdr:rowOff>66675</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5876925" y="3733800"/>
          <a:ext cx="676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Excellent</a:t>
          </a:r>
        </a:p>
      </xdr:txBody>
    </xdr:sp>
    <xdr:clientData/>
  </xdr:twoCellAnchor>
  <xdr:twoCellAnchor>
    <xdr:from>
      <xdr:col>7</xdr:col>
      <xdr:colOff>447675</xdr:colOff>
      <xdr:row>13</xdr:row>
      <xdr:rowOff>95250</xdr:rowOff>
    </xdr:from>
    <xdr:to>
      <xdr:col>8</xdr:col>
      <xdr:colOff>723900</xdr:colOff>
      <xdr:row>14</xdr:row>
      <xdr:rowOff>133350</xdr:rowOff>
    </xdr:to>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5724525" y="3248025"/>
          <a:ext cx="10096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Outstanding</a:t>
          </a:r>
        </a:p>
      </xdr:txBody>
    </xdr:sp>
    <xdr:clientData/>
  </xdr:twoCellAnchor>
  <xdr:twoCellAnchor editAs="oneCell">
    <xdr:from>
      <xdr:col>11</xdr:col>
      <xdr:colOff>266700</xdr:colOff>
      <xdr:row>0</xdr:row>
      <xdr:rowOff>133350</xdr:rowOff>
    </xdr:from>
    <xdr:to>
      <xdr:col>14</xdr:col>
      <xdr:colOff>34290</xdr:colOff>
      <xdr:row>2</xdr:row>
      <xdr:rowOff>79763</xdr:rowOff>
    </xdr:to>
    <xdr:pic>
      <xdr:nvPicPr>
        <xdr:cNvPr id="14" name="Bilde 14">
          <a:extLst>
            <a:ext uri="{FF2B5EF4-FFF2-40B4-BE49-F238E27FC236}">
              <a16:creationId xmlns:a16="http://schemas.microsoft.com/office/drawing/2014/main" id="{1C2864DC-DD23-4B28-9CDE-E141AEDE13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7300" y="133350"/>
          <a:ext cx="2834640" cy="6703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0</xdr:colOff>
      <xdr:row>0</xdr:row>
      <xdr:rowOff>19050</xdr:rowOff>
    </xdr:from>
    <xdr:to>
      <xdr:col>21</xdr:col>
      <xdr:colOff>1922145</xdr:colOff>
      <xdr:row>1</xdr:row>
      <xdr:rowOff>72143</xdr:rowOff>
    </xdr:to>
    <xdr:pic>
      <xdr:nvPicPr>
        <xdr:cNvPr id="3" name="Bilde 3">
          <a:extLst>
            <a:ext uri="{FF2B5EF4-FFF2-40B4-BE49-F238E27FC236}">
              <a16:creationId xmlns:a16="http://schemas.microsoft.com/office/drawing/2014/main" id="{5E8C092E-9A9A-47F0-A1C5-F1236DAD70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98"/>
        <a:stretch/>
      </xdr:blipFill>
      <xdr:spPr>
        <a:xfrm>
          <a:off x="14373225" y="19050"/>
          <a:ext cx="2846070" cy="5864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247650</xdr:colOff>
      <xdr:row>0</xdr:row>
      <xdr:rowOff>142875</xdr:rowOff>
    </xdr:from>
    <xdr:to>
      <xdr:col>16</xdr:col>
      <xdr:colOff>41910</xdr:colOff>
      <xdr:row>2</xdr:row>
      <xdr:rowOff>79763</xdr:rowOff>
    </xdr:to>
    <xdr:pic>
      <xdr:nvPicPr>
        <xdr:cNvPr id="4" name="Bilde 2">
          <a:extLst>
            <a:ext uri="{FF2B5EF4-FFF2-40B4-BE49-F238E27FC236}">
              <a16:creationId xmlns:a16="http://schemas.microsoft.com/office/drawing/2014/main" id="{BAD9EE81-3374-42DE-8AFE-1DDEF62D0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6175" y="142875"/>
          <a:ext cx="2846070" cy="662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
  <sheetViews>
    <sheetView showGridLines="0" tabSelected="1" zoomScaleNormal="100" workbookViewId="0">
      <selection activeCell="B7" sqref="B7:P7"/>
    </sheetView>
  </sheetViews>
  <sheetFormatPr defaultColWidth="8.85546875" defaultRowHeight="15" x14ac:dyDescent="0.25"/>
  <cols>
    <col min="1" max="1" width="3.42578125" style="800" customWidth="1"/>
    <col min="2" max="2" width="10.28515625" style="800" customWidth="1"/>
    <col min="3" max="3" width="8.85546875" style="800"/>
    <col min="4" max="4" width="15.7109375" style="800" bestFit="1" customWidth="1"/>
    <col min="5" max="11" width="8.85546875" style="800"/>
    <col min="12" max="12" width="11.42578125" style="800" customWidth="1"/>
    <col min="13" max="16384" width="8.85546875" style="800"/>
  </cols>
  <sheetData>
    <row r="1" spans="1:21" x14ac:dyDescent="0.25">
      <c r="A1" s="799"/>
      <c r="B1" s="799"/>
      <c r="C1" s="799"/>
      <c r="D1" s="799"/>
      <c r="E1" s="799"/>
      <c r="F1" s="799"/>
      <c r="G1" s="799"/>
      <c r="H1" s="799"/>
      <c r="I1" s="799"/>
      <c r="J1" s="799"/>
      <c r="K1" s="799"/>
      <c r="L1" s="799"/>
      <c r="M1" s="799"/>
      <c r="N1" s="799"/>
      <c r="O1" s="799"/>
      <c r="P1" s="799"/>
    </row>
    <row r="2" spans="1:21" ht="21" x14ac:dyDescent="0.25">
      <c r="A2" s="799"/>
      <c r="B2" s="801" t="s">
        <v>327</v>
      </c>
      <c r="C2" s="802"/>
      <c r="D2" s="802"/>
      <c r="E2" s="802"/>
      <c r="F2" s="802"/>
      <c r="G2" s="802"/>
      <c r="H2" s="802"/>
      <c r="I2" s="802"/>
      <c r="J2" s="802"/>
      <c r="K2" s="802"/>
      <c r="L2" s="803"/>
      <c r="M2" s="803"/>
      <c r="N2" s="803"/>
      <c r="O2" s="803"/>
      <c r="P2" s="814" t="str">
        <f>IF('Manuell filtrering og justering'!H2='Manuell filtrering og justering'!I2,"Bespoke","")</f>
        <v/>
      </c>
    </row>
    <row r="3" spans="1:21" ht="21" x14ac:dyDescent="0.25">
      <c r="A3" s="799"/>
      <c r="B3" s="801" t="s">
        <v>5</v>
      </c>
      <c r="C3" s="804" t="str">
        <f>TVC_current_version</f>
        <v>1.08</v>
      </c>
      <c r="D3" s="805">
        <f>TVC_current_date</f>
        <v>43782</v>
      </c>
      <c r="E3" s="802"/>
      <c r="F3" s="802"/>
      <c r="G3" s="802"/>
      <c r="H3" s="802"/>
      <c r="I3" s="802"/>
      <c r="J3" s="802"/>
      <c r="K3" s="802"/>
      <c r="L3" s="803"/>
      <c r="M3" s="803"/>
      <c r="N3" s="803"/>
      <c r="O3" s="803"/>
      <c r="P3" s="803"/>
      <c r="Q3" s="806"/>
      <c r="R3" s="806"/>
    </row>
    <row r="4" spans="1:21" x14ac:dyDescent="0.25">
      <c r="A4" s="807"/>
      <c r="B4" s="808"/>
      <c r="C4" s="807"/>
      <c r="D4" s="807"/>
      <c r="E4" s="807"/>
      <c r="F4" s="807"/>
      <c r="G4" s="807"/>
      <c r="H4" s="807"/>
      <c r="I4" s="807"/>
      <c r="J4" s="807"/>
      <c r="K4" s="807"/>
      <c r="L4" s="807"/>
      <c r="M4" s="807"/>
      <c r="N4" s="807"/>
      <c r="O4" s="807"/>
      <c r="P4" s="807"/>
      <c r="Q4" s="806"/>
      <c r="R4" s="806"/>
      <c r="S4" s="806"/>
      <c r="T4" s="806"/>
      <c r="U4" s="806"/>
    </row>
    <row r="5" spans="1:21" ht="138.75" customHeight="1" x14ac:dyDescent="0.25">
      <c r="A5" s="807"/>
      <c r="B5" s="886" t="s">
        <v>513</v>
      </c>
      <c r="C5" s="887"/>
      <c r="D5" s="887"/>
      <c r="E5" s="887"/>
      <c r="F5" s="887"/>
      <c r="G5" s="887"/>
      <c r="H5" s="887"/>
      <c r="I5" s="887"/>
      <c r="J5" s="887"/>
      <c r="K5" s="887"/>
      <c r="L5" s="887"/>
      <c r="M5" s="887"/>
      <c r="N5" s="887"/>
      <c r="O5" s="887"/>
      <c r="P5" s="887"/>
      <c r="Q5" s="806"/>
      <c r="R5" s="806"/>
      <c r="S5" s="806"/>
      <c r="T5" s="806"/>
      <c r="U5" s="806"/>
    </row>
    <row r="6" spans="1:21" ht="85.5" customHeight="1" x14ac:dyDescent="0.25">
      <c r="A6" s="807"/>
      <c r="B6" s="886" t="s">
        <v>514</v>
      </c>
      <c r="C6" s="887"/>
      <c r="D6" s="887"/>
      <c r="E6" s="887"/>
      <c r="F6" s="887"/>
      <c r="G6" s="887"/>
      <c r="H6" s="887"/>
      <c r="I6" s="887"/>
      <c r="J6" s="887"/>
      <c r="K6" s="887"/>
      <c r="L6" s="887"/>
      <c r="M6" s="887"/>
      <c r="N6" s="887"/>
      <c r="O6" s="887"/>
      <c r="P6" s="887"/>
      <c r="Q6" s="806"/>
      <c r="R6" s="806"/>
      <c r="S6" s="806"/>
      <c r="T6" s="806"/>
      <c r="U6" s="806"/>
    </row>
    <row r="7" spans="1:21" ht="87.75" customHeight="1" x14ac:dyDescent="0.25">
      <c r="A7" s="807"/>
      <c r="B7" s="886" t="s">
        <v>515</v>
      </c>
      <c r="C7" s="887"/>
      <c r="D7" s="887"/>
      <c r="E7" s="887"/>
      <c r="F7" s="887"/>
      <c r="G7" s="887"/>
      <c r="H7" s="887"/>
      <c r="I7" s="887"/>
      <c r="J7" s="887"/>
      <c r="K7" s="887"/>
      <c r="L7" s="887"/>
      <c r="M7" s="887"/>
      <c r="N7" s="887"/>
      <c r="O7" s="887"/>
      <c r="P7" s="887"/>
      <c r="Q7" s="806"/>
      <c r="R7" s="806"/>
      <c r="S7" s="806"/>
      <c r="T7" s="806"/>
      <c r="U7" s="806"/>
    </row>
    <row r="8" spans="1:21" x14ac:dyDescent="0.25">
      <c r="A8" s="807"/>
      <c r="B8" s="807"/>
      <c r="C8" s="807"/>
      <c r="D8" s="807"/>
      <c r="E8" s="807"/>
      <c r="F8" s="807"/>
      <c r="G8" s="807"/>
      <c r="H8" s="807"/>
      <c r="I8" s="807"/>
      <c r="J8" s="807"/>
      <c r="K8" s="807"/>
      <c r="L8" s="807"/>
      <c r="M8" s="807"/>
      <c r="N8" s="807"/>
      <c r="O8" s="807"/>
      <c r="P8" s="808"/>
      <c r="Q8" s="806"/>
      <c r="R8" s="806"/>
      <c r="S8" s="806"/>
      <c r="T8" s="806"/>
      <c r="U8" s="806"/>
    </row>
    <row r="9" spans="1:21" x14ac:dyDescent="0.25">
      <c r="A9" s="807"/>
      <c r="B9" s="810" t="s">
        <v>516</v>
      </c>
      <c r="C9" s="807"/>
      <c r="D9" s="807"/>
      <c r="E9" s="807"/>
      <c r="F9" s="807"/>
      <c r="G9" s="807"/>
      <c r="H9" s="807"/>
      <c r="I9" s="807"/>
      <c r="J9" s="807"/>
      <c r="K9" s="807"/>
      <c r="L9" s="807"/>
      <c r="M9" s="807"/>
      <c r="N9" s="807"/>
      <c r="O9" s="807"/>
      <c r="P9" s="807"/>
      <c r="Q9" s="806"/>
      <c r="R9" s="806"/>
      <c r="S9" s="806"/>
      <c r="T9" s="806"/>
      <c r="U9" s="806"/>
    </row>
    <row r="10" spans="1:21" x14ac:dyDescent="0.25">
      <c r="A10" s="807"/>
      <c r="B10" s="807"/>
      <c r="C10" s="807"/>
      <c r="D10" s="807"/>
      <c r="E10" s="807"/>
      <c r="F10" s="807"/>
      <c r="G10" s="807"/>
      <c r="H10" s="807"/>
      <c r="I10" s="807"/>
      <c r="J10" s="807"/>
      <c r="K10" s="807"/>
      <c r="L10" s="807"/>
      <c r="M10" s="807"/>
      <c r="N10" s="807"/>
      <c r="O10" s="807"/>
      <c r="P10" s="807"/>
      <c r="Q10" s="806"/>
      <c r="R10" s="806"/>
      <c r="S10" s="806"/>
      <c r="T10" s="806"/>
      <c r="U10" s="806"/>
    </row>
    <row r="11" spans="1:21" x14ac:dyDescent="0.25">
      <c r="A11" s="807"/>
      <c r="B11" s="807"/>
      <c r="C11" s="807"/>
      <c r="D11" s="807"/>
      <c r="E11" s="807"/>
      <c r="F11" s="807"/>
      <c r="G11" s="807"/>
      <c r="H11" s="807"/>
      <c r="I11" s="807"/>
      <c r="J11" s="807"/>
      <c r="K11" s="807"/>
      <c r="L11" s="807"/>
      <c r="M11" s="807"/>
      <c r="N11" s="807"/>
      <c r="O11" s="807"/>
      <c r="P11" s="807"/>
      <c r="Q11" s="806"/>
      <c r="R11" s="806"/>
      <c r="S11" s="806"/>
      <c r="T11" s="806"/>
      <c r="U11" s="806"/>
    </row>
    <row r="12" spans="1:21" x14ac:dyDescent="0.25">
      <c r="A12" s="807"/>
      <c r="B12" s="807"/>
      <c r="C12" s="807"/>
      <c r="D12" s="807"/>
      <c r="E12" s="807"/>
      <c r="F12" s="807"/>
      <c r="G12" s="807"/>
      <c r="H12" s="807"/>
      <c r="I12" s="807"/>
      <c r="J12" s="807"/>
      <c r="K12" s="807"/>
      <c r="L12" s="807"/>
      <c r="M12" s="807"/>
      <c r="N12" s="807"/>
      <c r="O12" s="807"/>
      <c r="P12" s="807"/>
      <c r="Q12" s="806"/>
      <c r="R12" s="806"/>
      <c r="S12" s="806"/>
      <c r="T12" s="806"/>
      <c r="U12" s="806"/>
    </row>
    <row r="13" spans="1:21" x14ac:dyDescent="0.25">
      <c r="A13" s="807"/>
      <c r="B13" s="807"/>
      <c r="C13" s="807"/>
      <c r="D13" s="807"/>
      <c r="E13" s="807"/>
      <c r="F13" s="807"/>
      <c r="G13" s="807"/>
      <c r="H13" s="807"/>
      <c r="I13" s="807"/>
      <c r="J13" s="807"/>
      <c r="K13" s="807"/>
      <c r="L13" s="807"/>
      <c r="M13" s="807"/>
      <c r="N13" s="807"/>
      <c r="O13" s="807"/>
      <c r="P13" s="807"/>
      <c r="Q13" s="806"/>
      <c r="R13" s="806"/>
      <c r="S13" s="806"/>
      <c r="T13" s="806"/>
      <c r="U13" s="806"/>
    </row>
    <row r="14" spans="1:21" x14ac:dyDescent="0.25">
      <c r="A14" s="807"/>
      <c r="B14" s="807"/>
      <c r="C14" s="807"/>
      <c r="D14" s="807"/>
      <c r="E14" s="807"/>
      <c r="F14" s="807"/>
      <c r="G14" s="807"/>
      <c r="H14" s="807"/>
      <c r="I14" s="807"/>
      <c r="J14" s="807"/>
      <c r="K14" s="807"/>
      <c r="L14" s="807"/>
      <c r="M14" s="807"/>
      <c r="N14" s="807"/>
      <c r="O14" s="807"/>
      <c r="P14" s="807"/>
      <c r="Q14" s="806"/>
      <c r="R14" s="806"/>
      <c r="S14" s="806"/>
      <c r="T14" s="806"/>
      <c r="U14" s="806"/>
    </row>
    <row r="15" spans="1:21" x14ac:dyDescent="0.25">
      <c r="A15" s="807"/>
      <c r="B15" s="807"/>
      <c r="C15" s="807"/>
      <c r="D15" s="807"/>
      <c r="E15" s="807"/>
      <c r="F15" s="807"/>
      <c r="G15" s="807"/>
      <c r="H15" s="807"/>
      <c r="I15" s="807"/>
      <c r="J15" s="807"/>
      <c r="K15" s="807"/>
      <c r="L15" s="807"/>
      <c r="M15" s="807"/>
      <c r="N15" s="807"/>
      <c r="O15" s="807"/>
      <c r="P15" s="807"/>
      <c r="Q15" s="806"/>
      <c r="R15" s="806"/>
      <c r="S15" s="806"/>
      <c r="T15" s="806"/>
      <c r="U15" s="806"/>
    </row>
    <row r="16" spans="1:21" x14ac:dyDescent="0.25">
      <c r="A16" s="807"/>
      <c r="B16" s="807"/>
      <c r="C16" s="807"/>
      <c r="D16" s="807"/>
      <c r="E16" s="807"/>
      <c r="F16" s="807"/>
      <c r="G16" s="807"/>
      <c r="H16" s="807"/>
      <c r="I16" s="807"/>
      <c r="J16" s="807"/>
      <c r="K16" s="807"/>
      <c r="L16" s="807"/>
      <c r="M16" s="807"/>
      <c r="N16" s="807"/>
      <c r="O16" s="807"/>
      <c r="P16" s="807"/>
      <c r="Q16" s="806"/>
      <c r="R16" s="806"/>
      <c r="S16" s="806"/>
      <c r="T16" s="806"/>
      <c r="U16" s="806"/>
    </row>
    <row r="17" spans="1:21" x14ac:dyDescent="0.25">
      <c r="A17" s="807"/>
      <c r="B17" s="807"/>
      <c r="C17" s="807"/>
      <c r="D17" s="807"/>
      <c r="E17" s="807"/>
      <c r="F17" s="807"/>
      <c r="G17" s="807"/>
      <c r="H17" s="807"/>
      <c r="I17" s="809"/>
      <c r="J17" s="807"/>
      <c r="K17" s="807"/>
      <c r="L17" s="807"/>
      <c r="M17" s="807"/>
      <c r="N17" s="807"/>
      <c r="O17" s="807"/>
      <c r="P17" s="807"/>
      <c r="Q17" s="806"/>
      <c r="R17" s="806"/>
      <c r="S17" s="806"/>
      <c r="T17" s="806"/>
      <c r="U17" s="806"/>
    </row>
    <row r="18" spans="1:21" x14ac:dyDescent="0.25">
      <c r="A18" s="806"/>
      <c r="B18" s="806"/>
      <c r="C18" s="806"/>
      <c r="D18" s="806"/>
      <c r="E18" s="806"/>
      <c r="F18" s="806"/>
      <c r="G18" s="806"/>
      <c r="H18" s="806"/>
      <c r="I18" s="806"/>
      <c r="J18" s="806"/>
      <c r="K18" s="806"/>
      <c r="L18" s="806"/>
      <c r="M18" s="806"/>
      <c r="N18" s="806"/>
      <c r="O18" s="806"/>
      <c r="P18" s="806"/>
      <c r="Q18" s="806"/>
      <c r="R18" s="806"/>
      <c r="S18" s="806"/>
      <c r="T18" s="806"/>
      <c r="U18" s="806"/>
    </row>
  </sheetData>
  <sheetProtection algorithmName="SHA-512" hashValue="GPBrjYqZCmsAigFqZ1t1iaBuRWAvZW0Us5FlRHDIa4HZbiEWrE3Kfp9FDuOkcDaEUzNhh8MC/KreL8nda4hW1w==" saltValue="9KmlXVqEC2HmSKVo99n1UA==" spinCount="100000" sheet="1" objects="1" scenarios="1"/>
  <mergeCells count="3">
    <mergeCell ref="B5:P5"/>
    <mergeCell ref="B6:P6"/>
    <mergeCell ref="B7:P7"/>
  </mergeCells>
  <pageMargins left="0.70866141732283472" right="0.70866141732283472" top="0.74803149606299213" bottom="0.74803149606299213" header="0.31496062992125984" footer="0.31496062992125984"/>
  <pageSetup paperSize="9" scale="91" fitToHeight="0" orientation="landscape" r:id="rId1"/>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E21" sqref="E21"/>
    </sheetView>
  </sheetViews>
  <sheetFormatPr defaultColWidth="8.855468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J17" sqref="J17"/>
    </sheetView>
  </sheetViews>
  <sheetFormatPr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U186"/>
  <sheetViews>
    <sheetView showGridLines="0" zoomScaleNormal="100" zoomScalePageLayoutView="90" workbookViewId="0">
      <pane ySplit="3" topLeftCell="A4" activePane="bottomLeft" state="frozen"/>
      <selection activeCell="E21" sqref="E21"/>
      <selection pane="bottomLeft" activeCell="C16" sqref="C16"/>
    </sheetView>
  </sheetViews>
  <sheetFormatPr defaultColWidth="9.140625" defaultRowHeight="15" x14ac:dyDescent="0.25"/>
  <cols>
    <col min="1" max="1" width="2.7109375" style="665" customWidth="1"/>
    <col min="2" max="2" width="37.85546875" style="665" customWidth="1"/>
    <col min="3" max="3" width="59.85546875" style="665" customWidth="1"/>
    <col min="4" max="4" width="5.5703125" style="665" customWidth="1"/>
    <col min="5" max="5" width="102.140625" style="665" customWidth="1"/>
    <col min="6" max="6" width="56.5703125" style="665" customWidth="1"/>
    <col min="7" max="7" width="7.28515625" style="665" customWidth="1"/>
    <col min="8" max="9" width="17" style="665" hidden="1" customWidth="1"/>
    <col min="10" max="10" width="30.85546875" style="665" hidden="1" customWidth="1"/>
    <col min="11" max="11" width="16.5703125" style="665" hidden="1" customWidth="1"/>
    <col min="12" max="12" width="60.140625" style="665" hidden="1" customWidth="1"/>
    <col min="13" max="13" width="6.140625" style="665" hidden="1" customWidth="1"/>
    <col min="14" max="14" width="74.7109375" style="665" hidden="1" customWidth="1"/>
    <col min="15" max="15" width="30.28515625" style="665" hidden="1" customWidth="1"/>
    <col min="16" max="16" width="41.140625" style="665" hidden="1" customWidth="1"/>
    <col min="17" max="17" width="32" style="665" hidden="1" customWidth="1"/>
    <col min="18" max="19" width="31.140625" style="665" hidden="1" customWidth="1"/>
    <col min="20" max="20" width="11.42578125" style="665" hidden="1" customWidth="1"/>
    <col min="21" max="21" width="9.140625" style="665" hidden="1" customWidth="1"/>
    <col min="22" max="22" width="9.140625" style="665" customWidth="1"/>
    <col min="23" max="16384" width="9.140625" style="665"/>
  </cols>
  <sheetData>
    <row r="1" spans="2:21" s="1" customFormat="1" x14ac:dyDescent="0.25">
      <c r="B1" s="552"/>
      <c r="C1" s="552"/>
      <c r="E1" s="2"/>
      <c r="G1" s="665"/>
      <c r="L1" s="17"/>
      <c r="M1" s="17"/>
      <c r="N1" s="17"/>
      <c r="O1" s="17"/>
      <c r="P1" s="17"/>
      <c r="Q1" s="17"/>
      <c r="R1" s="17"/>
      <c r="S1" s="17"/>
    </row>
    <row r="2" spans="2:21" s="1" customFormat="1" ht="42" customHeight="1" x14ac:dyDescent="0.25">
      <c r="B2" s="666" t="s">
        <v>326</v>
      </c>
      <c r="C2" s="667"/>
      <c r="D2" s="667"/>
      <c r="E2" s="667"/>
      <c r="F2" s="815" t="str">
        <f>IF('Manuell filtrering og justering'!H2='Manuell filtrering og justering'!I2,"Bespoke","")</f>
        <v/>
      </c>
      <c r="G2" s="665"/>
      <c r="L2" s="17"/>
      <c r="M2" s="17"/>
      <c r="N2" s="17"/>
      <c r="O2" s="17"/>
      <c r="P2" s="17"/>
      <c r="Q2" s="17"/>
      <c r="R2" s="17"/>
      <c r="S2" s="17"/>
    </row>
    <row r="3" spans="2:21" s="1" customFormat="1" x14ac:dyDescent="0.25">
      <c r="B3" s="668"/>
      <c r="C3" s="668"/>
      <c r="E3" s="2"/>
      <c r="F3" s="669"/>
      <c r="G3" s="665"/>
      <c r="L3" s="17"/>
      <c r="M3" s="17"/>
      <c r="N3" s="17"/>
      <c r="O3" s="17"/>
      <c r="P3" s="17"/>
      <c r="Q3" s="17"/>
      <c r="R3" s="17"/>
      <c r="S3" s="17"/>
    </row>
    <row r="4" spans="2:21" s="1" customFormat="1" ht="18.75" x14ac:dyDescent="0.3">
      <c r="B4" s="670" t="s">
        <v>51</v>
      </c>
      <c r="C4" s="7"/>
      <c r="E4" s="670" t="s">
        <v>21</v>
      </c>
      <c r="F4" s="670"/>
      <c r="G4" s="665"/>
      <c r="I4" s="12"/>
      <c r="J4" s="12"/>
      <c r="K4" s="12"/>
      <c r="L4" s="17"/>
      <c r="M4" s="17"/>
      <c r="N4" s="17"/>
      <c r="O4" s="17"/>
      <c r="P4" s="17"/>
      <c r="Q4" s="17"/>
      <c r="R4" s="17"/>
      <c r="S4" s="17"/>
    </row>
    <row r="5" spans="2:21" s="1" customFormat="1" ht="15.75" x14ac:dyDescent="0.25">
      <c r="B5" s="671" t="s">
        <v>17</v>
      </c>
      <c r="C5" s="787"/>
      <c r="D5" s="665"/>
      <c r="E5" s="673" t="s">
        <v>56</v>
      </c>
      <c r="F5" s="672" t="s">
        <v>31</v>
      </c>
      <c r="G5" s="665"/>
      <c r="H5" s="665"/>
      <c r="I5" s="40"/>
      <c r="J5" s="99" t="str">
        <f>IF('Manuell filtrering og justering'!H2='Manuell filtrering og justering'!I2,'Manuell filtrering og justering'!G2,"Industrial")</f>
        <v>Industrial</v>
      </c>
      <c r="K5" s="12"/>
      <c r="L5" s="99" t="str">
        <f t="shared" ref="L5:L13" si="0">IF(HLOOKUP(ADBT0,$O$5:$T$14,U6,FALSE)=0,"",HLOOKUP(ADBT0,$O$5:$T$14,U6,FALSE))</f>
        <v>General office building</v>
      </c>
      <c r="M5" s="17"/>
      <c r="N5" s="99" t="s">
        <v>45</v>
      </c>
      <c r="O5" s="97" t="s">
        <v>32</v>
      </c>
      <c r="P5" s="97" t="s">
        <v>31</v>
      </c>
      <c r="Q5" s="97" t="s">
        <v>33</v>
      </c>
      <c r="R5" s="97" t="s">
        <v>34</v>
      </c>
      <c r="S5" s="97" t="s">
        <v>10</v>
      </c>
      <c r="T5" s="97" t="s">
        <v>405</v>
      </c>
      <c r="U5" s="1">
        <v>1</v>
      </c>
    </row>
    <row r="6" spans="2:21" s="1" customFormat="1" ht="15.75" x14ac:dyDescent="0.25">
      <c r="B6" s="674" t="s">
        <v>18</v>
      </c>
      <c r="C6" s="787"/>
      <c r="D6" s="665"/>
      <c r="E6" s="675" t="s">
        <v>24</v>
      </c>
      <c r="F6" s="676" t="s">
        <v>371</v>
      </c>
      <c r="G6" s="665"/>
      <c r="H6" s="665"/>
      <c r="I6" s="40"/>
      <c r="J6" s="99" t="str">
        <f>IF('Manuell filtrering og justering'!H2='Manuell filtrering og justering'!I2,"","Office")</f>
        <v>Office</v>
      </c>
      <c r="K6" s="12"/>
      <c r="L6" s="99" t="str">
        <f t="shared" si="0"/>
        <v>Office with research and development areas</v>
      </c>
      <c r="M6" s="17"/>
      <c r="N6" s="17"/>
      <c r="O6" s="17" t="s">
        <v>370</v>
      </c>
      <c r="P6" s="17" t="s">
        <v>371</v>
      </c>
      <c r="Q6" s="17" t="s">
        <v>377</v>
      </c>
      <c r="R6" s="1" t="s">
        <v>400</v>
      </c>
      <c r="S6" s="1" t="s">
        <v>381</v>
      </c>
      <c r="T6" s="17" t="s">
        <v>405</v>
      </c>
      <c r="U6" s="1">
        <v>2</v>
      </c>
    </row>
    <row r="7" spans="2:21" s="1" customFormat="1" ht="15.75" x14ac:dyDescent="0.25">
      <c r="B7" s="674" t="s">
        <v>19</v>
      </c>
      <c r="C7" s="787"/>
      <c r="D7" s="665"/>
      <c r="E7" s="675" t="s">
        <v>25</v>
      </c>
      <c r="F7" s="676" t="s">
        <v>38</v>
      </c>
      <c r="G7" s="665"/>
      <c r="H7" s="665"/>
      <c r="I7" s="40"/>
      <c r="J7" s="99" t="str">
        <f>IF('Manuell filtrering og justering'!H2='Manuell filtrering og justering'!I2,"","Retail")</f>
        <v>Retail</v>
      </c>
      <c r="K7" s="12"/>
      <c r="L7" s="99" t="str">
        <f t="shared" si="0"/>
        <v/>
      </c>
      <c r="M7" s="17"/>
      <c r="N7" s="17"/>
      <c r="O7" s="17" t="s">
        <v>368</v>
      </c>
      <c r="P7" s="1" t="s">
        <v>372</v>
      </c>
      <c r="Q7" s="17" t="s">
        <v>378</v>
      </c>
      <c r="R7" s="1" t="s">
        <v>401</v>
      </c>
      <c r="S7" s="1" t="s">
        <v>382</v>
      </c>
      <c r="U7" s="1">
        <v>3</v>
      </c>
    </row>
    <row r="8" spans="2:21" s="1" customFormat="1" ht="15.75" x14ac:dyDescent="0.25">
      <c r="B8" s="674" t="s">
        <v>20</v>
      </c>
      <c r="C8" s="787"/>
      <c r="D8" s="665"/>
      <c r="E8" s="675" t="s">
        <v>26</v>
      </c>
      <c r="F8" s="676" t="s">
        <v>87</v>
      </c>
      <c r="G8" s="665"/>
      <c r="H8" s="665"/>
      <c r="I8" s="40"/>
      <c r="J8" s="99" t="str">
        <f>IF('Manuell filtrering og justering'!H2='Manuell filtrering og justering'!I2,"","Education")</f>
        <v>Education</v>
      </c>
      <c r="K8" s="12"/>
      <c r="L8" s="99" t="str">
        <f t="shared" si="0"/>
        <v/>
      </c>
      <c r="M8" s="17"/>
      <c r="N8" s="25" t="s">
        <v>367</v>
      </c>
      <c r="O8" s="1" t="s">
        <v>369</v>
      </c>
      <c r="Q8" s="17" t="s">
        <v>376</v>
      </c>
      <c r="S8" s="1" t="s">
        <v>380</v>
      </c>
      <c r="T8" s="17"/>
      <c r="U8" s="1">
        <v>4</v>
      </c>
    </row>
    <row r="9" spans="2:21" s="1" customFormat="1" ht="15.75" x14ac:dyDescent="0.25">
      <c r="B9" s="674" t="s">
        <v>44</v>
      </c>
      <c r="C9" s="787"/>
      <c r="D9" s="665"/>
      <c r="E9" s="675" t="s">
        <v>365</v>
      </c>
      <c r="F9" s="677" t="s">
        <v>45</v>
      </c>
      <c r="G9" s="665"/>
      <c r="H9" s="665"/>
      <c r="I9" s="40"/>
      <c r="J9" s="99" t="str">
        <f>IF('Manuell filtrering og justering'!H2='Manuell filtrering og justering'!I2,"","Residential")</f>
        <v>Residential</v>
      </c>
      <c r="K9" s="12"/>
      <c r="L9" s="99" t="str">
        <f t="shared" si="0"/>
        <v/>
      </c>
      <c r="M9" s="17"/>
      <c r="N9" s="17"/>
      <c r="Q9" s="1" t="s">
        <v>384</v>
      </c>
      <c r="U9" s="1">
        <v>5</v>
      </c>
    </row>
    <row r="10" spans="2:21" s="1" customFormat="1" ht="15.75" x14ac:dyDescent="0.25">
      <c r="B10" s="678" t="s">
        <v>213</v>
      </c>
      <c r="C10" s="787"/>
      <c r="D10" s="665"/>
      <c r="E10" s="679" t="s">
        <v>366</v>
      </c>
      <c r="F10" s="677" t="s">
        <v>367</v>
      </c>
      <c r="G10" s="665"/>
      <c r="H10" s="665"/>
      <c r="I10" s="40"/>
      <c r="J10" s="12"/>
      <c r="K10" s="12"/>
      <c r="L10" s="99" t="str">
        <f t="shared" si="0"/>
        <v/>
      </c>
      <c r="M10" s="17"/>
      <c r="N10" s="17"/>
      <c r="Q10" s="1" t="s">
        <v>379</v>
      </c>
      <c r="U10" s="1">
        <v>6</v>
      </c>
    </row>
    <row r="11" spans="2:21" s="1" customFormat="1" ht="15.75" x14ac:dyDescent="0.25">
      <c r="C11" s="107"/>
      <c r="E11" s="680"/>
      <c r="F11" s="311"/>
      <c r="G11" s="665"/>
      <c r="H11" s="665"/>
      <c r="I11" s="40"/>
      <c r="J11" s="12"/>
      <c r="K11" s="12"/>
      <c r="L11" s="99" t="str">
        <f t="shared" si="0"/>
        <v/>
      </c>
      <c r="M11" s="17"/>
      <c r="N11" s="99" t="s">
        <v>38</v>
      </c>
      <c r="Q11" s="17" t="s">
        <v>375</v>
      </c>
      <c r="U11" s="1">
        <v>7</v>
      </c>
    </row>
    <row r="12" spans="2:21" s="1" customFormat="1" ht="15" customHeight="1" x14ac:dyDescent="0.3">
      <c r="B12" s="670" t="s">
        <v>21</v>
      </c>
      <c r="C12" s="788"/>
      <c r="E12" s="681" t="s">
        <v>338</v>
      </c>
      <c r="F12" s="789"/>
      <c r="G12" s="665"/>
      <c r="H12" s="665"/>
      <c r="I12" s="40"/>
      <c r="J12" s="12"/>
      <c r="K12" s="12"/>
      <c r="L12" s="99" t="str">
        <f t="shared" si="0"/>
        <v/>
      </c>
      <c r="M12" s="17"/>
      <c r="N12" s="99" t="s">
        <v>36</v>
      </c>
      <c r="Q12" s="17" t="s">
        <v>373</v>
      </c>
      <c r="R12" s="17"/>
      <c r="S12" s="17"/>
      <c r="U12" s="1">
        <v>8</v>
      </c>
    </row>
    <row r="13" spans="2:21" s="1" customFormat="1" ht="17.25" x14ac:dyDescent="0.25">
      <c r="B13" s="671" t="s">
        <v>22</v>
      </c>
      <c r="C13" s="789"/>
      <c r="E13" s="674" t="s">
        <v>337</v>
      </c>
      <c r="F13" s="789"/>
      <c r="G13" s="665"/>
      <c r="H13" s="665"/>
      <c r="I13" s="40"/>
      <c r="K13" s="12"/>
      <c r="L13" s="99" t="str">
        <f t="shared" si="0"/>
        <v/>
      </c>
      <c r="M13" s="17"/>
      <c r="N13" s="99" t="s">
        <v>39</v>
      </c>
      <c r="Q13" s="17" t="s">
        <v>374</v>
      </c>
      <c r="R13" s="17"/>
      <c r="S13" s="17"/>
      <c r="U13" s="1">
        <v>9</v>
      </c>
    </row>
    <row r="14" spans="2:21" s="1" customFormat="1" ht="17.25" x14ac:dyDescent="0.25">
      <c r="B14" s="682" t="s">
        <v>23</v>
      </c>
      <c r="C14" s="790"/>
      <c r="E14" s="678" t="s">
        <v>339</v>
      </c>
      <c r="F14" s="789"/>
      <c r="G14" s="665"/>
      <c r="H14" s="665"/>
      <c r="I14" s="40"/>
      <c r="K14" s="12"/>
      <c r="L14" s="665"/>
      <c r="M14" s="17"/>
      <c r="N14" s="99" t="s">
        <v>37</v>
      </c>
      <c r="Q14" s="17" t="s">
        <v>383</v>
      </c>
      <c r="R14" s="17"/>
      <c r="S14" s="17"/>
      <c r="U14" s="1">
        <v>10</v>
      </c>
    </row>
    <row r="15" spans="2:21" s="1" customFormat="1" ht="16.5" customHeight="1" x14ac:dyDescent="0.25">
      <c r="B15" s="683"/>
      <c r="C15" s="791"/>
      <c r="E15" s="685"/>
      <c r="F15" s="686"/>
      <c r="G15" s="665"/>
      <c r="H15" s="2"/>
      <c r="I15" s="40"/>
      <c r="K15" s="12"/>
      <c r="L15" s="665"/>
      <c r="M15" s="17"/>
      <c r="R15" s="17"/>
      <c r="S15" s="17"/>
      <c r="U15" s="1">
        <v>11</v>
      </c>
    </row>
    <row r="16" spans="2:21" s="1" customFormat="1" ht="15.75" x14ac:dyDescent="0.25">
      <c r="B16" s="687"/>
      <c r="C16" s="792"/>
      <c r="E16" s="673" t="s">
        <v>398</v>
      </c>
      <c r="F16" s="677" t="s">
        <v>14</v>
      </c>
      <c r="G16" s="665"/>
      <c r="H16" s="50" t="s">
        <v>287</v>
      </c>
      <c r="I16" s="40"/>
      <c r="K16" s="12"/>
      <c r="L16" s="665"/>
      <c r="M16" s="17"/>
      <c r="N16" s="17"/>
      <c r="R16" s="17"/>
      <c r="S16" s="17"/>
      <c r="U16" s="1">
        <v>12</v>
      </c>
    </row>
    <row r="17" spans="2:21" s="1" customFormat="1" ht="15.75" x14ac:dyDescent="0.25">
      <c r="B17" s="688" t="str">
        <f>IF('Manuell filtrering og justering'!H2='Manuell filtrering og justering'!I2,"Building type (main description)","")</f>
        <v/>
      </c>
      <c r="C17" s="793"/>
      <c r="E17" s="675" t="s">
        <v>399</v>
      </c>
      <c r="F17" s="677" t="s">
        <v>14</v>
      </c>
      <c r="G17" s="665"/>
      <c r="H17" s="50" t="s">
        <v>288</v>
      </c>
      <c r="I17" s="40"/>
      <c r="K17" s="12"/>
      <c r="L17" s="665"/>
      <c r="M17" s="17"/>
      <c r="N17" s="17"/>
      <c r="R17" s="17"/>
      <c r="S17" s="17"/>
      <c r="U17" s="1">
        <v>13</v>
      </c>
    </row>
    <row r="18" spans="2:21" s="1" customFormat="1" ht="15.75" x14ac:dyDescent="0.25">
      <c r="B18" s="674" t="s">
        <v>214</v>
      </c>
      <c r="C18" s="794"/>
      <c r="E18" s="675" t="s">
        <v>393</v>
      </c>
      <c r="F18" s="676" t="s">
        <v>14</v>
      </c>
      <c r="G18" s="665"/>
      <c r="H18" s="50" t="s">
        <v>289</v>
      </c>
      <c r="I18" s="40"/>
      <c r="K18" s="12"/>
      <c r="L18" s="665"/>
      <c r="M18" s="17"/>
      <c r="N18" s="99" t="s">
        <v>87</v>
      </c>
      <c r="R18" s="17"/>
      <c r="S18" s="17"/>
    </row>
    <row r="19" spans="2:21" s="1" customFormat="1" ht="15.75" x14ac:dyDescent="0.25">
      <c r="B19" s="674" t="s">
        <v>215</v>
      </c>
      <c r="C19" s="795"/>
      <c r="E19" s="675" t="s">
        <v>310</v>
      </c>
      <c r="F19" s="684" t="s">
        <v>14</v>
      </c>
      <c r="G19" s="665"/>
      <c r="H19" s="50" t="s">
        <v>291</v>
      </c>
      <c r="I19" s="40"/>
      <c r="J19" s="12"/>
      <c r="K19" s="12"/>
      <c r="L19" s="665"/>
      <c r="M19" s="17"/>
      <c r="N19" s="99" t="s">
        <v>35</v>
      </c>
      <c r="R19" s="17"/>
      <c r="S19" s="17"/>
    </row>
    <row r="20" spans="2:21" s="1" customFormat="1" ht="15.75" x14ac:dyDescent="0.25">
      <c r="B20" s="678" t="s">
        <v>216</v>
      </c>
      <c r="C20" s="795"/>
      <c r="E20" s="675" t="s">
        <v>311</v>
      </c>
      <c r="F20" s="676" t="s">
        <v>14</v>
      </c>
      <c r="G20" s="665"/>
      <c r="H20" s="50" t="s">
        <v>237</v>
      </c>
      <c r="I20" s="40"/>
      <c r="J20" s="12"/>
      <c r="K20" s="12"/>
      <c r="L20" s="665"/>
      <c r="M20" s="17"/>
      <c r="N20" s="17"/>
      <c r="R20" s="17"/>
      <c r="S20" s="17"/>
    </row>
    <row r="21" spans="2:21" s="1" customFormat="1" ht="15.75" x14ac:dyDescent="0.25">
      <c r="C21" s="796"/>
      <c r="E21" s="675" t="s">
        <v>312</v>
      </c>
      <c r="F21" s="676" t="s">
        <v>40</v>
      </c>
      <c r="G21" s="665"/>
      <c r="H21" s="50" t="s">
        <v>237</v>
      </c>
      <c r="I21" s="40"/>
      <c r="J21" s="12"/>
      <c r="K21" s="12"/>
      <c r="M21" s="17"/>
      <c r="N21" s="17"/>
      <c r="R21" s="17"/>
      <c r="S21" s="17"/>
    </row>
    <row r="22" spans="2:21" s="1" customFormat="1" ht="15" customHeight="1" x14ac:dyDescent="0.3">
      <c r="B22" s="670" t="s">
        <v>27</v>
      </c>
      <c r="C22" s="797"/>
      <c r="E22" s="675" t="s">
        <v>313</v>
      </c>
      <c r="F22" s="676" t="s">
        <v>43</v>
      </c>
      <c r="G22" s="665"/>
      <c r="H22" s="105" t="s">
        <v>283</v>
      </c>
      <c r="I22" s="40"/>
      <c r="J22" s="12"/>
      <c r="K22" s="12" t="s">
        <v>300</v>
      </c>
      <c r="L22" s="17"/>
      <c r="M22" s="17"/>
      <c r="N22" s="99" t="s">
        <v>13</v>
      </c>
      <c r="R22" s="17"/>
      <c r="S22" s="17"/>
    </row>
    <row r="23" spans="2:21" s="1" customFormat="1" ht="15" customHeight="1" x14ac:dyDescent="0.25">
      <c r="B23" s="689" t="s">
        <v>28</v>
      </c>
      <c r="C23" s="787"/>
      <c r="E23" s="690" t="s">
        <v>315</v>
      </c>
      <c r="F23" s="676" t="s">
        <v>13</v>
      </c>
      <c r="H23" s="50" t="s">
        <v>237</v>
      </c>
      <c r="I23" s="40"/>
      <c r="J23" s="12"/>
      <c r="K23" s="12"/>
      <c r="L23" s="17"/>
      <c r="M23" s="17"/>
      <c r="N23" s="99" t="s">
        <v>14</v>
      </c>
      <c r="Q23" s="17"/>
      <c r="R23" s="17"/>
      <c r="S23" s="17"/>
    </row>
    <row r="24" spans="2:21" s="1" customFormat="1" ht="15" customHeight="1" x14ac:dyDescent="0.25">
      <c r="B24" s="691" t="s">
        <v>29</v>
      </c>
      <c r="C24" s="787"/>
      <c r="E24" s="692" t="s">
        <v>316</v>
      </c>
      <c r="F24" s="676" t="s">
        <v>392</v>
      </c>
      <c r="G24" s="665"/>
      <c r="H24" s="50" t="s">
        <v>237</v>
      </c>
      <c r="I24" s="40"/>
      <c r="J24" s="12"/>
      <c r="K24" s="12"/>
      <c r="L24" s="693" t="s">
        <v>294</v>
      </c>
      <c r="M24" s="17"/>
      <c r="N24" s="99" t="s">
        <v>50</v>
      </c>
      <c r="Q24" s="17"/>
      <c r="R24" s="17"/>
      <c r="S24" s="17"/>
    </row>
    <row r="25" spans="2:21" s="1" customFormat="1" ht="15" customHeight="1" x14ac:dyDescent="0.25">
      <c r="B25" s="691" t="s">
        <v>285</v>
      </c>
      <c r="C25" s="787"/>
      <c r="E25" s="675" t="s">
        <v>318</v>
      </c>
      <c r="F25" s="676" t="s">
        <v>14</v>
      </c>
      <c r="G25" s="665"/>
      <c r="H25" s="50" t="s">
        <v>299</v>
      </c>
      <c r="I25" s="40"/>
      <c r="J25" s="12"/>
      <c r="K25" s="12"/>
      <c r="L25" s="693" t="s">
        <v>292</v>
      </c>
      <c r="M25" s="17"/>
      <c r="N25" s="17"/>
      <c r="Q25" s="17"/>
      <c r="R25" s="17"/>
      <c r="S25" s="17"/>
    </row>
    <row r="26" spans="2:21" s="1" customFormat="1" ht="15.75" x14ac:dyDescent="0.25">
      <c r="B26" s="691" t="s">
        <v>30</v>
      </c>
      <c r="C26" s="787"/>
      <c r="E26" s="679" t="s">
        <v>319</v>
      </c>
      <c r="F26" s="676" t="s">
        <v>14</v>
      </c>
      <c r="G26" s="665"/>
      <c r="H26" s="50" t="s">
        <v>237</v>
      </c>
      <c r="I26" s="40"/>
      <c r="J26" s="12"/>
      <c r="K26" s="12"/>
      <c r="L26" s="693" t="s">
        <v>295</v>
      </c>
      <c r="M26" s="17"/>
      <c r="N26" s="99" t="s">
        <v>320</v>
      </c>
      <c r="Q26" s="17"/>
      <c r="R26" s="17"/>
      <c r="S26" s="17"/>
    </row>
    <row r="27" spans="2:21" s="1" customFormat="1" ht="15.75" x14ac:dyDescent="0.25">
      <c r="B27" s="691" t="s">
        <v>364</v>
      </c>
      <c r="C27" s="787"/>
      <c r="E27" s="694"/>
      <c r="F27" s="311"/>
      <c r="G27" s="665"/>
      <c r="H27" s="50" t="s">
        <v>237</v>
      </c>
      <c r="I27" s="42"/>
      <c r="J27" s="12"/>
      <c r="K27" s="12"/>
      <c r="L27" s="693" t="s">
        <v>296</v>
      </c>
      <c r="M27" s="17"/>
      <c r="N27" s="99" t="s">
        <v>321</v>
      </c>
      <c r="P27" s="17"/>
      <c r="Q27" s="17"/>
      <c r="R27" s="17"/>
      <c r="S27" s="17"/>
    </row>
    <row r="28" spans="2:21" s="1" customFormat="1" ht="15.75" x14ac:dyDescent="0.25">
      <c r="B28" s="691" t="s">
        <v>363</v>
      </c>
      <c r="C28" s="787"/>
      <c r="E28" s="3"/>
      <c r="F28" s="311"/>
      <c r="G28" s="665"/>
      <c r="I28" s="42"/>
      <c r="J28" s="12"/>
      <c r="K28" s="12"/>
      <c r="L28" s="693" t="s">
        <v>297</v>
      </c>
      <c r="M28" s="17"/>
      <c r="N28" s="99" t="s">
        <v>322</v>
      </c>
      <c r="Q28" s="17"/>
      <c r="R28" s="17"/>
      <c r="S28" s="17"/>
    </row>
    <row r="29" spans="2:21" s="1" customFormat="1" ht="15.75" x14ac:dyDescent="0.25">
      <c r="B29" s="691" t="s">
        <v>362</v>
      </c>
      <c r="C29" s="787"/>
      <c r="E29" s="7"/>
      <c r="F29" s="686"/>
      <c r="G29" s="665"/>
      <c r="J29" s="12"/>
      <c r="K29" s="12"/>
      <c r="L29" s="693" t="s">
        <v>293</v>
      </c>
      <c r="M29" s="17"/>
      <c r="N29" s="99" t="s">
        <v>40</v>
      </c>
      <c r="Q29" s="17"/>
      <c r="R29" s="17"/>
      <c r="S29" s="17"/>
    </row>
    <row r="30" spans="2:21" s="1" customFormat="1" ht="15.75" x14ac:dyDescent="0.25">
      <c r="B30" s="691" t="s">
        <v>360</v>
      </c>
      <c r="C30" s="787"/>
      <c r="E30" s="695" t="s">
        <v>308</v>
      </c>
      <c r="F30" s="696">
        <f>Poeng_tot</f>
        <v>142</v>
      </c>
      <c r="G30" s="665"/>
      <c r="H30" s="2"/>
      <c r="I30" s="42"/>
      <c r="J30" s="12"/>
      <c r="K30" s="12"/>
      <c r="L30" s="693" t="s">
        <v>298</v>
      </c>
      <c r="M30" s="17"/>
      <c r="N30" s="665"/>
      <c r="Q30" s="17"/>
      <c r="R30" s="17"/>
      <c r="S30" s="17"/>
    </row>
    <row r="31" spans="2:21" s="1" customFormat="1" ht="15.75" x14ac:dyDescent="0.25">
      <c r="B31" s="691" t="s">
        <v>361</v>
      </c>
      <c r="C31" s="787"/>
      <c r="E31" s="675" t="s">
        <v>309</v>
      </c>
      <c r="F31" s="696">
        <f>Poeng_bort</f>
        <v>13</v>
      </c>
      <c r="G31" s="665"/>
      <c r="H31" s="2"/>
      <c r="I31" s="42"/>
      <c r="J31" s="12"/>
      <c r="K31" s="12"/>
      <c r="L31" s="17"/>
      <c r="M31" s="17"/>
      <c r="N31" s="99" t="s">
        <v>43</v>
      </c>
      <c r="P31" s="17"/>
      <c r="Q31" s="17"/>
      <c r="R31" s="17"/>
      <c r="S31" s="17"/>
    </row>
    <row r="32" spans="2:21" s="1" customFormat="1" ht="15.75" x14ac:dyDescent="0.25">
      <c r="B32" s="697" t="s">
        <v>394</v>
      </c>
      <c r="C32" s="787"/>
      <c r="E32" s="698" t="s">
        <v>68</v>
      </c>
      <c r="F32" s="696">
        <f>Poeng_tilgj</f>
        <v>129</v>
      </c>
      <c r="G32" s="665"/>
      <c r="H32" s="2"/>
      <c r="I32" s="42"/>
      <c r="J32" s="13"/>
      <c r="K32" s="13"/>
      <c r="L32" s="17"/>
      <c r="M32" s="17"/>
      <c r="N32" s="99" t="s">
        <v>41</v>
      </c>
      <c r="O32" s="17"/>
      <c r="P32" s="17"/>
      <c r="Q32" s="17"/>
      <c r="R32" s="17"/>
      <c r="S32" s="17"/>
    </row>
    <row r="33" spans="2:19" s="1" customFormat="1" ht="15.75" x14ac:dyDescent="0.25">
      <c r="G33" s="665"/>
      <c r="H33" s="9"/>
      <c r="I33" s="40"/>
      <c r="J33" s="13"/>
      <c r="K33" s="13"/>
      <c r="L33" s="101" t="s">
        <v>517</v>
      </c>
      <c r="M33" s="17"/>
      <c r="N33" s="99" t="s">
        <v>42</v>
      </c>
      <c r="O33" s="17"/>
      <c r="P33" s="17"/>
      <c r="Q33" s="17"/>
      <c r="R33" s="17"/>
      <c r="S33" s="17"/>
    </row>
    <row r="34" spans="2:19" s="1" customFormat="1" ht="18.75" x14ac:dyDescent="0.3">
      <c r="B34" s="699" t="s">
        <v>508</v>
      </c>
      <c r="E34" s="699" t="s">
        <v>507</v>
      </c>
      <c r="G34" s="665"/>
      <c r="H34" s="9"/>
      <c r="I34" s="40"/>
      <c r="J34" s="13"/>
      <c r="K34" s="13"/>
      <c r="L34" s="101" t="s">
        <v>301</v>
      </c>
      <c r="M34" s="17"/>
      <c r="N34" s="102"/>
      <c r="O34" s="17"/>
      <c r="P34" s="17"/>
      <c r="Q34" s="17"/>
      <c r="R34" s="17"/>
      <c r="S34" s="17"/>
    </row>
    <row r="35" spans="2:19" s="1" customFormat="1" ht="80.25" customHeight="1" x14ac:dyDescent="0.25">
      <c r="B35" s="891"/>
      <c r="C35" s="892"/>
      <c r="E35" s="891"/>
      <c r="F35" s="892"/>
      <c r="G35" s="665"/>
      <c r="H35" s="97"/>
      <c r="I35" s="12"/>
      <c r="J35" s="12"/>
      <c r="K35" s="12"/>
      <c r="L35" s="17"/>
      <c r="M35" s="16"/>
      <c r="N35" s="665"/>
      <c r="O35" s="16"/>
      <c r="P35" s="16"/>
      <c r="Q35" s="16"/>
      <c r="R35" s="17"/>
      <c r="S35" s="17"/>
    </row>
    <row r="36" spans="2:19" s="1" customFormat="1" ht="15.75" x14ac:dyDescent="0.25">
      <c r="E36" s="97"/>
      <c r="F36" s="97"/>
      <c r="G36" s="665"/>
      <c r="H36" s="97"/>
      <c r="I36" s="12"/>
      <c r="J36" s="12"/>
      <c r="K36" s="12"/>
      <c r="L36" s="17"/>
      <c r="M36" s="16"/>
      <c r="N36" s="665"/>
      <c r="O36" s="16"/>
      <c r="P36" s="16"/>
      <c r="Q36" s="16"/>
      <c r="R36" s="17"/>
      <c r="S36" s="17"/>
    </row>
    <row r="37" spans="2:19" s="1" customFormat="1" ht="15.75" x14ac:dyDescent="0.25">
      <c r="B37" s="665" t="s">
        <v>354</v>
      </c>
      <c r="E37" s="97"/>
      <c r="F37" s="97"/>
      <c r="G37" s="665"/>
      <c r="H37" s="97"/>
      <c r="I37" s="12"/>
      <c r="J37" s="12"/>
      <c r="K37" s="12"/>
      <c r="L37" s="17"/>
      <c r="M37" s="16"/>
      <c r="N37" s="665"/>
      <c r="O37" s="16"/>
      <c r="P37" s="16"/>
      <c r="Q37" s="16"/>
      <c r="R37" s="17"/>
      <c r="S37" s="17"/>
    </row>
    <row r="38" spans="2:19" s="1" customFormat="1" ht="15.75" x14ac:dyDescent="0.25">
      <c r="E38" s="97"/>
      <c r="F38" s="97"/>
      <c r="G38" s="665"/>
      <c r="H38" s="97"/>
      <c r="I38" s="12"/>
      <c r="J38" s="12"/>
      <c r="K38" s="12"/>
      <c r="L38" s="17"/>
      <c r="M38" s="16"/>
      <c r="N38" s="665"/>
      <c r="O38" s="16"/>
      <c r="P38" s="16"/>
      <c r="Q38" s="16"/>
      <c r="R38" s="17"/>
      <c r="S38" s="17"/>
    </row>
    <row r="39" spans="2:19" s="1" customFormat="1" ht="18.75" x14ac:dyDescent="0.3">
      <c r="B39" s="670" t="s">
        <v>52</v>
      </c>
      <c r="C39" s="7"/>
      <c r="D39" s="7"/>
      <c r="E39" s="700"/>
      <c r="F39" s="701"/>
      <c r="G39" s="665"/>
      <c r="I39" s="12"/>
      <c r="J39" s="12"/>
      <c r="K39" s="12"/>
      <c r="L39" s="17"/>
      <c r="M39" s="16"/>
      <c r="O39" s="16"/>
      <c r="P39" s="16"/>
      <c r="Q39" s="16"/>
      <c r="R39" s="17"/>
      <c r="S39" s="17"/>
    </row>
    <row r="40" spans="2:19" s="1" customFormat="1" ht="64.5" customHeight="1" x14ac:dyDescent="0.25">
      <c r="B40" s="890" t="str">
        <f>"I, "&amp;AD_assessor&amp;L33</f>
        <v>I, ,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(SD5075NOR). Furthermore, I confirm that this assessment and the information on which it is based has been checked and verified in accordance with GBA/BRE Global Ltd's UKAS accredited BREEAM-NOR operating procedures for BREEAM-NOR assessments and assessors, as described in the  technical scheme document (SD5075NOR) and associated BREEAM-NOR operational documents.</v>
      </c>
      <c r="C40" s="890"/>
      <c r="D40" s="890"/>
      <c r="E40" s="890"/>
      <c r="F40" s="890"/>
      <c r="G40" s="665"/>
      <c r="I40" s="14"/>
      <c r="J40" s="14"/>
      <c r="K40" s="12"/>
      <c r="L40" s="1" t="s">
        <v>290</v>
      </c>
      <c r="M40" s="2"/>
      <c r="O40" s="16"/>
      <c r="P40" s="16"/>
      <c r="Q40" s="16"/>
      <c r="R40" s="17"/>
      <c r="S40" s="17"/>
    </row>
    <row r="41" spans="2:19" s="1" customFormat="1" ht="32.25" customHeight="1" x14ac:dyDescent="0.25">
      <c r="B41" s="702"/>
      <c r="C41" s="702"/>
      <c r="D41" s="702"/>
      <c r="E41" s="702"/>
      <c r="F41" s="702"/>
      <c r="G41" s="665"/>
      <c r="I41" s="14"/>
      <c r="J41" s="14"/>
      <c r="K41" s="12"/>
      <c r="M41" s="2"/>
      <c r="O41" s="16"/>
      <c r="P41" s="16"/>
      <c r="Q41" s="16"/>
      <c r="R41" s="17"/>
      <c r="S41" s="17"/>
    </row>
    <row r="42" spans="2:19" s="1" customFormat="1" ht="15.75" x14ac:dyDescent="0.25">
      <c r="B42" s="703" t="s">
        <v>355</v>
      </c>
      <c r="C42" s="798"/>
      <c r="D42" s="704"/>
      <c r="E42" s="705"/>
      <c r="F42" s="706"/>
      <c r="G42" s="665"/>
      <c r="H42" s="12"/>
      <c r="I42" s="12"/>
      <c r="J42" s="12"/>
      <c r="K42" s="12"/>
      <c r="L42" s="98" t="s">
        <v>271</v>
      </c>
      <c r="M42" s="51" t="s">
        <v>11</v>
      </c>
      <c r="N42" s="696"/>
      <c r="O42" s="16"/>
      <c r="P42" s="16"/>
      <c r="Q42" s="16"/>
      <c r="R42" s="17"/>
      <c r="S42" s="17"/>
    </row>
    <row r="43" spans="2:19" s="1" customFormat="1" ht="15.75" x14ac:dyDescent="0.25">
      <c r="B43" s="707" t="s">
        <v>9</v>
      </c>
      <c r="C43" s="798"/>
      <c r="D43" s="704"/>
      <c r="E43" s="705"/>
      <c r="F43" s="706"/>
      <c r="G43" s="665"/>
      <c r="H43" s="12"/>
      <c r="I43" s="12"/>
      <c r="J43" s="12"/>
      <c r="K43" s="12"/>
      <c r="L43" s="51" t="s">
        <v>314</v>
      </c>
      <c r="M43" s="696"/>
      <c r="N43" s="665"/>
      <c r="O43" s="41" t="s">
        <v>284</v>
      </c>
      <c r="P43" s="16"/>
      <c r="Q43" s="16"/>
      <c r="R43" s="17"/>
      <c r="S43" s="17"/>
    </row>
    <row r="44" spans="2:19" s="1" customFormat="1" ht="16.5" thickBot="1" x14ac:dyDescent="0.3">
      <c r="B44" s="2"/>
      <c r="C44" s="704"/>
      <c r="D44" s="704"/>
      <c r="E44" s="708"/>
      <c r="F44" s="708"/>
      <c r="G44" s="665"/>
      <c r="H44" s="29"/>
      <c r="I44" s="29"/>
      <c r="J44" s="29"/>
      <c r="K44" s="29"/>
      <c r="M44" s="17"/>
      <c r="N44" s="17"/>
      <c r="O44" s="17"/>
      <c r="P44" s="17"/>
      <c r="Q44" s="17"/>
      <c r="R44" s="17"/>
      <c r="S44" s="17"/>
    </row>
    <row r="45" spans="2:19" s="1" customFormat="1" ht="28.5" customHeight="1" x14ac:dyDescent="0.3">
      <c r="B45" s="670" t="s">
        <v>217</v>
      </c>
      <c r="C45" s="7"/>
      <c r="D45" s="7"/>
      <c r="E45" s="709"/>
      <c r="F45" s="709"/>
      <c r="G45" s="665"/>
      <c r="H45" s="29"/>
      <c r="I45" s="29"/>
      <c r="J45" s="29"/>
      <c r="K45" s="316"/>
      <c r="L45" s="710" t="s">
        <v>328</v>
      </c>
      <c r="M45" s="80">
        <v>1</v>
      </c>
      <c r="N45" s="17"/>
      <c r="O45" s="16"/>
      <c r="P45" s="16"/>
      <c r="Q45" s="16"/>
      <c r="R45" s="17"/>
      <c r="S45" s="17"/>
    </row>
    <row r="46" spans="2:19" s="1" customFormat="1" ht="73.5" customHeight="1" x14ac:dyDescent="0.25">
      <c r="B46" s="888" t="s">
        <v>518</v>
      </c>
      <c r="C46" s="888"/>
      <c r="D46" s="888"/>
      <c r="E46" s="888"/>
      <c r="F46" s="888"/>
      <c r="G46" s="665"/>
      <c r="H46" s="29"/>
      <c r="I46" s="29"/>
      <c r="J46" s="29"/>
      <c r="K46" s="315"/>
      <c r="L46" s="711" t="s">
        <v>329</v>
      </c>
      <c r="M46" s="81">
        <v>2</v>
      </c>
      <c r="N46" s="17"/>
      <c r="O46" s="16"/>
      <c r="P46" s="16"/>
      <c r="Q46" s="16"/>
      <c r="R46" s="17"/>
      <c r="S46" s="17"/>
    </row>
    <row r="47" spans="2:19" s="1" customFormat="1" ht="15.75" x14ac:dyDescent="0.25">
      <c r="D47" s="712"/>
      <c r="E47" s="29"/>
      <c r="F47" s="29"/>
      <c r="G47" s="665"/>
      <c r="H47" s="29"/>
      <c r="I47" s="29"/>
      <c r="J47" s="29"/>
      <c r="K47" s="314"/>
      <c r="L47" s="713" t="s">
        <v>330</v>
      </c>
      <c r="M47" s="81">
        <v>3</v>
      </c>
      <c r="N47" s="665"/>
      <c r="O47" s="17"/>
      <c r="P47" s="17"/>
      <c r="Q47" s="17"/>
      <c r="R47" s="17"/>
      <c r="S47" s="17"/>
    </row>
    <row r="48" spans="2:19" s="1" customFormat="1" ht="19.5" thickBot="1" x14ac:dyDescent="0.35">
      <c r="B48" s="670" t="s">
        <v>8</v>
      </c>
      <c r="C48" s="7"/>
      <c r="D48" s="7"/>
      <c r="E48" s="709"/>
      <c r="F48" s="714"/>
      <c r="G48" s="665"/>
      <c r="H48" s="12"/>
      <c r="I48" s="12"/>
      <c r="J48" s="12"/>
      <c r="K48" s="12"/>
      <c r="L48" s="82" t="s">
        <v>0</v>
      </c>
      <c r="M48" s="83">
        <v>4</v>
      </c>
      <c r="N48" s="17"/>
      <c r="O48" s="17"/>
      <c r="P48" s="17"/>
      <c r="Q48" s="17"/>
      <c r="R48" s="17"/>
      <c r="S48" s="17"/>
    </row>
    <row r="49" spans="2:19" s="1" customFormat="1" ht="15.75" x14ac:dyDescent="0.25">
      <c r="B49" s="889" t="s">
        <v>353</v>
      </c>
      <c r="C49" s="889"/>
      <c r="D49" s="889"/>
      <c r="E49" s="889"/>
      <c r="F49" s="889"/>
      <c r="G49" s="665"/>
      <c r="H49" s="12"/>
      <c r="I49" s="12"/>
      <c r="J49" s="12"/>
      <c r="K49" s="12"/>
      <c r="N49" s="17"/>
      <c r="O49" s="17"/>
      <c r="P49" s="17"/>
      <c r="Q49" s="17"/>
      <c r="R49" s="17"/>
      <c r="S49" s="17"/>
    </row>
    <row r="50" spans="2:19" s="1" customFormat="1" ht="15.75" x14ac:dyDescent="0.25">
      <c r="B50" s="2"/>
      <c r="C50" s="2"/>
      <c r="D50" s="2"/>
      <c r="E50" s="715"/>
      <c r="F50" s="716"/>
      <c r="G50" s="665"/>
      <c r="H50" s="12"/>
      <c r="I50" s="12"/>
      <c r="J50" s="12"/>
      <c r="K50" s="12"/>
      <c r="L50" s="87" t="s">
        <v>54</v>
      </c>
      <c r="N50" s="17"/>
      <c r="O50" s="17"/>
      <c r="P50" s="17"/>
      <c r="Q50" s="17"/>
      <c r="R50" s="17"/>
      <c r="S50" s="17"/>
    </row>
    <row r="51" spans="2:19" s="1" customFormat="1" ht="15.75" x14ac:dyDescent="0.25">
      <c r="B51" s="715" t="s">
        <v>519</v>
      </c>
      <c r="C51" s="2"/>
      <c r="D51" s="2"/>
      <c r="E51" s="715"/>
      <c r="F51" s="716"/>
      <c r="G51" s="665"/>
      <c r="H51" s="12"/>
      <c r="I51" s="12"/>
      <c r="J51" s="12"/>
      <c r="K51" s="12"/>
      <c r="L51" s="77" t="s">
        <v>13</v>
      </c>
      <c r="N51" s="17"/>
      <c r="O51" s="17"/>
      <c r="P51" s="17"/>
      <c r="Q51" s="17"/>
      <c r="R51" s="17"/>
      <c r="S51" s="17"/>
    </row>
    <row r="52" spans="2:19" s="1" customFormat="1" ht="15.75" x14ac:dyDescent="0.25">
      <c r="B52" s="2"/>
      <c r="C52" s="20"/>
      <c r="D52" s="20"/>
      <c r="E52" s="717"/>
      <c r="F52" s="718"/>
      <c r="G52" s="665"/>
      <c r="H52" s="12"/>
      <c r="I52" s="12"/>
      <c r="J52" s="12"/>
      <c r="K52" s="12"/>
      <c r="L52" s="77" t="s">
        <v>14</v>
      </c>
      <c r="N52" s="17"/>
      <c r="O52" s="17"/>
      <c r="P52" s="17"/>
      <c r="Q52" s="17"/>
      <c r="R52" s="17"/>
      <c r="S52" s="17"/>
    </row>
    <row r="53" spans="2:19" s="1" customFormat="1" ht="15.75" x14ac:dyDescent="0.25">
      <c r="F53" s="40"/>
      <c r="G53" s="665"/>
      <c r="H53" s="12"/>
      <c r="I53" s="12"/>
      <c r="J53" s="12"/>
      <c r="K53" s="12"/>
      <c r="L53" s="17" t="s">
        <v>392</v>
      </c>
      <c r="M53" s="17"/>
      <c r="N53" s="17"/>
      <c r="O53" s="17"/>
      <c r="P53" s="17"/>
      <c r="Q53" s="17"/>
      <c r="R53" s="17"/>
      <c r="S53" s="17"/>
    </row>
    <row r="54" spans="2:19" s="1" customFormat="1" ht="15.75" x14ac:dyDescent="0.25">
      <c r="B54" s="719" t="s">
        <v>509</v>
      </c>
      <c r="C54" s="720" t="str">
        <f>TVC_current_version</f>
        <v>1.08</v>
      </c>
      <c r="D54" s="2"/>
      <c r="E54" s="721">
        <f>TVC_current_date</f>
        <v>43782</v>
      </c>
      <c r="F54" s="40"/>
      <c r="G54" s="665"/>
      <c r="H54" s="12"/>
      <c r="I54" s="12"/>
      <c r="J54" s="12"/>
      <c r="K54" s="12"/>
      <c r="L54" s="17"/>
      <c r="M54" s="17"/>
      <c r="N54" s="17"/>
      <c r="O54" s="17"/>
      <c r="P54" s="17"/>
      <c r="Q54" s="17"/>
      <c r="R54" s="17"/>
      <c r="S54" s="17"/>
    </row>
    <row r="55" spans="2:19" s="1" customFormat="1" ht="15.75" x14ac:dyDescent="0.25">
      <c r="B55" s="2"/>
      <c r="C55" s="2"/>
      <c r="D55" s="2"/>
      <c r="E55" s="4"/>
      <c r="F55" s="40"/>
      <c r="G55" s="665"/>
      <c r="H55" s="12"/>
      <c r="I55" s="12"/>
      <c r="J55" s="12"/>
      <c r="K55" s="12"/>
      <c r="L55" s="77" t="s">
        <v>403</v>
      </c>
      <c r="M55" s="17"/>
      <c r="N55" s="17"/>
      <c r="O55" s="17"/>
      <c r="P55" s="17"/>
      <c r="Q55" s="17"/>
      <c r="R55" s="17"/>
      <c r="S55" s="17"/>
    </row>
    <row r="56" spans="2:19" x14ac:dyDescent="0.25">
      <c r="B56" s="722"/>
      <c r="C56" s="38"/>
      <c r="D56" s="722"/>
      <c r="E56" s="722"/>
      <c r="F56" s="722"/>
      <c r="L56" s="436" t="s">
        <v>404</v>
      </c>
      <c r="M56" s="17"/>
      <c r="N56" s="17"/>
      <c r="O56" s="17"/>
      <c r="P56" s="17"/>
      <c r="Q56" s="17"/>
      <c r="R56" s="17"/>
      <c r="S56" s="17"/>
    </row>
    <row r="57" spans="2:19" s="1" customFormat="1" ht="15.75" x14ac:dyDescent="0.25">
      <c r="B57" s="665"/>
      <c r="C57" s="665"/>
      <c r="D57" s="665"/>
      <c r="E57" s="15"/>
      <c r="F57" s="12"/>
      <c r="G57" s="665"/>
      <c r="H57" s="12"/>
      <c r="I57" s="12"/>
      <c r="J57" s="12"/>
      <c r="K57" s="12"/>
      <c r="L57" s="436" t="s">
        <v>13</v>
      </c>
      <c r="M57" s="17"/>
      <c r="N57" s="17"/>
      <c r="O57" s="17"/>
      <c r="P57" s="17"/>
      <c r="Q57" s="17"/>
      <c r="R57" s="17"/>
      <c r="S57" s="17"/>
    </row>
    <row r="58" spans="2:19" s="1" customFormat="1" ht="15.75" x14ac:dyDescent="0.25">
      <c r="B58" s="665"/>
      <c r="C58" s="665"/>
      <c r="D58" s="665"/>
      <c r="E58" s="15"/>
      <c r="F58" s="12"/>
      <c r="G58" s="665"/>
      <c r="H58" s="12"/>
      <c r="I58" s="12"/>
      <c r="J58" s="12"/>
      <c r="K58" s="12"/>
      <c r="L58" s="436" t="s">
        <v>391</v>
      </c>
      <c r="M58" s="17"/>
      <c r="N58" s="17"/>
      <c r="O58" s="17"/>
      <c r="P58" s="17"/>
      <c r="Q58" s="17"/>
      <c r="R58" s="17"/>
      <c r="S58" s="17"/>
    </row>
    <row r="59" spans="2:19" s="1" customFormat="1" ht="15.75" x14ac:dyDescent="0.25">
      <c r="C59" s="34"/>
      <c r="E59" s="665"/>
      <c r="F59" s="665"/>
      <c r="G59" s="665"/>
      <c r="H59" s="665"/>
      <c r="I59" s="665"/>
      <c r="J59" s="665"/>
      <c r="K59" s="665"/>
      <c r="L59" s="436" t="s">
        <v>392</v>
      </c>
      <c r="M59" s="100"/>
      <c r="N59" s="17"/>
      <c r="O59" s="17"/>
      <c r="P59" s="17"/>
      <c r="Q59" s="17"/>
      <c r="R59" s="17"/>
      <c r="S59" s="17"/>
    </row>
    <row r="60" spans="2:19" s="1" customFormat="1" ht="15.75" x14ac:dyDescent="0.25">
      <c r="B60" s="39"/>
      <c r="C60" s="35" t="s">
        <v>9</v>
      </c>
      <c r="E60" s="15"/>
      <c r="F60" s="12"/>
      <c r="G60" s="665"/>
      <c r="H60" s="12"/>
      <c r="I60" s="12"/>
      <c r="J60" s="12"/>
      <c r="K60" s="12"/>
      <c r="L60" s="17"/>
      <c r="M60" s="100"/>
      <c r="N60" s="17"/>
      <c r="O60" s="17"/>
      <c r="P60" s="17"/>
      <c r="Q60" s="17"/>
      <c r="R60" s="17"/>
      <c r="S60" s="17"/>
    </row>
    <row r="61" spans="2:19" s="1" customFormat="1" ht="15.75" x14ac:dyDescent="0.25">
      <c r="C61" s="723"/>
      <c r="E61" s="15"/>
      <c r="F61" s="12"/>
      <c r="G61" s="665"/>
      <c r="H61" s="12"/>
      <c r="I61" s="12"/>
      <c r="J61" s="12"/>
      <c r="K61" s="12"/>
      <c r="L61" s="17"/>
      <c r="M61" s="100"/>
      <c r="N61" s="17"/>
      <c r="O61" s="17"/>
      <c r="P61" s="17"/>
      <c r="Q61" s="17"/>
      <c r="R61" s="17"/>
      <c r="S61" s="17"/>
    </row>
    <row r="62" spans="2:19" s="1" customFormat="1" ht="15.75" x14ac:dyDescent="0.25">
      <c r="E62" s="15"/>
      <c r="F62" s="12"/>
      <c r="G62" s="665"/>
      <c r="H62" s="12"/>
      <c r="I62" s="12"/>
      <c r="J62" s="12"/>
      <c r="K62" s="12"/>
      <c r="L62" s="17"/>
      <c r="M62" s="17"/>
      <c r="N62" s="17"/>
      <c r="O62" s="17"/>
      <c r="P62" s="17"/>
      <c r="Q62" s="17"/>
      <c r="R62" s="17"/>
      <c r="S62" s="17"/>
    </row>
    <row r="63" spans="2:19" s="1" customFormat="1" ht="15.75" x14ac:dyDescent="0.25">
      <c r="B63" s="23"/>
      <c r="C63" s="36"/>
      <c r="E63" s="30"/>
      <c r="F63" s="30"/>
      <c r="G63" s="665"/>
      <c r="H63" s="30"/>
      <c r="I63" s="30"/>
      <c r="J63" s="30"/>
      <c r="K63" s="30"/>
      <c r="L63" s="17"/>
      <c r="M63" s="17"/>
      <c r="N63" s="17"/>
      <c r="O63" s="17"/>
      <c r="P63" s="17"/>
      <c r="Q63" s="17"/>
      <c r="R63" s="17"/>
      <c r="S63" s="17"/>
    </row>
    <row r="64" spans="2:19" s="1" customFormat="1" ht="15" customHeight="1" x14ac:dyDescent="0.25">
      <c r="B64" s="10"/>
      <c r="C64" s="37"/>
      <c r="E64" s="26"/>
      <c r="F64" s="14"/>
      <c r="G64" s="665"/>
      <c r="H64" s="14"/>
      <c r="I64" s="14"/>
      <c r="J64" s="14"/>
      <c r="K64" s="14"/>
      <c r="L64" s="52" t="s">
        <v>317</v>
      </c>
      <c r="M64" s="676" t="s">
        <v>298</v>
      </c>
      <c r="N64" s="17"/>
      <c r="O64" s="17"/>
      <c r="P64" s="17"/>
      <c r="Q64" s="17"/>
      <c r="R64" s="665"/>
      <c r="S64" s="665"/>
    </row>
    <row r="65" spans="2:19" s="1" customFormat="1" ht="15.75" x14ac:dyDescent="0.25">
      <c r="B65" s="11"/>
      <c r="C65" s="37"/>
      <c r="E65" s="26"/>
      <c r="F65" s="14"/>
      <c r="G65" s="665"/>
      <c r="H65" s="14"/>
      <c r="I65" s="14"/>
      <c r="J65" s="14"/>
      <c r="K65" s="14"/>
      <c r="L65" s="665"/>
      <c r="M65" s="665"/>
      <c r="N65" s="665"/>
      <c r="O65" s="665"/>
      <c r="P65" s="665"/>
      <c r="Q65" s="665"/>
      <c r="R65" s="665"/>
      <c r="S65" s="665"/>
    </row>
    <row r="66" spans="2:19" s="1" customFormat="1" ht="15.75" x14ac:dyDescent="0.25">
      <c r="B66" s="22"/>
      <c r="C66" s="36"/>
      <c r="E66" s="15"/>
      <c r="F66" s="12"/>
      <c r="G66" s="665"/>
      <c r="H66" s="12"/>
      <c r="I66" s="12"/>
      <c r="J66" s="12"/>
      <c r="K66" s="12"/>
      <c r="L66" s="665"/>
      <c r="M66" s="665"/>
      <c r="N66" s="665"/>
      <c r="O66" s="665"/>
      <c r="P66" s="665"/>
      <c r="Q66" s="665"/>
      <c r="R66" s="665"/>
      <c r="S66" s="665"/>
    </row>
    <row r="67" spans="2:19" s="1" customFormat="1" ht="15.75" x14ac:dyDescent="0.25">
      <c r="B67" s="10"/>
      <c r="C67" s="37"/>
      <c r="E67" s="15"/>
      <c r="F67" s="12"/>
      <c r="G67" s="665"/>
      <c r="H67" s="12"/>
      <c r="I67" s="12"/>
      <c r="J67" s="12"/>
      <c r="K67" s="12"/>
      <c r="L67" s="665"/>
      <c r="N67" s="665"/>
      <c r="O67" s="665"/>
      <c r="P67" s="665"/>
      <c r="Q67" s="665"/>
      <c r="R67" s="665"/>
      <c r="S67" s="665"/>
    </row>
    <row r="68" spans="2:19" s="1" customFormat="1" ht="15.75" x14ac:dyDescent="0.25">
      <c r="B68" s="5"/>
      <c r="C68" s="38"/>
      <c r="E68" s="15"/>
      <c r="F68" s="12"/>
      <c r="G68" s="665"/>
      <c r="H68" s="12"/>
      <c r="I68" s="12"/>
      <c r="J68" s="12"/>
      <c r="K68" s="12"/>
      <c r="L68" s="665"/>
      <c r="M68" s="17"/>
      <c r="N68" s="665"/>
      <c r="O68" s="665"/>
      <c r="P68" s="665"/>
      <c r="Q68" s="665"/>
      <c r="R68" s="665"/>
      <c r="S68" s="665"/>
    </row>
    <row r="69" spans="2:19" s="1" customFormat="1" ht="15.75" x14ac:dyDescent="0.25">
      <c r="B69" s="2"/>
      <c r="C69" s="38"/>
      <c r="E69" s="15"/>
      <c r="F69" s="12"/>
      <c r="G69" s="665"/>
      <c r="H69" s="12"/>
      <c r="I69" s="12"/>
      <c r="J69" s="12"/>
      <c r="K69" s="12"/>
      <c r="L69" s="665"/>
      <c r="M69" s="665"/>
      <c r="N69" s="665"/>
      <c r="O69" s="665"/>
      <c r="P69" s="665"/>
      <c r="Q69" s="665"/>
      <c r="R69" s="665"/>
      <c r="S69" s="665"/>
    </row>
    <row r="70" spans="2:19" s="1" customFormat="1" x14ac:dyDescent="0.25">
      <c r="B70" s="2"/>
      <c r="C70" s="38"/>
      <c r="E70" s="2"/>
      <c r="G70" s="665"/>
      <c r="L70" s="665"/>
      <c r="M70" s="665"/>
      <c r="N70" s="665"/>
      <c r="O70" s="665"/>
      <c r="P70" s="665"/>
      <c r="Q70" s="665"/>
      <c r="R70" s="665"/>
      <c r="S70" s="665"/>
    </row>
    <row r="71" spans="2:19" s="1" customFormat="1" x14ac:dyDescent="0.25">
      <c r="C71" s="18"/>
      <c r="E71" s="2"/>
      <c r="G71" s="665"/>
      <c r="L71" s="665"/>
      <c r="M71" s="665"/>
      <c r="N71" s="665"/>
      <c r="O71" s="665"/>
      <c r="P71" s="665"/>
      <c r="Q71" s="665"/>
      <c r="R71" s="665"/>
      <c r="S71" s="665"/>
    </row>
    <row r="72" spans="2:19" s="1" customFormat="1" x14ac:dyDescent="0.25">
      <c r="C72" s="18"/>
      <c r="E72" s="2"/>
      <c r="G72" s="665"/>
      <c r="L72" s="665"/>
      <c r="M72" s="665"/>
      <c r="N72" s="665"/>
      <c r="O72" s="665"/>
      <c r="P72" s="665"/>
      <c r="Q72" s="665"/>
      <c r="R72" s="665"/>
      <c r="S72" s="665"/>
    </row>
    <row r="73" spans="2:19" s="1" customFormat="1" x14ac:dyDescent="0.25">
      <c r="E73" s="2"/>
      <c r="G73" s="665"/>
      <c r="L73" s="665"/>
      <c r="M73" s="665"/>
      <c r="N73" s="665"/>
      <c r="O73" s="665"/>
      <c r="P73" s="665"/>
      <c r="Q73" s="665"/>
      <c r="R73" s="665"/>
      <c r="S73" s="665"/>
    </row>
    <row r="74" spans="2:19" s="1" customFormat="1" x14ac:dyDescent="0.25">
      <c r="C74" s="18"/>
      <c r="E74" s="2"/>
      <c r="G74" s="665"/>
      <c r="L74" s="665"/>
      <c r="M74" s="665"/>
      <c r="N74" s="665"/>
      <c r="O74" s="665"/>
      <c r="P74" s="665"/>
      <c r="Q74" s="665"/>
      <c r="R74" s="665"/>
      <c r="S74" s="665"/>
    </row>
    <row r="75" spans="2:19" s="1" customFormat="1" x14ac:dyDescent="0.25">
      <c r="C75" s="18"/>
      <c r="E75" s="2"/>
      <c r="G75" s="665"/>
      <c r="L75" s="665"/>
      <c r="M75" s="665"/>
      <c r="N75" s="665"/>
      <c r="O75" s="665"/>
      <c r="P75" s="665"/>
      <c r="Q75" s="665"/>
      <c r="R75" s="665"/>
      <c r="S75" s="665"/>
    </row>
    <row r="76" spans="2:19" s="1" customFormat="1" x14ac:dyDescent="0.25">
      <c r="C76" s="18"/>
      <c r="G76" s="665"/>
      <c r="L76" s="665"/>
      <c r="M76" s="665"/>
      <c r="N76" s="665"/>
      <c r="O76" s="665"/>
      <c r="P76" s="665"/>
      <c r="Q76" s="665"/>
      <c r="R76" s="665"/>
      <c r="S76" s="665"/>
    </row>
    <row r="77" spans="2:19" s="1" customFormat="1" x14ac:dyDescent="0.25">
      <c r="C77" s="18"/>
      <c r="G77" s="665"/>
      <c r="H77" s="2"/>
      <c r="L77" s="665"/>
      <c r="M77" s="665"/>
      <c r="N77" s="665"/>
      <c r="O77" s="665"/>
      <c r="P77" s="665"/>
      <c r="Q77" s="665"/>
      <c r="R77" s="665"/>
      <c r="S77" s="665"/>
    </row>
    <row r="78" spans="2:19" s="1" customFormat="1" x14ac:dyDescent="0.25">
      <c r="C78" s="18"/>
      <c r="E78" s="2"/>
      <c r="G78" s="665"/>
      <c r="L78" s="665"/>
      <c r="M78" s="665"/>
      <c r="N78" s="665"/>
      <c r="O78" s="665"/>
      <c r="P78" s="665"/>
      <c r="Q78" s="665"/>
      <c r="R78" s="665"/>
      <c r="S78" s="665"/>
    </row>
    <row r="79" spans="2:19" s="1" customFormat="1" x14ac:dyDescent="0.25">
      <c r="C79" s="18"/>
      <c r="E79" s="2"/>
      <c r="G79" s="665"/>
      <c r="L79" s="665"/>
      <c r="M79" s="665"/>
      <c r="N79" s="665"/>
      <c r="O79" s="665"/>
      <c r="P79" s="665"/>
      <c r="Q79" s="665"/>
      <c r="R79" s="665"/>
      <c r="S79" s="665"/>
    </row>
    <row r="80" spans="2:19" s="1" customFormat="1" x14ac:dyDescent="0.25">
      <c r="C80" s="18"/>
      <c r="E80" s="2"/>
      <c r="G80" s="665"/>
      <c r="L80" s="665"/>
      <c r="M80" s="665"/>
      <c r="N80" s="665"/>
      <c r="O80" s="665"/>
      <c r="P80" s="665"/>
      <c r="Q80" s="665"/>
      <c r="R80" s="665"/>
      <c r="S80" s="665"/>
    </row>
    <row r="81" spans="3:19" s="1" customFormat="1" x14ac:dyDescent="0.25">
      <c r="C81" s="18"/>
      <c r="E81" s="2"/>
      <c r="G81" s="665"/>
      <c r="L81" s="665"/>
      <c r="M81" s="665"/>
      <c r="N81" s="665"/>
      <c r="O81" s="665"/>
      <c r="P81" s="665"/>
      <c r="Q81" s="665"/>
      <c r="R81" s="665"/>
      <c r="S81" s="665"/>
    </row>
    <row r="82" spans="3:19" s="1" customFormat="1" x14ac:dyDescent="0.25">
      <c r="C82" s="18"/>
      <c r="E82" s="2"/>
      <c r="G82" s="665"/>
      <c r="L82" s="665"/>
      <c r="M82" s="665"/>
      <c r="N82" s="665"/>
      <c r="O82" s="665"/>
      <c r="P82" s="665"/>
      <c r="Q82" s="665"/>
      <c r="R82" s="665"/>
      <c r="S82" s="665"/>
    </row>
    <row r="83" spans="3:19" s="1" customFormat="1" x14ac:dyDescent="0.25">
      <c r="C83" s="18"/>
      <c r="E83" s="2"/>
      <c r="G83" s="665"/>
      <c r="L83" s="665"/>
      <c r="M83" s="665"/>
      <c r="N83" s="665"/>
      <c r="O83" s="665"/>
      <c r="P83" s="665"/>
      <c r="Q83" s="665"/>
      <c r="R83" s="665"/>
      <c r="S83" s="665"/>
    </row>
    <row r="84" spans="3:19" s="1" customFormat="1" x14ac:dyDescent="0.25">
      <c r="E84" s="2"/>
      <c r="G84" s="665"/>
      <c r="L84" s="665"/>
      <c r="M84" s="665"/>
      <c r="N84" s="665"/>
      <c r="O84" s="665"/>
      <c r="P84" s="665"/>
      <c r="Q84" s="665"/>
      <c r="R84" s="665"/>
      <c r="S84" s="665"/>
    </row>
    <row r="85" spans="3:19" s="1" customFormat="1" x14ac:dyDescent="0.25">
      <c r="E85" s="2"/>
      <c r="G85" s="665"/>
      <c r="L85" s="665"/>
      <c r="M85" s="665"/>
      <c r="N85" s="665"/>
      <c r="O85" s="665"/>
      <c r="P85" s="665"/>
      <c r="Q85" s="665"/>
      <c r="R85" s="665"/>
      <c r="S85" s="665"/>
    </row>
    <row r="86" spans="3:19" s="1" customFormat="1" x14ac:dyDescent="0.25">
      <c r="E86" s="2"/>
      <c r="G86" s="665"/>
      <c r="L86" s="665"/>
      <c r="M86" s="665"/>
      <c r="N86" s="665"/>
      <c r="O86" s="665"/>
      <c r="P86" s="665"/>
      <c r="Q86" s="665"/>
      <c r="R86" s="665"/>
      <c r="S86" s="665"/>
    </row>
    <row r="87" spans="3:19" s="1" customFormat="1" x14ac:dyDescent="0.25">
      <c r="E87" s="2"/>
      <c r="G87" s="665"/>
      <c r="L87" s="665"/>
      <c r="M87" s="665"/>
      <c r="N87" s="665"/>
      <c r="O87" s="665"/>
      <c r="P87" s="665"/>
      <c r="Q87" s="665"/>
      <c r="R87" s="665"/>
      <c r="S87" s="665"/>
    </row>
    <row r="88" spans="3:19" s="1" customFormat="1" x14ac:dyDescent="0.25">
      <c r="E88" s="2"/>
      <c r="G88" s="665"/>
      <c r="L88" s="665"/>
      <c r="M88" s="665"/>
      <c r="N88" s="665"/>
      <c r="O88" s="665"/>
      <c r="P88" s="665"/>
      <c r="Q88" s="665"/>
      <c r="R88" s="665"/>
      <c r="S88" s="665"/>
    </row>
    <row r="89" spans="3:19" s="1" customFormat="1" x14ac:dyDescent="0.25">
      <c r="E89" s="2"/>
      <c r="G89" s="665"/>
      <c r="L89" s="665"/>
      <c r="M89" s="665"/>
      <c r="N89" s="665"/>
      <c r="O89" s="665"/>
      <c r="P89" s="665"/>
      <c r="Q89" s="665"/>
      <c r="R89" s="665"/>
      <c r="S89" s="665"/>
    </row>
    <row r="90" spans="3:19" s="1" customFormat="1" x14ac:dyDescent="0.25">
      <c r="E90" s="2"/>
      <c r="G90" s="665"/>
      <c r="L90" s="665"/>
      <c r="M90" s="665"/>
      <c r="N90" s="665"/>
      <c r="O90" s="665"/>
      <c r="P90" s="665"/>
      <c r="Q90" s="665"/>
      <c r="R90" s="665"/>
      <c r="S90" s="665"/>
    </row>
    <row r="91" spans="3:19" s="1" customFormat="1" x14ac:dyDescent="0.25">
      <c r="E91" s="2"/>
      <c r="G91" s="665"/>
      <c r="L91" s="665"/>
      <c r="M91" s="665"/>
      <c r="N91" s="665"/>
      <c r="O91" s="665"/>
      <c r="P91" s="665"/>
      <c r="Q91" s="665"/>
      <c r="R91" s="665"/>
      <c r="S91" s="665"/>
    </row>
    <row r="92" spans="3:19" s="1" customFormat="1" x14ac:dyDescent="0.25">
      <c r="E92" s="2"/>
      <c r="G92" s="665"/>
      <c r="L92" s="665"/>
      <c r="M92" s="665"/>
      <c r="N92" s="665"/>
      <c r="O92" s="665"/>
      <c r="P92" s="665"/>
      <c r="Q92" s="665"/>
      <c r="R92" s="665"/>
      <c r="S92" s="665"/>
    </row>
    <row r="93" spans="3:19" s="1" customFormat="1" x14ac:dyDescent="0.25">
      <c r="E93" s="2"/>
      <c r="G93" s="665"/>
      <c r="L93" s="665"/>
      <c r="M93" s="665"/>
      <c r="N93" s="665"/>
      <c r="O93" s="665"/>
      <c r="P93" s="665"/>
      <c r="Q93" s="665"/>
      <c r="R93" s="665"/>
      <c r="S93" s="665"/>
    </row>
    <row r="94" spans="3:19" s="1" customFormat="1" x14ac:dyDescent="0.25">
      <c r="E94" s="2"/>
      <c r="G94" s="665"/>
      <c r="L94" s="665"/>
      <c r="M94" s="665"/>
      <c r="N94" s="665"/>
      <c r="O94" s="665"/>
      <c r="P94" s="665"/>
      <c r="Q94" s="665"/>
      <c r="R94" s="665"/>
      <c r="S94" s="665"/>
    </row>
    <row r="95" spans="3:19" s="1" customFormat="1" x14ac:dyDescent="0.25">
      <c r="E95" s="2"/>
      <c r="G95" s="665"/>
      <c r="L95" s="665"/>
      <c r="M95" s="665"/>
      <c r="N95" s="665"/>
      <c r="O95" s="665"/>
      <c r="P95" s="665"/>
      <c r="Q95" s="665"/>
      <c r="R95" s="665"/>
      <c r="S95" s="665"/>
    </row>
    <row r="96" spans="3:19" s="1" customFormat="1" x14ac:dyDescent="0.25">
      <c r="E96" s="2"/>
      <c r="G96" s="665"/>
      <c r="L96" s="665"/>
      <c r="M96" s="665"/>
      <c r="N96" s="665"/>
      <c r="O96" s="665"/>
      <c r="P96" s="665"/>
      <c r="Q96" s="665"/>
      <c r="R96" s="665"/>
      <c r="S96" s="665"/>
    </row>
    <row r="97" spans="5:19" s="1" customFormat="1" x14ac:dyDescent="0.25">
      <c r="E97" s="2"/>
      <c r="G97" s="665"/>
      <c r="L97" s="665"/>
      <c r="M97" s="665"/>
      <c r="N97" s="665"/>
      <c r="O97" s="665"/>
      <c r="P97" s="665"/>
      <c r="Q97" s="665"/>
      <c r="R97" s="665"/>
      <c r="S97" s="665"/>
    </row>
    <row r="98" spans="5:19" s="1" customFormat="1" x14ac:dyDescent="0.25">
      <c r="E98" s="2"/>
      <c r="G98" s="665"/>
      <c r="L98" s="665"/>
      <c r="M98" s="665"/>
      <c r="N98" s="665"/>
      <c r="O98" s="665"/>
      <c r="P98" s="665"/>
      <c r="Q98" s="665"/>
      <c r="R98" s="665"/>
      <c r="S98" s="665"/>
    </row>
    <row r="99" spans="5:19" s="1" customFormat="1" x14ac:dyDescent="0.25">
      <c r="E99" s="2"/>
      <c r="G99" s="665"/>
      <c r="L99" s="665"/>
      <c r="M99" s="665"/>
      <c r="N99" s="665"/>
      <c r="O99" s="665"/>
      <c r="P99" s="665"/>
      <c r="Q99" s="665"/>
      <c r="R99" s="665"/>
      <c r="S99" s="665"/>
    </row>
    <row r="100" spans="5:19" s="1" customFormat="1" x14ac:dyDescent="0.25">
      <c r="E100" s="2"/>
      <c r="G100" s="665"/>
      <c r="L100" s="665"/>
      <c r="M100" s="665"/>
      <c r="N100" s="665"/>
      <c r="O100" s="665"/>
      <c r="P100" s="665"/>
      <c r="Q100" s="665"/>
      <c r="R100" s="665"/>
      <c r="S100" s="665"/>
    </row>
    <row r="101" spans="5:19" s="1" customFormat="1" x14ac:dyDescent="0.25">
      <c r="E101" s="2"/>
      <c r="G101" s="665"/>
      <c r="L101" s="665"/>
      <c r="M101" s="665"/>
      <c r="N101" s="665"/>
      <c r="O101" s="665"/>
      <c r="P101" s="665"/>
      <c r="Q101" s="665"/>
      <c r="R101" s="665"/>
      <c r="S101" s="665"/>
    </row>
    <row r="102" spans="5:19" s="1" customFormat="1" x14ac:dyDescent="0.25">
      <c r="E102" s="2"/>
      <c r="G102" s="665"/>
      <c r="L102" s="665"/>
      <c r="M102" s="665"/>
      <c r="N102" s="665"/>
      <c r="O102" s="665"/>
      <c r="P102" s="665"/>
      <c r="Q102" s="665"/>
      <c r="R102" s="665"/>
      <c r="S102" s="665"/>
    </row>
    <row r="103" spans="5:19" s="1" customFormat="1" x14ac:dyDescent="0.25">
      <c r="E103" s="2"/>
      <c r="G103" s="665"/>
      <c r="L103" s="665"/>
      <c r="M103" s="665"/>
      <c r="N103" s="665"/>
      <c r="O103" s="665"/>
      <c r="P103" s="665"/>
      <c r="Q103" s="665"/>
      <c r="R103" s="665"/>
      <c r="S103" s="665"/>
    </row>
    <row r="104" spans="5:19" s="1" customFormat="1" x14ac:dyDescent="0.25">
      <c r="E104" s="2"/>
      <c r="G104" s="665"/>
      <c r="L104" s="665"/>
      <c r="M104" s="665"/>
      <c r="N104" s="665"/>
      <c r="O104" s="665"/>
      <c r="P104" s="665"/>
      <c r="Q104" s="665"/>
      <c r="R104" s="665"/>
      <c r="S104" s="665"/>
    </row>
    <row r="105" spans="5:19" s="1" customFormat="1" x14ac:dyDescent="0.25">
      <c r="E105" s="2"/>
      <c r="G105" s="665"/>
      <c r="L105" s="665"/>
      <c r="M105" s="665"/>
      <c r="N105" s="665"/>
      <c r="O105" s="665"/>
      <c r="P105" s="665"/>
      <c r="Q105" s="665"/>
      <c r="R105" s="665"/>
      <c r="S105" s="665"/>
    </row>
    <row r="106" spans="5:19" s="1" customFormat="1" x14ac:dyDescent="0.25">
      <c r="E106" s="2"/>
      <c r="G106" s="665"/>
      <c r="L106" s="665"/>
      <c r="M106" s="665"/>
      <c r="N106" s="665"/>
      <c r="O106" s="665"/>
      <c r="P106" s="665"/>
      <c r="Q106" s="665"/>
      <c r="R106" s="665"/>
      <c r="S106" s="665"/>
    </row>
    <row r="107" spans="5:19" s="1" customFormat="1" x14ac:dyDescent="0.25">
      <c r="E107" s="2"/>
      <c r="G107" s="665"/>
      <c r="L107" s="665"/>
      <c r="M107" s="665"/>
      <c r="N107" s="665"/>
      <c r="O107" s="665"/>
      <c r="P107" s="665"/>
      <c r="Q107" s="665"/>
      <c r="R107" s="665"/>
      <c r="S107" s="665"/>
    </row>
    <row r="108" spans="5:19" s="1" customFormat="1" x14ac:dyDescent="0.25">
      <c r="E108" s="2"/>
      <c r="G108" s="665"/>
      <c r="L108" s="665"/>
      <c r="M108" s="665"/>
      <c r="N108" s="665"/>
      <c r="O108" s="665"/>
      <c r="P108" s="665"/>
      <c r="Q108" s="665"/>
      <c r="R108" s="665"/>
      <c r="S108" s="665"/>
    </row>
    <row r="109" spans="5:19" s="1" customFormat="1" x14ac:dyDescent="0.25">
      <c r="E109" s="2"/>
      <c r="G109" s="665"/>
      <c r="L109" s="665"/>
      <c r="M109" s="665"/>
      <c r="N109" s="665"/>
      <c r="O109" s="665"/>
      <c r="P109" s="665"/>
      <c r="Q109" s="665"/>
      <c r="R109" s="665"/>
      <c r="S109" s="665"/>
    </row>
    <row r="110" spans="5:19" s="1" customFormat="1" x14ac:dyDescent="0.25">
      <c r="E110" s="2"/>
      <c r="G110" s="665"/>
      <c r="L110" s="665"/>
      <c r="M110" s="665"/>
      <c r="N110" s="665"/>
      <c r="O110" s="665"/>
      <c r="P110" s="665"/>
      <c r="Q110" s="665"/>
      <c r="R110" s="665"/>
      <c r="S110" s="665"/>
    </row>
    <row r="111" spans="5:19" s="1" customFormat="1" x14ac:dyDescent="0.25">
      <c r="E111" s="2"/>
      <c r="G111" s="665"/>
      <c r="L111" s="665"/>
      <c r="M111" s="665"/>
      <c r="N111" s="665"/>
      <c r="O111" s="665"/>
      <c r="P111" s="665"/>
      <c r="Q111" s="665"/>
      <c r="R111" s="665"/>
      <c r="S111" s="665"/>
    </row>
    <row r="112" spans="5:19" s="1" customFormat="1" x14ac:dyDescent="0.25">
      <c r="E112" s="2"/>
      <c r="G112" s="665"/>
      <c r="L112" s="665"/>
      <c r="M112" s="665"/>
      <c r="N112" s="665"/>
      <c r="O112" s="665"/>
      <c r="P112" s="665"/>
      <c r="Q112" s="665"/>
      <c r="R112" s="665"/>
      <c r="S112" s="665"/>
    </row>
    <row r="113" spans="5:19" s="1" customFormat="1" x14ac:dyDescent="0.25">
      <c r="E113" s="2"/>
      <c r="G113" s="665"/>
      <c r="L113" s="665"/>
      <c r="M113" s="665"/>
      <c r="N113" s="665"/>
      <c r="O113" s="665"/>
      <c r="P113" s="665"/>
      <c r="Q113" s="665"/>
      <c r="R113" s="665"/>
      <c r="S113" s="665"/>
    </row>
    <row r="114" spans="5:19" s="1" customFormat="1" x14ac:dyDescent="0.25">
      <c r="E114" s="2"/>
      <c r="G114" s="665"/>
      <c r="L114" s="665"/>
      <c r="M114" s="665"/>
      <c r="N114" s="665"/>
      <c r="O114" s="665"/>
      <c r="P114" s="665"/>
      <c r="Q114" s="665"/>
      <c r="R114" s="665"/>
      <c r="S114" s="665"/>
    </row>
    <row r="115" spans="5:19" s="1" customFormat="1" x14ac:dyDescent="0.25">
      <c r="E115" s="2"/>
      <c r="G115" s="665"/>
      <c r="L115" s="665"/>
      <c r="M115" s="665"/>
      <c r="N115" s="665"/>
      <c r="O115" s="665"/>
      <c r="P115" s="665"/>
      <c r="Q115" s="665"/>
      <c r="R115" s="665"/>
      <c r="S115" s="665"/>
    </row>
    <row r="116" spans="5:19" s="1" customFormat="1" x14ac:dyDescent="0.25">
      <c r="E116" s="2"/>
      <c r="G116" s="665"/>
      <c r="L116" s="665"/>
      <c r="M116" s="665"/>
      <c r="N116" s="665"/>
      <c r="O116" s="665"/>
      <c r="P116" s="665"/>
      <c r="Q116" s="665"/>
      <c r="R116" s="665"/>
      <c r="S116" s="665"/>
    </row>
    <row r="117" spans="5:19" s="1" customFormat="1" x14ac:dyDescent="0.25">
      <c r="E117" s="2"/>
      <c r="G117" s="665"/>
      <c r="L117" s="665"/>
      <c r="M117" s="665"/>
      <c r="N117" s="665"/>
      <c r="O117" s="665"/>
      <c r="P117" s="665"/>
      <c r="Q117" s="665"/>
      <c r="R117" s="665"/>
      <c r="S117" s="665"/>
    </row>
    <row r="118" spans="5:19" s="1" customFormat="1" x14ac:dyDescent="0.25">
      <c r="E118" s="2"/>
      <c r="G118" s="665"/>
      <c r="L118" s="665"/>
      <c r="M118" s="665"/>
      <c r="N118" s="665"/>
      <c r="O118" s="665"/>
      <c r="P118" s="665"/>
      <c r="Q118" s="665"/>
      <c r="R118" s="665"/>
      <c r="S118" s="665"/>
    </row>
    <row r="119" spans="5:19" s="1" customFormat="1" x14ac:dyDescent="0.25">
      <c r="E119" s="2"/>
      <c r="G119" s="665"/>
      <c r="L119" s="665"/>
      <c r="M119" s="665"/>
      <c r="N119" s="665"/>
      <c r="O119" s="665"/>
      <c r="P119" s="665"/>
      <c r="Q119" s="665"/>
      <c r="R119" s="665"/>
      <c r="S119" s="665"/>
    </row>
    <row r="120" spans="5:19" s="1" customFormat="1" x14ac:dyDescent="0.25">
      <c r="E120" s="2"/>
      <c r="G120" s="665"/>
      <c r="L120" s="665"/>
      <c r="M120" s="665"/>
      <c r="N120" s="665"/>
      <c r="O120" s="665"/>
      <c r="P120" s="665"/>
      <c r="Q120" s="665"/>
      <c r="R120" s="665"/>
      <c r="S120" s="665"/>
    </row>
    <row r="121" spans="5:19" s="1" customFormat="1" x14ac:dyDescent="0.25">
      <c r="E121" s="2"/>
      <c r="G121" s="665"/>
      <c r="L121" s="665"/>
      <c r="M121" s="665"/>
      <c r="N121" s="665"/>
      <c r="O121" s="665"/>
      <c r="P121" s="665"/>
      <c r="Q121" s="665"/>
      <c r="R121" s="665"/>
      <c r="S121" s="665"/>
    </row>
    <row r="122" spans="5:19" s="1" customFormat="1" x14ac:dyDescent="0.25">
      <c r="E122" s="2"/>
      <c r="G122" s="665"/>
      <c r="L122" s="665"/>
      <c r="M122" s="665"/>
      <c r="N122" s="665"/>
      <c r="O122" s="665"/>
      <c r="P122" s="665"/>
      <c r="Q122" s="665"/>
      <c r="R122" s="665"/>
      <c r="S122" s="665"/>
    </row>
    <row r="123" spans="5:19" s="1" customFormat="1" x14ac:dyDescent="0.25">
      <c r="E123" s="2"/>
      <c r="G123" s="665"/>
      <c r="L123" s="665"/>
      <c r="M123" s="665"/>
      <c r="N123" s="665"/>
      <c r="O123" s="665"/>
      <c r="P123" s="665"/>
      <c r="Q123" s="665"/>
      <c r="R123" s="665"/>
      <c r="S123" s="665"/>
    </row>
    <row r="124" spans="5:19" s="1" customFormat="1" x14ac:dyDescent="0.25">
      <c r="E124" s="2"/>
      <c r="G124" s="665"/>
      <c r="L124" s="665"/>
      <c r="M124" s="665"/>
      <c r="N124" s="665"/>
      <c r="O124" s="665"/>
      <c r="P124" s="665"/>
      <c r="Q124" s="665"/>
      <c r="R124" s="665"/>
      <c r="S124" s="665"/>
    </row>
    <row r="125" spans="5:19" s="1" customFormat="1" x14ac:dyDescent="0.25">
      <c r="E125" s="2"/>
      <c r="G125" s="665"/>
      <c r="L125" s="665"/>
      <c r="M125" s="665"/>
      <c r="N125" s="665"/>
      <c r="O125" s="665"/>
      <c r="P125" s="665"/>
      <c r="Q125" s="665"/>
      <c r="R125" s="665"/>
      <c r="S125" s="665"/>
    </row>
    <row r="126" spans="5:19" s="1" customFormat="1" x14ac:dyDescent="0.25">
      <c r="E126" s="2"/>
      <c r="G126" s="665"/>
      <c r="L126" s="665"/>
      <c r="M126" s="665"/>
      <c r="N126" s="665"/>
      <c r="O126" s="665"/>
      <c r="P126" s="665"/>
      <c r="Q126" s="665"/>
      <c r="R126" s="665"/>
      <c r="S126" s="665"/>
    </row>
    <row r="127" spans="5:19" s="1" customFormat="1" x14ac:dyDescent="0.25">
      <c r="E127" s="2"/>
      <c r="G127" s="665"/>
      <c r="L127" s="665"/>
      <c r="M127" s="665"/>
      <c r="N127" s="665"/>
      <c r="O127" s="665"/>
      <c r="P127" s="665"/>
      <c r="Q127" s="665"/>
      <c r="R127" s="665"/>
      <c r="S127" s="665"/>
    </row>
    <row r="128" spans="5:19" s="1" customFormat="1" x14ac:dyDescent="0.25">
      <c r="E128" s="2"/>
      <c r="G128" s="665"/>
      <c r="L128" s="665"/>
      <c r="M128" s="665"/>
      <c r="N128" s="665"/>
      <c r="O128" s="665"/>
      <c r="P128" s="665"/>
      <c r="Q128" s="665"/>
      <c r="R128" s="665"/>
      <c r="S128" s="665"/>
    </row>
    <row r="129" spans="5:19" s="1" customFormat="1" x14ac:dyDescent="0.25">
      <c r="E129" s="2"/>
      <c r="G129" s="665"/>
      <c r="L129" s="665"/>
      <c r="M129" s="665"/>
      <c r="N129" s="665"/>
      <c r="O129" s="665"/>
      <c r="P129" s="665"/>
      <c r="Q129" s="665"/>
      <c r="R129" s="665"/>
      <c r="S129" s="665"/>
    </row>
    <row r="130" spans="5:19" s="1" customFormat="1" x14ac:dyDescent="0.25">
      <c r="E130" s="2"/>
      <c r="G130" s="665"/>
      <c r="L130" s="665"/>
      <c r="M130" s="665"/>
      <c r="N130" s="665"/>
      <c r="O130" s="665"/>
      <c r="P130" s="665"/>
      <c r="Q130" s="665"/>
      <c r="R130" s="665"/>
      <c r="S130" s="665"/>
    </row>
    <row r="131" spans="5:19" s="1" customFormat="1" x14ac:dyDescent="0.25">
      <c r="E131" s="2"/>
      <c r="G131" s="665"/>
      <c r="L131" s="665"/>
      <c r="M131" s="665"/>
      <c r="N131" s="665"/>
      <c r="O131" s="665"/>
      <c r="P131" s="665"/>
      <c r="Q131" s="665"/>
      <c r="R131" s="665"/>
      <c r="S131" s="665"/>
    </row>
    <row r="132" spans="5:19" s="1" customFormat="1" x14ac:dyDescent="0.25">
      <c r="E132" s="2"/>
      <c r="G132" s="665"/>
      <c r="L132" s="665"/>
      <c r="M132" s="665"/>
      <c r="N132" s="665"/>
      <c r="O132" s="665"/>
      <c r="P132" s="665"/>
      <c r="Q132" s="665"/>
      <c r="R132" s="665"/>
      <c r="S132" s="665"/>
    </row>
    <row r="133" spans="5:19" s="1" customFormat="1" x14ac:dyDescent="0.25">
      <c r="E133" s="2"/>
      <c r="G133" s="665"/>
      <c r="L133" s="665"/>
      <c r="M133" s="665"/>
      <c r="N133" s="665"/>
      <c r="O133" s="665"/>
      <c r="P133" s="665"/>
      <c r="Q133" s="665"/>
      <c r="R133" s="665"/>
      <c r="S133" s="665"/>
    </row>
    <row r="134" spans="5:19" s="1" customFormat="1" x14ac:dyDescent="0.25">
      <c r="E134" s="2"/>
      <c r="G134" s="665"/>
      <c r="L134" s="665"/>
      <c r="M134" s="665"/>
      <c r="N134" s="665"/>
      <c r="O134" s="665"/>
      <c r="P134" s="665"/>
      <c r="Q134" s="665"/>
      <c r="R134" s="665"/>
      <c r="S134" s="665"/>
    </row>
    <row r="135" spans="5:19" s="1" customFormat="1" x14ac:dyDescent="0.25">
      <c r="E135" s="2"/>
      <c r="G135" s="665"/>
      <c r="L135" s="665"/>
      <c r="M135" s="665"/>
      <c r="N135" s="665"/>
      <c r="O135" s="665"/>
      <c r="P135" s="665"/>
      <c r="Q135" s="665"/>
      <c r="R135" s="665"/>
      <c r="S135" s="665"/>
    </row>
    <row r="136" spans="5:19" s="1" customFormat="1" x14ac:dyDescent="0.25">
      <c r="E136" s="2"/>
      <c r="G136" s="665"/>
      <c r="L136" s="665"/>
      <c r="M136" s="665"/>
      <c r="N136" s="665"/>
      <c r="O136" s="665"/>
      <c r="P136" s="665"/>
      <c r="Q136" s="665"/>
      <c r="R136" s="665"/>
      <c r="S136" s="665"/>
    </row>
    <row r="137" spans="5:19" s="1" customFormat="1" x14ac:dyDescent="0.25">
      <c r="E137" s="2"/>
      <c r="G137" s="665"/>
      <c r="L137" s="665"/>
      <c r="M137" s="665"/>
      <c r="N137" s="665"/>
      <c r="O137" s="665"/>
      <c r="P137" s="665"/>
      <c r="Q137" s="665"/>
      <c r="R137" s="665"/>
      <c r="S137" s="665"/>
    </row>
    <row r="138" spans="5:19" s="1" customFormat="1" x14ac:dyDescent="0.25">
      <c r="E138" s="2"/>
      <c r="G138" s="665"/>
      <c r="L138" s="665"/>
      <c r="M138" s="665"/>
      <c r="N138" s="665"/>
      <c r="O138" s="665"/>
      <c r="P138" s="665"/>
      <c r="Q138" s="665"/>
      <c r="R138" s="665"/>
      <c r="S138" s="665"/>
    </row>
    <row r="139" spans="5:19" s="1" customFormat="1" x14ac:dyDescent="0.25">
      <c r="E139" s="2"/>
      <c r="G139" s="665"/>
      <c r="L139" s="665"/>
      <c r="M139" s="665"/>
      <c r="N139" s="665"/>
      <c r="O139" s="665"/>
      <c r="P139" s="665"/>
      <c r="Q139" s="665"/>
      <c r="R139" s="665"/>
      <c r="S139" s="665"/>
    </row>
    <row r="140" spans="5:19" s="1" customFormat="1" x14ac:dyDescent="0.25">
      <c r="E140" s="2"/>
      <c r="G140" s="665"/>
      <c r="L140" s="665"/>
      <c r="M140" s="665"/>
      <c r="N140" s="665"/>
      <c r="O140" s="665"/>
      <c r="P140" s="665"/>
      <c r="Q140" s="665"/>
      <c r="R140" s="665"/>
      <c r="S140" s="665"/>
    </row>
    <row r="141" spans="5:19" s="1" customFormat="1" x14ac:dyDescent="0.25">
      <c r="E141" s="2"/>
      <c r="G141" s="665"/>
      <c r="L141" s="665"/>
      <c r="M141" s="665"/>
      <c r="N141" s="665"/>
      <c r="O141" s="665"/>
      <c r="P141" s="665"/>
      <c r="Q141" s="665"/>
      <c r="R141" s="665"/>
      <c r="S141" s="665"/>
    </row>
    <row r="142" spans="5:19" s="1" customFormat="1" x14ac:dyDescent="0.25">
      <c r="E142" s="2"/>
      <c r="G142" s="665"/>
      <c r="L142" s="665"/>
      <c r="M142" s="665"/>
      <c r="N142" s="665"/>
      <c r="O142" s="665"/>
      <c r="P142" s="665"/>
      <c r="Q142" s="665"/>
      <c r="R142" s="665"/>
      <c r="S142" s="665"/>
    </row>
    <row r="143" spans="5:19" s="1" customFormat="1" x14ac:dyDescent="0.25">
      <c r="E143" s="2"/>
      <c r="G143" s="665"/>
      <c r="L143" s="665"/>
      <c r="M143" s="665"/>
      <c r="N143" s="665"/>
      <c r="O143" s="665"/>
      <c r="P143" s="665"/>
      <c r="Q143" s="665"/>
      <c r="R143" s="665"/>
      <c r="S143" s="665"/>
    </row>
    <row r="144" spans="5:19" s="1" customFormat="1" x14ac:dyDescent="0.25">
      <c r="E144" s="2"/>
      <c r="G144" s="665"/>
      <c r="L144" s="665"/>
      <c r="M144" s="665"/>
      <c r="N144" s="665"/>
      <c r="O144" s="665"/>
      <c r="P144" s="665"/>
      <c r="Q144" s="665"/>
      <c r="R144" s="665"/>
      <c r="S144" s="665"/>
    </row>
    <row r="145" spans="5:19" s="1" customFormat="1" x14ac:dyDescent="0.25">
      <c r="E145" s="2"/>
      <c r="G145" s="665"/>
      <c r="L145" s="665"/>
      <c r="M145" s="665"/>
      <c r="N145" s="665"/>
      <c r="O145" s="665"/>
      <c r="P145" s="665"/>
      <c r="Q145" s="665"/>
      <c r="R145" s="665"/>
      <c r="S145" s="665"/>
    </row>
    <row r="146" spans="5:19" s="1" customFormat="1" x14ac:dyDescent="0.25">
      <c r="E146" s="2"/>
      <c r="G146" s="665"/>
      <c r="L146" s="665"/>
      <c r="M146" s="665"/>
      <c r="N146" s="665"/>
      <c r="O146" s="665"/>
      <c r="P146" s="665"/>
      <c r="Q146" s="665"/>
      <c r="R146" s="665"/>
      <c r="S146" s="665"/>
    </row>
    <row r="147" spans="5:19" s="1" customFormat="1" x14ac:dyDescent="0.25">
      <c r="E147" s="2"/>
      <c r="G147" s="665"/>
      <c r="L147" s="665"/>
      <c r="M147" s="665"/>
      <c r="N147" s="665"/>
      <c r="O147" s="665"/>
      <c r="P147" s="665"/>
      <c r="Q147" s="665"/>
      <c r="R147" s="665"/>
      <c r="S147" s="665"/>
    </row>
    <row r="148" spans="5:19" s="1" customFormat="1" x14ac:dyDescent="0.25">
      <c r="E148" s="2"/>
      <c r="G148" s="665"/>
      <c r="L148" s="665"/>
      <c r="M148" s="665"/>
      <c r="N148" s="665"/>
      <c r="O148" s="665"/>
      <c r="P148" s="665"/>
      <c r="Q148" s="665"/>
      <c r="R148" s="665"/>
      <c r="S148" s="665"/>
    </row>
    <row r="149" spans="5:19" s="1" customFormat="1" x14ac:dyDescent="0.25">
      <c r="E149" s="2"/>
      <c r="G149" s="665"/>
      <c r="L149" s="665"/>
      <c r="M149" s="665"/>
      <c r="N149" s="665"/>
      <c r="O149" s="665"/>
      <c r="P149" s="665"/>
      <c r="Q149" s="665"/>
      <c r="R149" s="665"/>
      <c r="S149" s="665"/>
    </row>
    <row r="150" spans="5:19" s="1" customFormat="1" x14ac:dyDescent="0.25">
      <c r="E150" s="2"/>
      <c r="G150" s="665"/>
      <c r="L150" s="665"/>
      <c r="M150" s="665"/>
      <c r="N150" s="665"/>
      <c r="O150" s="665"/>
      <c r="P150" s="665"/>
      <c r="Q150" s="665"/>
      <c r="R150" s="665"/>
      <c r="S150" s="665"/>
    </row>
    <row r="151" spans="5:19" s="1" customFormat="1" x14ac:dyDescent="0.25">
      <c r="E151" s="2"/>
      <c r="G151" s="665"/>
      <c r="L151" s="665"/>
      <c r="M151" s="665"/>
      <c r="N151" s="665"/>
      <c r="O151" s="665"/>
      <c r="P151" s="665"/>
      <c r="Q151" s="665"/>
      <c r="R151" s="665"/>
      <c r="S151" s="665"/>
    </row>
    <row r="152" spans="5:19" s="1" customFormat="1" x14ac:dyDescent="0.25">
      <c r="E152" s="2"/>
      <c r="G152" s="665"/>
      <c r="L152" s="665"/>
      <c r="M152" s="665"/>
      <c r="N152" s="665"/>
      <c r="O152" s="665"/>
      <c r="P152" s="665"/>
      <c r="Q152" s="665"/>
      <c r="R152" s="665"/>
      <c r="S152" s="665"/>
    </row>
    <row r="153" spans="5:19" s="1" customFormat="1" x14ac:dyDescent="0.25">
      <c r="E153" s="2"/>
      <c r="G153" s="665"/>
      <c r="L153" s="665"/>
      <c r="M153" s="665"/>
      <c r="N153" s="665"/>
      <c r="O153" s="665"/>
      <c r="P153" s="665"/>
      <c r="Q153" s="665"/>
      <c r="R153" s="665"/>
      <c r="S153" s="665"/>
    </row>
    <row r="154" spans="5:19" s="1" customFormat="1" x14ac:dyDescent="0.25">
      <c r="E154" s="2"/>
      <c r="G154" s="665"/>
      <c r="L154" s="665"/>
      <c r="M154" s="665"/>
      <c r="N154" s="665"/>
      <c r="O154" s="665"/>
      <c r="P154" s="665"/>
      <c r="Q154" s="665"/>
      <c r="R154" s="665"/>
      <c r="S154" s="665"/>
    </row>
    <row r="155" spans="5:19" s="1" customFormat="1" x14ac:dyDescent="0.25">
      <c r="E155" s="2"/>
      <c r="G155" s="665"/>
      <c r="L155" s="665"/>
      <c r="M155" s="665"/>
      <c r="N155" s="665"/>
      <c r="O155" s="665"/>
      <c r="P155" s="665"/>
      <c r="Q155" s="665"/>
      <c r="R155" s="665"/>
      <c r="S155" s="665"/>
    </row>
    <row r="156" spans="5:19" s="1" customFormat="1" x14ac:dyDescent="0.25">
      <c r="E156" s="2"/>
      <c r="G156" s="665"/>
      <c r="L156" s="665"/>
      <c r="M156" s="665"/>
      <c r="N156" s="665"/>
      <c r="O156" s="665"/>
      <c r="P156" s="665"/>
      <c r="Q156" s="665"/>
      <c r="R156" s="665"/>
      <c r="S156" s="665"/>
    </row>
    <row r="157" spans="5:19" s="1" customFormat="1" x14ac:dyDescent="0.25">
      <c r="E157" s="2"/>
      <c r="G157" s="665"/>
      <c r="L157" s="665"/>
      <c r="M157" s="665"/>
      <c r="N157" s="665"/>
      <c r="O157" s="665"/>
      <c r="P157" s="665"/>
      <c r="Q157" s="665"/>
      <c r="R157" s="665"/>
      <c r="S157" s="665"/>
    </row>
    <row r="158" spans="5:19" s="1" customFormat="1" x14ac:dyDescent="0.25">
      <c r="E158" s="2"/>
      <c r="G158" s="665"/>
      <c r="L158" s="665"/>
      <c r="M158" s="665"/>
      <c r="N158" s="665"/>
      <c r="O158" s="665"/>
      <c r="P158" s="665"/>
      <c r="Q158" s="665"/>
      <c r="R158" s="665"/>
      <c r="S158" s="665"/>
    </row>
    <row r="159" spans="5:19" s="1" customFormat="1" x14ac:dyDescent="0.25">
      <c r="E159" s="2"/>
      <c r="G159" s="665"/>
      <c r="L159" s="665"/>
      <c r="M159" s="665"/>
      <c r="N159" s="665"/>
      <c r="O159" s="665"/>
      <c r="P159" s="665"/>
      <c r="Q159" s="665"/>
      <c r="R159" s="665"/>
      <c r="S159" s="665"/>
    </row>
    <row r="160" spans="5:19" s="1" customFormat="1" x14ac:dyDescent="0.25">
      <c r="E160" s="2"/>
      <c r="G160" s="665"/>
      <c r="L160" s="665"/>
      <c r="M160" s="665"/>
      <c r="N160" s="665"/>
      <c r="O160" s="665"/>
      <c r="P160" s="665"/>
      <c r="Q160" s="665"/>
      <c r="R160" s="665"/>
      <c r="S160" s="665"/>
    </row>
    <row r="161" spans="5:19" s="1" customFormat="1" x14ac:dyDescent="0.25">
      <c r="E161" s="2"/>
      <c r="G161" s="665"/>
      <c r="L161" s="665"/>
      <c r="M161" s="665"/>
      <c r="N161" s="665"/>
      <c r="O161" s="665"/>
      <c r="P161" s="665"/>
      <c r="Q161" s="665"/>
      <c r="R161" s="665"/>
      <c r="S161" s="665"/>
    </row>
    <row r="162" spans="5:19" s="1" customFormat="1" x14ac:dyDescent="0.25">
      <c r="E162" s="2"/>
      <c r="G162" s="665"/>
      <c r="L162" s="665"/>
      <c r="M162" s="665"/>
      <c r="N162" s="665"/>
      <c r="O162" s="665"/>
      <c r="P162" s="665"/>
      <c r="Q162" s="665"/>
      <c r="R162" s="665"/>
      <c r="S162" s="665"/>
    </row>
    <row r="163" spans="5:19" s="1" customFormat="1" x14ac:dyDescent="0.25">
      <c r="E163" s="2"/>
      <c r="G163" s="665"/>
      <c r="L163" s="665"/>
      <c r="M163" s="665"/>
      <c r="N163" s="665"/>
      <c r="O163" s="665"/>
      <c r="P163" s="665"/>
      <c r="Q163" s="665"/>
      <c r="R163" s="665"/>
      <c r="S163" s="665"/>
    </row>
    <row r="164" spans="5:19" s="1" customFormat="1" x14ac:dyDescent="0.25">
      <c r="E164" s="2"/>
      <c r="G164" s="665"/>
      <c r="L164" s="665"/>
      <c r="M164" s="665"/>
      <c r="N164" s="665"/>
      <c r="O164" s="665"/>
      <c r="P164" s="665"/>
      <c r="Q164" s="665"/>
      <c r="R164" s="665"/>
      <c r="S164" s="665"/>
    </row>
    <row r="165" spans="5:19" s="1" customFormat="1" x14ac:dyDescent="0.25">
      <c r="E165" s="2"/>
      <c r="G165" s="665"/>
      <c r="L165" s="665"/>
      <c r="M165" s="665"/>
      <c r="N165" s="665"/>
      <c r="O165" s="665"/>
      <c r="P165" s="665"/>
      <c r="Q165" s="665"/>
      <c r="R165" s="665"/>
      <c r="S165" s="665"/>
    </row>
    <row r="166" spans="5:19" s="1" customFormat="1" x14ac:dyDescent="0.25">
      <c r="E166" s="2"/>
      <c r="G166" s="665"/>
      <c r="L166" s="665"/>
      <c r="M166" s="665"/>
      <c r="N166" s="665"/>
      <c r="O166" s="665"/>
      <c r="P166" s="665"/>
      <c r="Q166" s="665"/>
      <c r="R166" s="665"/>
      <c r="S166" s="665"/>
    </row>
    <row r="167" spans="5:19" s="1" customFormat="1" x14ac:dyDescent="0.25">
      <c r="E167" s="2"/>
      <c r="G167" s="665"/>
      <c r="L167" s="665"/>
      <c r="M167" s="665"/>
      <c r="N167" s="665"/>
      <c r="O167" s="665"/>
      <c r="P167" s="665"/>
      <c r="Q167" s="665"/>
      <c r="R167" s="665"/>
      <c r="S167" s="665"/>
    </row>
    <row r="168" spans="5:19" s="1" customFormat="1" x14ac:dyDescent="0.25">
      <c r="E168" s="2"/>
      <c r="G168" s="665"/>
      <c r="L168" s="665"/>
      <c r="M168" s="665"/>
      <c r="N168" s="665"/>
      <c r="O168" s="665"/>
      <c r="P168" s="665"/>
      <c r="Q168" s="665"/>
      <c r="R168" s="665"/>
      <c r="S168" s="665"/>
    </row>
    <row r="169" spans="5:19" s="1" customFormat="1" x14ac:dyDescent="0.25">
      <c r="E169" s="2"/>
      <c r="G169" s="665"/>
      <c r="L169" s="665"/>
      <c r="M169" s="665"/>
      <c r="N169" s="665"/>
      <c r="O169" s="665"/>
      <c r="P169" s="665"/>
      <c r="Q169" s="665"/>
      <c r="R169" s="665"/>
      <c r="S169" s="665"/>
    </row>
    <row r="170" spans="5:19" s="1" customFormat="1" x14ac:dyDescent="0.25">
      <c r="E170" s="2"/>
      <c r="G170" s="665"/>
      <c r="L170" s="665"/>
      <c r="M170" s="665"/>
      <c r="N170" s="665"/>
      <c r="O170" s="665"/>
      <c r="P170" s="665"/>
      <c r="Q170" s="665"/>
      <c r="R170" s="665"/>
      <c r="S170" s="665"/>
    </row>
    <row r="171" spans="5:19" s="1" customFormat="1" x14ac:dyDescent="0.25">
      <c r="E171" s="2"/>
      <c r="G171" s="665"/>
      <c r="L171" s="665"/>
      <c r="M171" s="665"/>
      <c r="N171" s="665"/>
      <c r="O171" s="665"/>
      <c r="P171" s="665"/>
      <c r="Q171" s="665"/>
      <c r="R171" s="665"/>
      <c r="S171" s="665"/>
    </row>
    <row r="172" spans="5:19" s="1" customFormat="1" x14ac:dyDescent="0.25">
      <c r="E172" s="2"/>
      <c r="G172" s="665"/>
      <c r="L172" s="665"/>
      <c r="M172" s="665"/>
      <c r="N172" s="665"/>
      <c r="O172" s="665"/>
      <c r="P172" s="665"/>
      <c r="Q172" s="665"/>
      <c r="R172" s="665"/>
      <c r="S172" s="665"/>
    </row>
    <row r="173" spans="5:19" s="1" customFormat="1" x14ac:dyDescent="0.25">
      <c r="E173" s="2"/>
      <c r="G173" s="665"/>
      <c r="L173" s="665"/>
      <c r="M173" s="665"/>
      <c r="N173" s="665"/>
      <c r="O173" s="665"/>
      <c r="P173" s="665"/>
      <c r="Q173" s="665"/>
      <c r="R173" s="665"/>
      <c r="S173" s="665"/>
    </row>
    <row r="174" spans="5:19" s="1" customFormat="1" x14ac:dyDescent="0.25">
      <c r="E174" s="2"/>
      <c r="G174" s="665"/>
      <c r="L174" s="665"/>
      <c r="M174" s="665"/>
      <c r="N174" s="665"/>
      <c r="O174" s="665"/>
      <c r="P174" s="665"/>
      <c r="Q174" s="665"/>
      <c r="R174" s="665"/>
      <c r="S174" s="665"/>
    </row>
    <row r="175" spans="5:19" s="1" customFormat="1" x14ac:dyDescent="0.25">
      <c r="E175" s="2"/>
      <c r="G175" s="665"/>
      <c r="L175" s="665"/>
      <c r="M175" s="665"/>
      <c r="N175" s="665"/>
      <c r="O175" s="665"/>
      <c r="P175" s="665"/>
      <c r="Q175" s="665"/>
      <c r="R175" s="665"/>
      <c r="S175" s="665"/>
    </row>
    <row r="176" spans="5:19" s="1" customFormat="1" x14ac:dyDescent="0.25">
      <c r="E176" s="2"/>
      <c r="G176" s="665"/>
      <c r="L176" s="665"/>
      <c r="M176" s="665"/>
      <c r="N176" s="665"/>
      <c r="O176" s="665"/>
      <c r="P176" s="665"/>
      <c r="Q176" s="665"/>
      <c r="R176" s="665"/>
      <c r="S176" s="665"/>
    </row>
    <row r="177" spans="5:19" s="1" customFormat="1" x14ac:dyDescent="0.25">
      <c r="E177" s="2"/>
      <c r="G177" s="665"/>
      <c r="L177" s="665"/>
      <c r="M177" s="665"/>
      <c r="N177" s="665"/>
      <c r="O177" s="665"/>
      <c r="P177" s="665"/>
      <c r="Q177" s="665"/>
      <c r="R177" s="665"/>
      <c r="S177" s="665"/>
    </row>
    <row r="178" spans="5:19" s="1" customFormat="1" x14ac:dyDescent="0.25">
      <c r="E178" s="2"/>
      <c r="G178" s="665"/>
      <c r="L178" s="665"/>
      <c r="M178" s="665"/>
      <c r="N178" s="665"/>
      <c r="O178" s="665"/>
      <c r="P178" s="665"/>
      <c r="Q178" s="665"/>
      <c r="R178" s="665"/>
      <c r="S178" s="665"/>
    </row>
    <row r="179" spans="5:19" s="1" customFormat="1" x14ac:dyDescent="0.25">
      <c r="E179" s="2"/>
      <c r="G179" s="665"/>
      <c r="L179" s="665"/>
      <c r="M179" s="665"/>
      <c r="N179" s="665"/>
      <c r="O179" s="665"/>
      <c r="P179" s="665"/>
      <c r="Q179" s="665"/>
      <c r="R179" s="665"/>
      <c r="S179" s="665"/>
    </row>
    <row r="180" spans="5:19" s="1" customFormat="1" x14ac:dyDescent="0.25">
      <c r="E180" s="2"/>
      <c r="G180" s="665"/>
      <c r="L180" s="665"/>
      <c r="M180" s="665"/>
      <c r="N180" s="665"/>
      <c r="O180" s="665"/>
      <c r="P180" s="665"/>
      <c r="Q180" s="665"/>
      <c r="R180" s="665"/>
      <c r="S180" s="665"/>
    </row>
    <row r="181" spans="5:19" s="1" customFormat="1" x14ac:dyDescent="0.25">
      <c r="E181" s="2"/>
      <c r="G181" s="665"/>
      <c r="L181" s="665"/>
      <c r="M181" s="665"/>
      <c r="N181" s="665"/>
      <c r="O181" s="665"/>
      <c r="P181" s="665"/>
      <c r="Q181" s="665"/>
      <c r="R181" s="665"/>
      <c r="S181" s="665"/>
    </row>
    <row r="182" spans="5:19" s="1" customFormat="1" x14ac:dyDescent="0.25">
      <c r="E182" s="2"/>
      <c r="G182" s="665"/>
      <c r="L182" s="665"/>
      <c r="M182" s="665"/>
      <c r="N182" s="665"/>
      <c r="O182" s="665"/>
      <c r="P182" s="665"/>
      <c r="Q182" s="665"/>
      <c r="R182" s="665"/>
      <c r="S182" s="665"/>
    </row>
    <row r="183" spans="5:19" s="1" customFormat="1" x14ac:dyDescent="0.25">
      <c r="E183" s="2"/>
      <c r="G183" s="665"/>
      <c r="L183" s="665"/>
      <c r="M183" s="665"/>
      <c r="N183" s="665"/>
      <c r="O183" s="665"/>
      <c r="P183" s="665"/>
      <c r="Q183" s="665"/>
      <c r="R183" s="665"/>
      <c r="S183" s="665"/>
    </row>
    <row r="184" spans="5:19" s="1" customFormat="1" x14ac:dyDescent="0.25">
      <c r="E184" s="2"/>
      <c r="G184" s="665"/>
      <c r="L184" s="665"/>
      <c r="M184" s="665"/>
      <c r="N184" s="665"/>
      <c r="O184" s="665"/>
      <c r="P184" s="665"/>
      <c r="Q184" s="665"/>
      <c r="R184" s="665"/>
      <c r="S184" s="665"/>
    </row>
    <row r="185" spans="5:19" s="1" customFormat="1" x14ac:dyDescent="0.25">
      <c r="E185" s="2"/>
      <c r="G185" s="665"/>
      <c r="L185" s="665"/>
      <c r="M185" s="665"/>
      <c r="N185" s="665"/>
      <c r="O185" s="665"/>
      <c r="P185" s="665"/>
      <c r="Q185" s="665"/>
      <c r="R185" s="665"/>
      <c r="S185" s="665"/>
    </row>
    <row r="186" spans="5:19" s="1" customFormat="1" x14ac:dyDescent="0.25">
      <c r="E186" s="2"/>
      <c r="G186" s="665"/>
      <c r="L186" s="665"/>
      <c r="M186" s="665"/>
      <c r="N186" s="665"/>
      <c r="O186" s="665"/>
      <c r="P186" s="665"/>
      <c r="Q186" s="665"/>
      <c r="R186" s="665"/>
      <c r="S186" s="665"/>
    </row>
  </sheetData>
  <sheetProtection algorithmName="SHA-512" hashValue="SErCx63/sGLF56GmSCjyuWCxAQzl9sflSgD2qa+rhE5j7lNHkgqSlERG6anNn6qvoddXEcIux+hcA9bRJMpf6Q==" saltValue="jJqT9pXsUOpM+Q14Pwvifg==" spinCount="100000" sheet="1" formatCells="0"/>
  <sortState xmlns:xlrd2="http://schemas.microsoft.com/office/spreadsheetml/2017/richdata2" ref="U82:U86">
    <sortCondition ref="U82"/>
  </sortState>
  <dataConsolidate/>
  <mergeCells count="5">
    <mergeCell ref="B46:F46"/>
    <mergeCell ref="B49:F49"/>
    <mergeCell ref="B40:F40"/>
    <mergeCell ref="B35:C35"/>
    <mergeCell ref="E35:F35"/>
  </mergeCells>
  <phoneticPr fontId="22" type="noConversion"/>
  <conditionalFormatting sqref="E17 F17">
    <cfRule type="expression" dxfId="472" priority="10">
      <formula>$F$5&lt;&gt;$J$5</formula>
    </cfRule>
  </conditionalFormatting>
  <conditionalFormatting sqref="E16:F16 E17">
    <cfRule type="expression" dxfId="471" priority="128">
      <formula>$F$5&lt;&gt;$J$5</formula>
    </cfRule>
  </conditionalFormatting>
  <conditionalFormatting sqref="E19:F19">
    <cfRule type="expression" dxfId="470" priority="130">
      <formula>$F$5=$J$9</formula>
    </cfRule>
  </conditionalFormatting>
  <conditionalFormatting sqref="E22:F22">
    <cfRule type="expression" dxfId="469" priority="131">
      <formula>$F$21=$N$29</formula>
    </cfRule>
  </conditionalFormatting>
  <conditionalFormatting sqref="E14:F14">
    <cfRule type="expression" dxfId="468" priority="132">
      <formula>$F$5&lt;&gt;$J$9</formula>
    </cfRule>
  </conditionalFormatting>
  <conditionalFormatting sqref="E15:F23">
    <cfRule type="expression" dxfId="467" priority="3">
      <formula>$F$5=$T$5</formula>
    </cfRule>
  </conditionalFormatting>
  <conditionalFormatting sqref="E25:F27">
    <cfRule type="expression" dxfId="466" priority="2">
      <formula>$F$5=$T$5</formula>
    </cfRule>
  </conditionalFormatting>
  <conditionalFormatting sqref="E24:F24">
    <cfRule type="expression" dxfId="465" priority="1">
      <formula>$F$5=$T$5</formula>
    </cfRule>
  </conditionalFormatting>
  <dataValidations xWindow="982" yWindow="379" count="27">
    <dataValidation type="list" allowBlank="1" showInputMessage="1" showErrorMessage="1" sqref="M98" xr:uid="{00000000-0002-0000-0100-000000000000}">
      <formula1>$M$96:$M$97</formula1>
    </dataValidation>
    <dataValidation allowBlank="1" showErrorMessage="1" sqref="F13:F14 C6 C14:C17 C23:C32 E34" xr:uid="{00000000-0002-0000-0100-000001000000}"/>
    <dataValidation allowBlank="1" showInputMessage="1" showErrorMessage="1" prompt="This is the building address that will appear on the BREEAM certificate and GreenBook Live listing." sqref="B16" xr:uid="{00000000-0002-0000-0100-000002000000}"/>
    <dataValidation allowBlank="1" showInputMessage="1" showErrorMessage="1" prompt="This is a unique reference number supplied by BRE at project registration. If you wish to use this tool to begin an assessment but do not have a reference number, then enter &quot;to be confirmed&quot; in this field (and enter the reference number at a later date)." sqref="C5" xr:uid="{00000000-0002-0000-0100-000003000000}"/>
    <dataValidation allowBlank="1" showInputMessage="1" showErrorMessage="1" promptTitle="Building name" prompt="If you are unable to confirm this information at present, then enter &quot;to be confirmed&quot; in this field (and confirm at a later date)" sqref="C13" xr:uid="{00000000-0002-0000-0100-000004000000}"/>
    <dataValidation type="list" allowBlank="1" showErrorMessage="1" error="Incorrect entry, please re-try." sqref="F8" xr:uid="{00000000-0002-0000-0100-000005000000}">
      <formula1>ADAS01</formula1>
    </dataValidation>
    <dataValidation allowBlank="1" showInputMessage="1" showErrorMessage="1" error="Invalid data entry, please retry." prompt="This information will determine, in part, the applicability of BREEAM issue Ene07 and the number of credits available for BREEAM issue Hea02, when the criteria have been finalised for laboratory facilities." sqref="M43" xr:uid="{00000000-0002-0000-0100-000006000000}"/>
    <dataValidation type="list" allowBlank="1" showErrorMessage="1" error="Invalid data entry, please retry." sqref="F21" xr:uid="{00000000-0002-0000-0100-000007000000}">
      <formula1>AD_Labsize_list</formula1>
    </dataValidation>
    <dataValidation type="list" allowBlank="1" showInputMessage="1" showErrorMessage="1" error="Invalid data entry, please retry." prompt="If the building has a mixture of lab space of differeing containment levels, then select the highest contaiment level applicable. e.g. if there are level 1 and 2 category labs then select cat level 2._x000a_" sqref="F22" xr:uid="{00000000-0002-0000-0100-000008000000}">
      <formula1>$N$31:$N$33</formula1>
    </dataValidation>
    <dataValidation type="list" showErrorMessage="1" error="Invalid data entry, please retry." sqref="F16:F17" xr:uid="{00000000-0002-0000-0100-000009000000}">
      <formula1>AD_YesNo</formula1>
    </dataValidation>
    <dataValidation type="list" allowBlank="1" showErrorMessage="1" error="Invalid data entry, please retry." sqref="F23 F25:F26 F18:F20" xr:uid="{00000000-0002-0000-0100-00000A000000}">
      <formula1>AD_YesNo</formula1>
    </dataValidation>
    <dataValidation type="list" allowBlank="1" showInputMessage="1" showErrorMessage="1" sqref="M64" xr:uid="{00000000-0002-0000-0100-00000B000000}">
      <formula1>TRA01_BuildType</formula1>
    </dataValidation>
    <dataValidation allowBlank="1" showInputMessage="1" showErrorMessage="1" prompt="Insert an electornic signature here." sqref="C61" xr:uid="{00000000-0002-0000-0100-00000C000000}"/>
    <dataValidation type="list" allowBlank="1" showInputMessage="1" showErrorMessage="1" error="Invalid data entry, please re-try" sqref="F9" xr:uid="{00000000-0002-0000-0100-00000D000000}">
      <formula1>AD_BREEAM_stage</formula1>
    </dataValidation>
    <dataValidation allowBlank="1" showInputMessage="1" showErrorMessage="1" error="Invalid data entry, please retry." sqref="F30:F32" xr:uid="{00000000-0002-0000-0100-00000E000000}"/>
    <dataValidation type="list" allowBlank="1" showErrorMessage="1" error="Please review, your data entry is invalid." sqref="F5" xr:uid="{00000000-0002-0000-0100-00000F000000}">
      <formula1>$J$5:$J$9</formula1>
    </dataValidation>
    <dataValidation type="list" allowBlank="1" showInputMessage="1" showErrorMessage="1" error="Invalid data entry, please re-try" sqref="F10" xr:uid="{00000000-0002-0000-0100-000010000000}">
      <formula1>$N$8</formula1>
    </dataValidation>
    <dataValidation allowBlank="1" showErrorMessage="1" prompt=" " sqref="F12" xr:uid="{00000000-0002-0000-0100-000011000000}"/>
    <dataValidation allowBlank="1" showInputMessage="1" showErrorMessage="1" prompt="Bruksareal (BRA) er arealet innenfor omsluttede vegger, ref NS 3940:2012" sqref="E12" xr:uid="{00000000-0002-0000-0100-000012000000}"/>
    <dataValidation allowBlank="1" showInputMessage="1" showErrorMessage="1" prompt="Bruttoareal (BTA) er arealet begrenset av ytterveggens utside eller midt i delevegg, ref NS 3940:2012" sqref="E13" xr:uid="{00000000-0002-0000-0100-000013000000}"/>
    <dataValidation allowBlank="1" showInputMessage="1" showErrorMessage="1" prompt="Det er ingen definisjon av BRAs (salgbart bruksareal) iht. NS 3940:2012. BRAs er den enkelte leilighets BRA, det vil si areal innenfor omsluttende vegger i leiligheten. " sqref="E14" xr:uid="{00000000-0002-0000-0100-000014000000}"/>
    <dataValidation type="list" allowBlank="1" showErrorMessage="1" error="Please review, your data entry is invalid." sqref="F6" xr:uid="{00000000-0002-0000-0100-000015000000}">
      <formula1>$L$5:$L$13</formula1>
    </dataValidation>
    <dataValidation type="list" allowBlank="1" showErrorMessage="1" error="Incorrect entry, please retry." sqref="F7" xr:uid="{00000000-0002-0000-0100-000016000000}">
      <formula1>$N$11:$N$14</formula1>
    </dataValidation>
    <dataValidation type="list" allowBlank="1" showInputMessage="1" showErrorMessage="1" error="Invalid data entry, please retry." prompt="This information determines the applicability of BREEAM issue Ene02a." sqref="G77 N42" xr:uid="{00000000-0002-0000-0100-000017000000}">
      <formula1>AD_YesNo</formula1>
    </dataValidation>
    <dataValidation type="list" allowBlank="1" showErrorMessage="1" error="Invalid data entry, please retry." prompt="If the answer to this question is not known, please select Yes and engage with an appropriate person(s)." sqref="F24" xr:uid="{00000000-0002-0000-0100-000018000000}">
      <formula1>$L$56:$L$59</formula1>
    </dataValidation>
    <dataValidation allowBlank="1" showErrorMessage="1" prompt="Please state the company name." sqref="B35" xr:uid="{00000000-0002-0000-0100-000019000000}"/>
    <dataValidation allowBlank="1" showInputMessage="1" showErrorMessage="1" promptTitle="Building description" prompt="Include a brief description og the building (layout, number of floors, etc.). Indicate what is included and if there are any areas excluded from the assessment." sqref="E35:F35" xr:uid="{00000000-0002-0000-0100-00001B000000}"/>
  </dataValidations>
  <printOptions horizontalCentered="1"/>
  <pageMargins left="0.43307086614173229" right="0.31496062992125984" top="0.47244094488188981" bottom="0.15748031496062992" header="0.27559055118110237" footer="0.15748031496062992"/>
  <pageSetup paperSize="9" scale="52" orientation="landscape" errors="blank" r:id="rId1"/>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5" id="{240F26BE-6750-453C-920D-0E16B2A89131}">
            <xm:f>'Manuell filtrering og justering'!$H$2='Manuell filtrering og justering'!$I$2</xm:f>
            <x14:dxf>
              <border>
                <top style="thin">
                  <color theme="0"/>
                </top>
                <vertical/>
                <horizontal/>
              </border>
            </x14:dxf>
          </x14:cfRule>
          <xm:sqref>B17</xm:sqref>
        </x14:conditionalFormatting>
        <x14:conditionalFormatting xmlns:xm="http://schemas.microsoft.com/office/excel/2006/main">
          <x14:cfRule type="expression" priority="4" id="{15BD1200-67FE-42E0-955A-22C5BFC5B389}">
            <xm:f>'Manuell filtrering og justering'!$H$2='Manuell filtrering og justering'!$I$2</xm:f>
            <x14:dxf>
              <border>
                <top style="thin">
                  <color auto="1"/>
                </top>
                <vertical/>
                <horizontal/>
              </border>
            </x14:dxf>
          </x14:cfRule>
          <xm:sqref>C17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B259"/>
  <sheetViews>
    <sheetView zoomScaleNormal="100" zoomScalePageLayoutView="30" workbookViewId="0">
      <pane ySplit="8" topLeftCell="A9" activePane="bottomLeft" state="frozen"/>
      <selection pane="bottomLeft" activeCell="J38" sqref="J38"/>
    </sheetView>
  </sheetViews>
  <sheetFormatPr defaultColWidth="9.140625" defaultRowHeight="15" x14ac:dyDescent="0.25"/>
  <cols>
    <col min="1" max="2" width="2.28515625" style="1" customWidth="1"/>
    <col min="3" max="3" width="41.85546875" style="1" customWidth="1"/>
    <col min="4" max="4" width="9.140625" style="1" customWidth="1"/>
    <col min="5" max="5" width="7.42578125" style="1" customWidth="1"/>
    <col min="6" max="6" width="12" style="1" customWidth="1"/>
    <col min="7" max="7" width="20" style="1" customWidth="1"/>
    <col min="8" max="8" width="8.140625" style="1" customWidth="1"/>
    <col min="9" max="9" width="5.140625" style="1" customWidth="1"/>
    <col min="10" max="10" width="34.28515625" style="1" customWidth="1"/>
    <col min="11" max="11" width="1" style="24" customWidth="1"/>
    <col min="12" max="12" width="7.28515625" style="311" customWidth="1"/>
    <col min="13" max="13" width="7.7109375" style="311" customWidth="1"/>
    <col min="14" max="14" width="4.85546875" style="311" customWidth="1"/>
    <col min="15" max="15" width="8.28515625" style="311" customWidth="1"/>
    <col min="16" max="16" width="23.140625" style="311" customWidth="1"/>
    <col min="17" max="17" width="1" style="161" customWidth="1"/>
    <col min="18" max="18" width="7" style="311" customWidth="1"/>
    <col min="19" max="19" width="7.7109375" style="311" customWidth="1"/>
    <col min="20" max="20" width="4.85546875" style="311" customWidth="1"/>
    <col min="21" max="21" width="8.140625" style="311" customWidth="1"/>
    <col min="22" max="22" width="23.42578125" style="311" customWidth="1"/>
    <col min="23" max="23" width="1" style="24" customWidth="1"/>
    <col min="24" max="24" width="22.28515625" style="24" customWidth="1"/>
    <col min="25" max="25" width="6.42578125" style="161" hidden="1" customWidth="1"/>
    <col min="26" max="26" width="15.7109375" style="311" hidden="1" customWidth="1"/>
    <col min="27" max="28" width="9.140625" style="311" hidden="1" customWidth="1"/>
    <col min="29" max="30" width="9.140625" style="1" hidden="1" customWidth="1"/>
    <col min="31" max="31" width="7.140625" style="1" hidden="1" customWidth="1"/>
    <col min="32" max="32" width="43" style="1" hidden="1" customWidth="1"/>
    <col min="33" max="33" width="11.85546875" style="1" hidden="1" customWidth="1"/>
    <col min="34" max="34" width="27" style="1" hidden="1" customWidth="1"/>
    <col min="35" max="38" width="8.5703125" style="1" hidden="1" customWidth="1"/>
    <col min="39" max="47" width="9.140625" style="1" hidden="1" customWidth="1"/>
    <col min="48" max="48" width="7" style="1" hidden="1" customWidth="1"/>
    <col min="49" max="49" width="9.140625" style="1" hidden="1" customWidth="1"/>
    <col min="50" max="82" width="9.140625" style="1" customWidth="1"/>
    <col min="83" max="16384" width="9.140625" style="1"/>
  </cols>
  <sheetData>
    <row r="1" spans="1:54" ht="42" customHeight="1" x14ac:dyDescent="0.35">
      <c r="A1" s="104"/>
      <c r="B1" s="104"/>
      <c r="C1" s="317" t="s">
        <v>325</v>
      </c>
      <c r="D1" s="318"/>
      <c r="E1" s="318"/>
      <c r="F1" s="317"/>
      <c r="G1" s="318"/>
      <c r="H1" s="318"/>
      <c r="I1" s="318"/>
      <c r="J1" s="477"/>
      <c r="K1" s="318"/>
      <c r="L1" s="318"/>
      <c r="M1" s="318"/>
      <c r="N1" s="318"/>
      <c r="O1" s="318"/>
      <c r="P1" s="318"/>
      <c r="Q1" s="318"/>
      <c r="R1" s="318"/>
      <c r="S1" s="318"/>
      <c r="T1" s="318"/>
      <c r="U1" s="318"/>
      <c r="V1" s="816" t="str">
        <f>IF('Manuell filtrering og justering'!H2='Manuell filtrering og justering'!I2,"Bespoke","")</f>
        <v/>
      </c>
      <c r="W1" s="318"/>
      <c r="X1" s="318"/>
      <c r="Y1" s="318"/>
      <c r="Z1" s="1"/>
      <c r="AA1" s="1"/>
      <c r="AB1" s="1"/>
      <c r="AE1" s="851" t="s">
        <v>546</v>
      </c>
      <c r="AF1" s="850"/>
      <c r="AG1" s="850"/>
      <c r="AH1" s="850"/>
      <c r="AI1" s="850"/>
      <c r="AJ1" s="850"/>
      <c r="AK1" s="850"/>
      <c r="AL1" s="850"/>
      <c r="AM1" s="850"/>
      <c r="AN1" s="850"/>
      <c r="AO1" s="850"/>
      <c r="AP1" s="850"/>
      <c r="AQ1" s="850"/>
      <c r="AR1" s="850"/>
      <c r="AS1" s="850"/>
      <c r="AT1" s="850"/>
      <c r="AU1" s="850"/>
      <c r="AV1" s="850"/>
      <c r="AW1" s="850"/>
    </row>
    <row r="2" spans="1:54" s="68" customFormat="1" ht="6" customHeight="1" x14ac:dyDescent="0.25">
      <c r="C2" s="110">
        <v>1</v>
      </c>
      <c r="D2" s="111">
        <v>2</v>
      </c>
      <c r="E2" s="110">
        <v>3</v>
      </c>
      <c r="F2" s="111">
        <v>4</v>
      </c>
      <c r="G2" s="110">
        <v>5</v>
      </c>
      <c r="H2" s="111">
        <v>6</v>
      </c>
      <c r="I2" s="110">
        <v>7</v>
      </c>
      <c r="J2" s="111">
        <v>8</v>
      </c>
      <c r="K2" s="110">
        <v>9</v>
      </c>
      <c r="L2" s="111">
        <v>10</v>
      </c>
      <c r="M2" s="110">
        <v>11</v>
      </c>
      <c r="N2" s="111">
        <v>12</v>
      </c>
      <c r="O2" s="110">
        <v>13</v>
      </c>
      <c r="P2" s="111">
        <v>14</v>
      </c>
      <c r="Q2" s="110">
        <v>15</v>
      </c>
      <c r="R2" s="111">
        <v>16</v>
      </c>
      <c r="S2" s="110">
        <v>17</v>
      </c>
      <c r="T2" s="111">
        <v>18</v>
      </c>
      <c r="U2" s="110">
        <v>19</v>
      </c>
      <c r="V2" s="111">
        <v>20</v>
      </c>
      <c r="W2" s="111">
        <v>21</v>
      </c>
      <c r="X2" s="111">
        <v>22</v>
      </c>
      <c r="Y2" s="111">
        <v>23</v>
      </c>
      <c r="Z2" s="111">
        <v>24</v>
      </c>
      <c r="AA2" s="111">
        <v>25</v>
      </c>
      <c r="AB2" s="111">
        <v>26</v>
      </c>
      <c r="AC2" s="111">
        <v>27</v>
      </c>
      <c r="AD2" s="111">
        <v>28</v>
      </c>
      <c r="AE2" s="111">
        <v>29</v>
      </c>
      <c r="AF2" s="111">
        <v>30</v>
      </c>
      <c r="AG2" s="111">
        <v>31</v>
      </c>
      <c r="AH2" s="111">
        <v>32</v>
      </c>
      <c r="AI2" s="111">
        <v>33</v>
      </c>
      <c r="AJ2" s="111">
        <v>34</v>
      </c>
      <c r="AK2" s="111">
        <v>35</v>
      </c>
      <c r="AL2" s="111">
        <v>36</v>
      </c>
      <c r="AM2" s="111">
        <v>37</v>
      </c>
      <c r="AN2" s="111">
        <v>38</v>
      </c>
      <c r="AO2" s="111">
        <v>39</v>
      </c>
      <c r="AP2" s="111">
        <v>40</v>
      </c>
      <c r="AQ2" s="111">
        <v>41</v>
      </c>
      <c r="AR2" s="111">
        <v>42</v>
      </c>
      <c r="AS2" s="111">
        <v>43</v>
      </c>
      <c r="AT2" s="111">
        <v>44</v>
      </c>
      <c r="AU2" s="111">
        <v>45</v>
      </c>
      <c r="AV2" s="111">
        <v>46</v>
      </c>
      <c r="AW2" s="111">
        <v>47</v>
      </c>
    </row>
    <row r="3" spans="1:54" ht="20.25" customHeight="1" x14ac:dyDescent="0.4">
      <c r="A3" s="3"/>
      <c r="B3" s="3"/>
      <c r="C3" s="347"/>
      <c r="D3" s="112"/>
      <c r="E3" s="895" t="s">
        <v>233</v>
      </c>
      <c r="F3" s="896"/>
      <c r="G3" s="896"/>
      <c r="H3" s="896"/>
      <c r="I3" s="896"/>
      <c r="J3" s="349"/>
      <c r="K3" s="326"/>
      <c r="L3" s="895" t="s">
        <v>238</v>
      </c>
      <c r="M3" s="896"/>
      <c r="N3" s="896"/>
      <c r="O3" s="896"/>
      <c r="P3" s="897"/>
      <c r="Q3" s="857"/>
      <c r="R3" s="895" t="s">
        <v>239</v>
      </c>
      <c r="S3" s="896"/>
      <c r="T3" s="896"/>
      <c r="U3" s="896"/>
      <c r="V3" s="897"/>
      <c r="W3" s="857"/>
      <c r="X3" s="868" t="s">
        <v>544</v>
      </c>
      <c r="Y3" s="817"/>
      <c r="Z3" s="817"/>
      <c r="AA3" s="817"/>
      <c r="AB3" s="818"/>
      <c r="AF3" s="3" t="s">
        <v>523</v>
      </c>
      <c r="AG3" s="1" t="str">
        <f>ADPT</f>
        <v>New Construction (fully fitted)</v>
      </c>
    </row>
    <row r="4" spans="1:54" s="2" customFormat="1" ht="15" customHeight="1" x14ac:dyDescent="0.25">
      <c r="A4" s="3"/>
      <c r="B4" s="3"/>
      <c r="C4" s="113" t="s">
        <v>22</v>
      </c>
      <c r="D4" s="108"/>
      <c r="E4" s="114" t="s">
        <v>356</v>
      </c>
      <c r="F4" s="115"/>
      <c r="G4" s="113"/>
      <c r="H4" s="116" t="str">
        <f>BP_BREEAMRating</f>
        <v>Unclassified</v>
      </c>
      <c r="I4" s="117"/>
      <c r="J4" s="320" t="s">
        <v>331</v>
      </c>
      <c r="K4" s="118"/>
      <c r="L4" s="119" t="str">
        <f>IF(P7=Poeng!C124,Poeng!D124,Poeng!E124)</f>
        <v>To activate select YES in cell P7</v>
      </c>
      <c r="M4" s="120"/>
      <c r="N4" s="120"/>
      <c r="O4" s="113"/>
      <c r="P4" s="121" t="str">
        <f>Poeng!AV112</f>
        <v>Unclassified</v>
      </c>
      <c r="Q4" s="122"/>
      <c r="R4" s="119" t="str">
        <f>IF(V7=Poeng!C124,Poeng!D125,Poeng!E125)</f>
        <v>To activate select YES in cell V7</v>
      </c>
      <c r="S4" s="120"/>
      <c r="T4" s="120"/>
      <c r="U4" s="113"/>
      <c r="V4" s="121" t="str">
        <f>Poeng!AY112</f>
        <v>Unclassified</v>
      </c>
      <c r="W4" s="108"/>
      <c r="X4" s="898" t="s">
        <v>581</v>
      </c>
      <c r="Y4" s="122"/>
      <c r="Z4" s="38"/>
      <c r="AA4" s="38"/>
      <c r="AB4" s="38"/>
      <c r="AC4" s="38"/>
      <c r="AF4" s="50" t="str">
        <f>IF(OR(AG3=AG4,AG3=AG5),ais_yes,ais_no)</f>
        <v>Nei</v>
      </c>
      <c r="AG4" s="2" t="str">
        <f>ADPT02</f>
        <v xml:space="preserve">New Construction (shell only) </v>
      </c>
      <c r="AQ4" s="21"/>
      <c r="AR4" s="21"/>
      <c r="AS4" s="21"/>
      <c r="AT4" s="21"/>
    </row>
    <row r="5" spans="1:54" s="2" customFormat="1" ht="15" customHeight="1" x14ac:dyDescent="0.25">
      <c r="A5" s="3"/>
      <c r="B5" s="3"/>
      <c r="C5" s="123" t="str">
        <f>IF(ISBLANK(ADBN),"",ADBN)</f>
        <v/>
      </c>
      <c r="D5" s="108"/>
      <c r="E5" s="124" t="s">
        <v>89</v>
      </c>
      <c r="F5" s="125"/>
      <c r="G5" s="126"/>
      <c r="H5" s="327">
        <f>Score_Initial</f>
        <v>0</v>
      </c>
      <c r="I5" s="127"/>
      <c r="J5" s="320" t="s">
        <v>332</v>
      </c>
      <c r="K5" s="118"/>
      <c r="L5" s="128" t="s">
        <v>89</v>
      </c>
      <c r="M5" s="129"/>
      <c r="N5" s="129"/>
      <c r="O5" s="126"/>
      <c r="P5" s="328">
        <f>Score_design</f>
        <v>0</v>
      </c>
      <c r="Q5" s="122"/>
      <c r="R5" s="128" t="s">
        <v>89</v>
      </c>
      <c r="S5" s="129"/>
      <c r="T5" s="129"/>
      <c r="U5" s="126"/>
      <c r="V5" s="328">
        <f>Score_const</f>
        <v>0</v>
      </c>
      <c r="W5" s="108"/>
      <c r="X5" s="899"/>
      <c r="Y5" s="122"/>
      <c r="Z5" s="330"/>
      <c r="AA5" s="330"/>
      <c r="AB5" s="330"/>
      <c r="AC5" s="330"/>
      <c r="AF5" s="786"/>
      <c r="AG5" s="822" t="str">
        <f>ADPT04</f>
        <v>Major Refurbishment (shell only)</v>
      </c>
    </row>
    <row r="6" spans="1:54" s="2" customFormat="1" ht="15" customHeight="1" thickBot="1" x14ac:dyDescent="0.3">
      <c r="A6" s="3"/>
      <c r="B6" s="3"/>
      <c r="C6" s="130" t="str">
        <f>"Pre-Assessment Estimator Version: "&amp;TVC_current_version</f>
        <v>Pre-Assessment Estimator Version: 1.08</v>
      </c>
      <c r="D6" s="108"/>
      <c r="E6" s="124" t="s">
        <v>84</v>
      </c>
      <c r="F6" s="125"/>
      <c r="G6" s="126"/>
      <c r="H6" s="131" t="str">
        <f>BP_MinStandards</f>
        <v>Unclassified</v>
      </c>
      <c r="I6" s="132"/>
      <c r="J6" s="320" t="s">
        <v>333</v>
      </c>
      <c r="K6" s="118"/>
      <c r="L6" s="128" t="s">
        <v>84</v>
      </c>
      <c r="M6" s="129"/>
      <c r="N6" s="129"/>
      <c r="O6" s="126"/>
      <c r="P6" s="133" t="str">
        <f>BP_MinStandards_design</f>
        <v>Unclassified</v>
      </c>
      <c r="Q6" s="122"/>
      <c r="R6" s="128" t="s">
        <v>84</v>
      </c>
      <c r="S6" s="129"/>
      <c r="T6" s="129"/>
      <c r="U6" s="126"/>
      <c r="V6" s="133" t="str">
        <f>BP_MinStandards_const</f>
        <v>Unclassified</v>
      </c>
      <c r="W6" s="108"/>
      <c r="X6" s="899"/>
      <c r="Y6" s="122"/>
      <c r="Z6" s="330"/>
      <c r="AA6" s="330"/>
      <c r="AB6" s="330"/>
      <c r="AC6" s="330"/>
      <c r="AF6" s="786" t="s">
        <v>529</v>
      </c>
      <c r="AG6" s="484"/>
      <c r="AH6" s="484"/>
      <c r="AI6" s="484"/>
      <c r="AJ6" s="484"/>
      <c r="AK6" s="484"/>
      <c r="AL6" s="484"/>
      <c r="AM6" s="24"/>
      <c r="AN6" s="24"/>
      <c r="AO6" s="24"/>
      <c r="AP6" s="24"/>
      <c r="AQ6" s="24"/>
      <c r="AR6" s="24"/>
      <c r="AS6" s="24"/>
      <c r="AT6" s="24"/>
      <c r="AU6" s="24"/>
      <c r="AV6" s="24"/>
      <c r="AW6" s="24"/>
      <c r="AX6" s="24"/>
      <c r="AY6" s="24"/>
      <c r="AZ6" s="554"/>
      <c r="BA6" s="554"/>
      <c r="BB6" s="554"/>
    </row>
    <row r="7" spans="1:54" s="2" customFormat="1" ht="15" customHeight="1" x14ac:dyDescent="0.25">
      <c r="C7" s="106" t="str">
        <f>IF(OR(Poeng!AT112=1,Poeng!AW112=1,Poeng!AZ112=1),Poeng!AL117,"")</f>
        <v/>
      </c>
      <c r="D7" s="108"/>
      <c r="E7" s="134"/>
      <c r="F7" s="135"/>
      <c r="G7" s="136"/>
      <c r="H7" s="136"/>
      <c r="I7" s="136"/>
      <c r="J7" s="344"/>
      <c r="K7" s="118"/>
      <c r="L7" s="128" t="s">
        <v>336</v>
      </c>
      <c r="M7" s="129"/>
      <c r="N7" s="129"/>
      <c r="O7" s="126"/>
      <c r="P7" s="885" t="s">
        <v>14</v>
      </c>
      <c r="Q7" s="122"/>
      <c r="R7" s="128" t="s">
        <v>336</v>
      </c>
      <c r="S7" s="129"/>
      <c r="T7" s="129"/>
      <c r="U7" s="126"/>
      <c r="V7" s="885" t="s">
        <v>14</v>
      </c>
      <c r="W7" s="108"/>
      <c r="X7" s="899"/>
      <c r="Y7" s="122"/>
      <c r="Z7" s="893" t="s">
        <v>274</v>
      </c>
      <c r="AA7" s="894"/>
      <c r="AB7" s="894"/>
      <c r="AC7" s="330"/>
      <c r="AF7" s="826" t="str">
        <f>IF(ADBT0=ADBT12,ais_no,ais_yes)</f>
        <v>Ja</v>
      </c>
      <c r="AG7" s="823"/>
      <c r="AH7" s="823"/>
      <c r="AI7" s="823"/>
      <c r="AJ7" s="829"/>
      <c r="AK7" s="829"/>
      <c r="AL7" s="829"/>
      <c r="AM7" s="24"/>
      <c r="AN7" s="24"/>
      <c r="AO7" s="24"/>
      <c r="AP7" s="24"/>
      <c r="AQ7" s="24"/>
      <c r="AR7" s="24"/>
      <c r="AS7" s="24"/>
      <c r="AT7" s="24"/>
      <c r="AU7" s="24"/>
      <c r="AV7" s="24"/>
      <c r="AW7" s="24"/>
      <c r="AX7" s="24"/>
      <c r="AY7" s="24"/>
      <c r="AZ7" s="38"/>
      <c r="BA7" s="38"/>
      <c r="BB7" s="38"/>
    </row>
    <row r="8" spans="1:54" ht="30.75" x14ac:dyDescent="0.3">
      <c r="A8" s="338" t="s">
        <v>235</v>
      </c>
      <c r="B8" s="338" t="s">
        <v>236</v>
      </c>
      <c r="C8" s="137" t="s">
        <v>232</v>
      </c>
      <c r="D8" s="321" t="s">
        <v>105</v>
      </c>
      <c r="E8" s="138" t="s">
        <v>46</v>
      </c>
      <c r="F8" s="139" t="s">
        <v>106</v>
      </c>
      <c r="G8" s="140" t="s">
        <v>53</v>
      </c>
      <c r="H8" s="319" t="s">
        <v>334</v>
      </c>
      <c r="I8" s="345" t="s">
        <v>279</v>
      </c>
      <c r="J8" s="346" t="s">
        <v>240</v>
      </c>
      <c r="K8" s="141"/>
      <c r="L8" s="142" t="s">
        <v>46</v>
      </c>
      <c r="M8" s="143" t="s">
        <v>334</v>
      </c>
      <c r="N8" s="143" t="s">
        <v>279</v>
      </c>
      <c r="O8" s="144" t="s">
        <v>278</v>
      </c>
      <c r="P8" s="145" t="s">
        <v>280</v>
      </c>
      <c r="Q8" s="146"/>
      <c r="R8" s="142" t="s">
        <v>46</v>
      </c>
      <c r="S8" s="143" t="s">
        <v>334</v>
      </c>
      <c r="T8" s="143" t="s">
        <v>279</v>
      </c>
      <c r="U8" s="144" t="s">
        <v>278</v>
      </c>
      <c r="V8" s="145" t="s">
        <v>280</v>
      </c>
      <c r="W8" s="122"/>
      <c r="X8" s="884" t="str">
        <f>IF(AF4=ais_yes,"Shell/core compliance?","")</f>
        <v/>
      </c>
      <c r="Y8" s="122"/>
      <c r="Z8" s="79" t="s">
        <v>275</v>
      </c>
      <c r="AA8" s="78" t="s">
        <v>276</v>
      </c>
      <c r="AB8" s="78" t="s">
        <v>277</v>
      </c>
      <c r="AE8" s="77" t="s">
        <v>547</v>
      </c>
      <c r="AU8" s="24"/>
      <c r="AV8" s="24"/>
      <c r="AW8" s="24"/>
      <c r="AX8" s="24"/>
      <c r="AY8" s="24"/>
      <c r="AZ8" s="18"/>
      <c r="BA8" s="18"/>
      <c r="BB8" s="18"/>
    </row>
    <row r="9" spans="1:54" ht="18.75" customHeight="1" x14ac:dyDescent="0.25">
      <c r="A9" s="398">
        <v>1</v>
      </c>
      <c r="B9" s="399" t="s">
        <v>66</v>
      </c>
      <c r="C9" s="400" t="s">
        <v>12</v>
      </c>
      <c r="D9" s="401"/>
      <c r="E9" s="402"/>
      <c r="F9" s="401"/>
      <c r="G9" s="401"/>
      <c r="H9" s="84"/>
      <c r="I9" s="76"/>
      <c r="J9" s="403"/>
      <c r="K9" s="404"/>
      <c r="L9" s="405"/>
      <c r="M9" s="84"/>
      <c r="N9" s="84"/>
      <c r="O9" s="424"/>
      <c r="P9" s="511"/>
      <c r="Q9" s="408"/>
      <c r="R9" s="405"/>
      <c r="S9" s="84"/>
      <c r="T9" s="84"/>
      <c r="U9" s="406"/>
      <c r="V9" s="407"/>
      <c r="W9" s="161"/>
      <c r="X9" s="825"/>
      <c r="Y9" s="122">
        <f t="shared" ref="Y9:Y40" si="0">IF(D9="",1,IF(D9=0,2,1))</f>
        <v>1</v>
      </c>
      <c r="Z9" s="331">
        <v>0</v>
      </c>
      <c r="AA9" s="331">
        <v>0</v>
      </c>
      <c r="AB9" s="331">
        <v>0</v>
      </c>
      <c r="AE9" s="77"/>
      <c r="AF9" s="852" t="s">
        <v>12</v>
      </c>
      <c r="AG9" s="824"/>
      <c r="AH9" s="824"/>
      <c r="AI9" s="824"/>
      <c r="AJ9" s="824"/>
      <c r="AK9" s="824"/>
      <c r="AL9" s="824"/>
      <c r="AN9" s="824"/>
      <c r="AO9" s="824"/>
      <c r="AP9" s="824"/>
      <c r="AQ9" s="824"/>
      <c r="AR9" s="828"/>
      <c r="AS9" s="828"/>
      <c r="AT9" s="828"/>
      <c r="AU9" s="24"/>
      <c r="AV9" s="403"/>
      <c r="AW9" s="24"/>
      <c r="AX9" s="24"/>
      <c r="AY9" s="24"/>
      <c r="AZ9" s="18"/>
      <c r="BA9" s="18"/>
      <c r="BB9" s="18"/>
    </row>
    <row r="10" spans="1:54" x14ac:dyDescent="0.25">
      <c r="A10" s="398">
        <v>2</v>
      </c>
      <c r="B10" s="322" t="s">
        <v>66</v>
      </c>
      <c r="C10" s="409" t="str">
        <f>Man_01</f>
        <v>Man 01 Project brief and design</v>
      </c>
      <c r="D10" s="147">
        <f>Man01_credits</f>
        <v>4</v>
      </c>
      <c r="E10" s="45"/>
      <c r="F10" s="148">
        <f>Man01_39</f>
        <v>0</v>
      </c>
      <c r="G10" s="149" t="str">
        <f>Man01_37</f>
        <v>N/A</v>
      </c>
      <c r="H10" s="88"/>
      <c r="I10" s="339" t="s">
        <v>0</v>
      </c>
      <c r="J10" s="341"/>
      <c r="K10" s="410"/>
      <c r="L10" s="48"/>
      <c r="M10" s="89"/>
      <c r="N10" s="88"/>
      <c r="O10" s="88"/>
      <c r="P10" s="341"/>
      <c r="Q10" s="411"/>
      <c r="R10" s="91"/>
      <c r="S10" s="89"/>
      <c r="T10" s="88"/>
      <c r="U10" s="88"/>
      <c r="V10" s="341"/>
      <c r="W10" s="162"/>
      <c r="X10" s="819" t="s">
        <v>14</v>
      </c>
      <c r="Y10" s="122">
        <f t="shared" si="0"/>
        <v>1</v>
      </c>
      <c r="Z10" s="3">
        <f>VLOOKUP(I10,'Assessment Details'!$L$45:$M$48,2,FALSE)</f>
        <v>4</v>
      </c>
      <c r="AA10" s="3" t="e">
        <f>VLOOKUP(N10,'Assessment Details'!$L$45:$M$48,2,FALSE)</f>
        <v>#N/A</v>
      </c>
      <c r="AB10" s="3" t="e">
        <f>VLOOKUP(T10,'Assessment Details'!$L$45:$M$48,2,FALSE)</f>
        <v>#N/A</v>
      </c>
      <c r="AE10" s="77"/>
      <c r="AF10" s="852" t="s">
        <v>341</v>
      </c>
      <c r="AG10" s="827" t="s">
        <v>14</v>
      </c>
      <c r="AH10" s="831" t="s">
        <v>13</v>
      </c>
      <c r="AI10" s="77"/>
      <c r="AJ10" s="77"/>
      <c r="AK10" s="77"/>
      <c r="AL10" s="77"/>
      <c r="AO10" s="24" t="str">
        <f t="shared" ref="AO10:AO41" si="1">IF($AF$4=ais_no,AIS_NA,IF(AG10="",AIS_NA,AG10))</f>
        <v>N/A</v>
      </c>
      <c r="AP10" s="24" t="str">
        <f t="shared" ref="AP10:AP41" si="2">IF($AF$4=ais_no,AIS_NA,IF(AH10="",AIS_NA,AH10))</f>
        <v>N/A</v>
      </c>
      <c r="AQ10" s="24" t="str">
        <f t="shared" ref="AQ10:AQ41" si="3">IF($AF$4=ais_no,AIS_NA,IF(AI10="",AIS_NA,AI10))</f>
        <v>N/A</v>
      </c>
      <c r="AR10" s="24"/>
      <c r="AS10" s="24"/>
      <c r="AT10" s="24"/>
      <c r="AU10" s="24"/>
      <c r="AV10" s="819"/>
      <c r="AW10" s="24"/>
      <c r="AX10" s="24"/>
      <c r="AY10" s="24"/>
      <c r="AZ10" s="18"/>
      <c r="BA10" s="18"/>
      <c r="BB10" s="18"/>
    </row>
    <row r="11" spans="1:54" x14ac:dyDescent="0.25">
      <c r="A11" s="398">
        <v>3</v>
      </c>
      <c r="B11" s="322" t="s">
        <v>66</v>
      </c>
      <c r="C11" s="409" t="str">
        <f>Man_02</f>
        <v>Man 02 Life cycle cost and service life planning</v>
      </c>
      <c r="D11" s="147">
        <f>Man02_credits</f>
        <v>4</v>
      </c>
      <c r="E11" s="45"/>
      <c r="F11" s="148">
        <f>Man02_12</f>
        <v>0</v>
      </c>
      <c r="G11" s="150" t="str">
        <f>Man02_minstd</f>
        <v>N/A</v>
      </c>
      <c r="H11" s="88"/>
      <c r="I11" s="339"/>
      <c r="J11" s="341"/>
      <c r="K11" s="412"/>
      <c r="L11" s="48"/>
      <c r="M11" s="89"/>
      <c r="N11" s="88"/>
      <c r="O11" s="88"/>
      <c r="P11" s="341"/>
      <c r="Q11" s="411"/>
      <c r="R11" s="91"/>
      <c r="S11" s="89"/>
      <c r="T11" s="88"/>
      <c r="U11" s="88"/>
      <c r="V11" s="341"/>
      <c r="W11" s="162"/>
      <c r="X11" s="819" t="s">
        <v>14</v>
      </c>
      <c r="Y11" s="122">
        <f t="shared" si="0"/>
        <v>1</v>
      </c>
      <c r="Z11" s="3" t="e">
        <f>VLOOKUP(I11,'Assessment Details'!$L$45:$M$48,2,FALSE)</f>
        <v>#N/A</v>
      </c>
      <c r="AA11" s="3" t="e">
        <f>VLOOKUP(N11,'Assessment Details'!$L$45:$M$48,2,FALSE)</f>
        <v>#N/A</v>
      </c>
      <c r="AB11" s="3" t="e">
        <f>VLOOKUP(T11,'Assessment Details'!$L$45:$M$48,2,FALSE)</f>
        <v>#N/A</v>
      </c>
      <c r="AE11" s="77"/>
      <c r="AF11" s="852" t="s">
        <v>342</v>
      </c>
      <c r="AG11" s="827" t="s">
        <v>14</v>
      </c>
      <c r="AH11" s="831" t="s">
        <v>13</v>
      </c>
      <c r="AI11" s="77"/>
      <c r="AJ11" s="77"/>
      <c r="AK11" s="77"/>
      <c r="AL11" s="77"/>
      <c r="AO11" s="24" t="str">
        <f t="shared" si="1"/>
        <v>N/A</v>
      </c>
      <c r="AP11" s="24" t="str">
        <f t="shared" si="2"/>
        <v>N/A</v>
      </c>
      <c r="AQ11" s="24" t="str">
        <f t="shared" si="3"/>
        <v>N/A</v>
      </c>
      <c r="AR11" s="24"/>
      <c r="AS11" s="24"/>
      <c r="AT11" s="24"/>
      <c r="AU11" s="18"/>
      <c r="AV11" s="819"/>
      <c r="AW11" s="18"/>
      <c r="AX11" s="18"/>
      <c r="AY11" s="18"/>
      <c r="AZ11" s="18"/>
      <c r="BA11" s="18"/>
      <c r="BB11" s="18"/>
    </row>
    <row r="12" spans="1:54" x14ac:dyDescent="0.25">
      <c r="A12" s="398">
        <v>4</v>
      </c>
      <c r="B12" s="322" t="s">
        <v>66</v>
      </c>
      <c r="C12" s="409" t="str">
        <f>Man_03</f>
        <v>Man 03 Responsible construction practices</v>
      </c>
      <c r="D12" s="147">
        <f>Man03_credits</f>
        <v>6</v>
      </c>
      <c r="E12" s="45"/>
      <c r="F12" s="148">
        <f>Man03_18</f>
        <v>0</v>
      </c>
      <c r="G12" s="150" t="str">
        <f>Man03_minstd</f>
        <v>Very Good</v>
      </c>
      <c r="H12" s="88"/>
      <c r="I12" s="339"/>
      <c r="J12" s="341"/>
      <c r="K12" s="410"/>
      <c r="L12" s="48"/>
      <c r="M12" s="89"/>
      <c r="N12" s="88"/>
      <c r="O12" s="88"/>
      <c r="P12" s="341"/>
      <c r="Q12" s="411"/>
      <c r="R12" s="91"/>
      <c r="S12" s="89"/>
      <c r="T12" s="88"/>
      <c r="U12" s="867" t="s">
        <v>564</v>
      </c>
      <c r="V12" s="341"/>
      <c r="W12" s="162"/>
      <c r="X12" s="819" t="s">
        <v>15</v>
      </c>
      <c r="Y12" s="122">
        <f t="shared" si="0"/>
        <v>1</v>
      </c>
      <c r="Z12" s="3" t="e">
        <f>VLOOKUP(I12,'Assessment Details'!$L$45:$M$48,2,FALSE)</f>
        <v>#N/A</v>
      </c>
      <c r="AA12" s="3" t="e">
        <f>VLOOKUP(N12,'Assessment Details'!$L$45:$M$48,2,FALSE)</f>
        <v>#N/A</v>
      </c>
      <c r="AB12" s="3" t="e">
        <f>VLOOKUP(T12,'Assessment Details'!$L$45:$M$48,2,FALSE)</f>
        <v>#N/A</v>
      </c>
      <c r="AE12" s="77"/>
      <c r="AF12" s="852" t="s">
        <v>343</v>
      </c>
      <c r="AG12" s="77"/>
      <c r="AH12" s="77"/>
      <c r="AI12" s="77"/>
      <c r="AJ12" s="77"/>
      <c r="AK12" s="77"/>
      <c r="AL12" s="77"/>
      <c r="AO12" s="24" t="str">
        <f t="shared" si="1"/>
        <v>N/A</v>
      </c>
      <c r="AP12" s="24" t="str">
        <f t="shared" si="2"/>
        <v>N/A</v>
      </c>
      <c r="AQ12" s="24" t="str">
        <f t="shared" si="3"/>
        <v>N/A</v>
      </c>
      <c r="AR12" s="24"/>
      <c r="AS12" s="24"/>
      <c r="AT12" s="24"/>
      <c r="AU12" s="18"/>
      <c r="AV12" s="819"/>
      <c r="AW12" s="18"/>
      <c r="AX12" s="18"/>
      <c r="AY12" s="18"/>
      <c r="AZ12" s="18"/>
      <c r="BA12" s="18"/>
      <c r="BB12" s="18"/>
    </row>
    <row r="13" spans="1:54" x14ac:dyDescent="0.25">
      <c r="A13" s="398">
        <v>5</v>
      </c>
      <c r="B13" s="322" t="s">
        <v>66</v>
      </c>
      <c r="C13" s="409" t="str">
        <f>Man_04</f>
        <v>Man 04 Commissioning and handover</v>
      </c>
      <c r="D13" s="147">
        <f>Man04_credits</f>
        <v>3</v>
      </c>
      <c r="E13" s="45"/>
      <c r="F13" s="148">
        <f>Man04_cont</f>
        <v>0</v>
      </c>
      <c r="G13" s="150" t="str">
        <f>Man04_minstd</f>
        <v>Unclassified</v>
      </c>
      <c r="H13" s="88"/>
      <c r="I13" s="339"/>
      <c r="J13" s="341"/>
      <c r="K13" s="412"/>
      <c r="L13" s="48"/>
      <c r="M13" s="89"/>
      <c r="N13" s="88"/>
      <c r="O13" s="88"/>
      <c r="P13" s="341"/>
      <c r="Q13" s="411"/>
      <c r="R13" s="91"/>
      <c r="S13" s="89"/>
      <c r="T13" s="88"/>
      <c r="U13" s="88"/>
      <c r="V13" s="341"/>
      <c r="W13" s="162"/>
      <c r="X13" s="819" t="s">
        <v>14</v>
      </c>
      <c r="Y13" s="122">
        <f t="shared" si="0"/>
        <v>1</v>
      </c>
      <c r="Z13" s="3" t="e">
        <f>VLOOKUP(I13,'Assessment Details'!$L$45:$M$48,2,FALSE)</f>
        <v>#N/A</v>
      </c>
      <c r="AA13" s="3" t="e">
        <f>VLOOKUP(N13,'Assessment Details'!$L$45:$M$48,2,FALSE)</f>
        <v>#N/A</v>
      </c>
      <c r="AB13" s="3" t="e">
        <f>VLOOKUP(T13,'Assessment Details'!$L$45:$M$48,2,FALSE)</f>
        <v>#N/A</v>
      </c>
      <c r="AE13" s="77"/>
      <c r="AF13" s="852" t="s">
        <v>505</v>
      </c>
      <c r="AG13" s="827" t="s">
        <v>526</v>
      </c>
      <c r="AH13" s="827" t="s">
        <v>527</v>
      </c>
      <c r="AI13" s="827" t="s">
        <v>528</v>
      </c>
      <c r="AJ13" s="77"/>
      <c r="AK13" s="77"/>
      <c r="AL13" s="77"/>
      <c r="AN13" s="1" t="s">
        <v>14</v>
      </c>
      <c r="AO13" s="24" t="str">
        <f t="shared" si="1"/>
        <v>N/A</v>
      </c>
      <c r="AP13" s="24" t="str">
        <f t="shared" si="2"/>
        <v>N/A</v>
      </c>
      <c r="AQ13" s="24" t="str">
        <f t="shared" si="3"/>
        <v>N/A</v>
      </c>
      <c r="AR13" s="24"/>
      <c r="AS13" s="24"/>
      <c r="AT13" s="24"/>
      <c r="AU13" s="18"/>
      <c r="AV13" s="819"/>
      <c r="AW13" s="18"/>
      <c r="AX13" s="18"/>
      <c r="AY13" s="18"/>
      <c r="AZ13" s="18"/>
      <c r="BA13" s="18"/>
      <c r="BB13" s="18"/>
    </row>
    <row r="14" spans="1:54" x14ac:dyDescent="0.25">
      <c r="A14" s="398">
        <v>6</v>
      </c>
      <c r="B14" s="322" t="s">
        <v>66</v>
      </c>
      <c r="C14" s="409" t="str">
        <f>Man_05</f>
        <v>Man 05 Aftercare</v>
      </c>
      <c r="D14" s="147">
        <f>Man05_credits</f>
        <v>3</v>
      </c>
      <c r="E14" s="45"/>
      <c r="F14" s="148">
        <f>Man05_cont</f>
        <v>0</v>
      </c>
      <c r="G14" s="150" t="str">
        <f>Man05_minstd</f>
        <v>Very Good</v>
      </c>
      <c r="H14" s="88"/>
      <c r="I14" s="339"/>
      <c r="J14" s="341"/>
      <c r="K14" s="412"/>
      <c r="L14" s="48"/>
      <c r="M14" s="89"/>
      <c r="N14" s="88"/>
      <c r="O14" s="88"/>
      <c r="P14" s="341"/>
      <c r="Q14" s="411"/>
      <c r="R14" s="91"/>
      <c r="S14" s="89"/>
      <c r="T14" s="88"/>
      <c r="U14" s="88"/>
      <c r="V14" s="341"/>
      <c r="W14" s="162"/>
      <c r="X14" s="819" t="s">
        <v>14</v>
      </c>
      <c r="Y14" s="122">
        <f t="shared" si="0"/>
        <v>1</v>
      </c>
      <c r="Z14" s="1" t="e">
        <f>VLOOKUP(I14,'Assessment Details'!$L$45:$M$48,2,FALSE)</f>
        <v>#N/A</v>
      </c>
      <c r="AA14" s="1" t="e">
        <f>VLOOKUP(N14,'Assessment Details'!$L$45:$M$48,2,FALSE)</f>
        <v>#N/A</v>
      </c>
      <c r="AB14" s="1" t="e">
        <f>VLOOKUP(T14,'Assessment Details'!$L$45:$M$48,2,FALSE)</f>
        <v>#N/A</v>
      </c>
      <c r="AC14" s="28"/>
      <c r="AE14" s="77"/>
      <c r="AF14" s="852" t="s">
        <v>345</v>
      </c>
      <c r="AG14" s="827" t="s">
        <v>526</v>
      </c>
      <c r="AH14" s="827" t="s">
        <v>528</v>
      </c>
      <c r="AI14" s="77"/>
      <c r="AJ14" s="77"/>
      <c r="AK14" s="77"/>
      <c r="AL14" s="77"/>
      <c r="AN14" s="1" t="s">
        <v>14</v>
      </c>
      <c r="AO14" s="24" t="str">
        <f t="shared" si="1"/>
        <v>N/A</v>
      </c>
      <c r="AP14" s="24" t="str">
        <f t="shared" si="2"/>
        <v>N/A</v>
      </c>
      <c r="AQ14" s="24" t="str">
        <f t="shared" si="3"/>
        <v>N/A</v>
      </c>
      <c r="AR14" s="24"/>
      <c r="AS14" s="24"/>
      <c r="AT14" s="24"/>
      <c r="AU14" s="18"/>
      <c r="AV14" s="819"/>
      <c r="AW14" s="18"/>
      <c r="AX14" s="18"/>
      <c r="AY14" s="18"/>
      <c r="AZ14" s="18"/>
      <c r="BA14" s="18"/>
      <c r="BB14" s="18"/>
    </row>
    <row r="15" spans="1:54" ht="15.75" thickBot="1" x14ac:dyDescent="0.3">
      <c r="A15" s="398">
        <v>7</v>
      </c>
      <c r="B15" s="322" t="s">
        <v>66</v>
      </c>
      <c r="C15" s="413" t="s">
        <v>107</v>
      </c>
      <c r="D15" s="151">
        <f>Man_Credits</f>
        <v>20</v>
      </c>
      <c r="E15" s="160"/>
      <c r="F15" s="152">
        <f>Man_cont_tot</f>
        <v>0</v>
      </c>
      <c r="G15" s="153" t="str">
        <f>"Credits achieved: "&amp;Man_tot_user</f>
        <v>Credits achieved: 0</v>
      </c>
      <c r="H15" s="163"/>
      <c r="I15" s="340"/>
      <c r="J15" s="342"/>
      <c r="K15" s="410"/>
      <c r="L15" s="515"/>
      <c r="M15" s="510"/>
      <c r="N15" s="164"/>
      <c r="O15" s="510"/>
      <c r="P15" s="342"/>
      <c r="Q15" s="411"/>
      <c r="R15" s="516"/>
      <c r="S15" s="510"/>
      <c r="T15" s="164"/>
      <c r="U15" s="510"/>
      <c r="V15" s="342"/>
      <c r="W15" s="162"/>
      <c r="X15" s="820"/>
      <c r="Y15" s="122">
        <f t="shared" si="0"/>
        <v>1</v>
      </c>
      <c r="Z15" s="333">
        <v>0</v>
      </c>
      <c r="AA15" s="333">
        <v>0</v>
      </c>
      <c r="AB15" s="333">
        <v>0</v>
      </c>
      <c r="AC15" s="28"/>
      <c r="AE15" s="77"/>
      <c r="AF15" s="852" t="s">
        <v>107</v>
      </c>
      <c r="AG15" s="77"/>
      <c r="AH15" s="77"/>
      <c r="AI15" s="77"/>
      <c r="AJ15" s="77"/>
      <c r="AK15" s="77"/>
      <c r="AL15" s="77"/>
      <c r="AO15" s="24" t="str">
        <f t="shared" si="1"/>
        <v>N/A</v>
      </c>
      <c r="AP15" s="24" t="str">
        <f t="shared" si="2"/>
        <v>N/A</v>
      </c>
      <c r="AQ15" s="24" t="str">
        <f t="shared" si="3"/>
        <v>N/A</v>
      </c>
      <c r="AR15" s="24"/>
      <c r="AS15" s="24"/>
      <c r="AT15" s="24"/>
      <c r="AU15" s="18"/>
      <c r="AV15" s="820"/>
      <c r="AW15" s="18"/>
      <c r="AX15" s="18"/>
      <c r="AY15" s="18"/>
      <c r="AZ15" s="18"/>
      <c r="BA15" s="18"/>
      <c r="BB15" s="18"/>
    </row>
    <row r="16" spans="1:54" x14ac:dyDescent="0.25">
      <c r="A16" s="398">
        <v>8</v>
      </c>
      <c r="B16" s="322" t="s">
        <v>66</v>
      </c>
      <c r="C16" s="414"/>
      <c r="D16" s="415"/>
      <c r="E16" s="416"/>
      <c r="F16" s="415"/>
      <c r="G16" s="415"/>
      <c r="H16" s="417"/>
      <c r="I16" s="416"/>
      <c r="J16" s="417"/>
      <c r="K16" s="410"/>
      <c r="L16" s="416"/>
      <c r="M16" s="417"/>
      <c r="N16" s="418"/>
      <c r="O16" s="417"/>
      <c r="P16" s="417"/>
      <c r="Q16" s="419"/>
      <c r="R16" s="418"/>
      <c r="S16" s="417"/>
      <c r="T16" s="418"/>
      <c r="U16" s="417"/>
      <c r="V16" s="417"/>
      <c r="W16" s="962"/>
      <c r="X16" s="417"/>
      <c r="Y16" s="122">
        <f t="shared" si="0"/>
        <v>1</v>
      </c>
      <c r="Z16" s="335">
        <v>0</v>
      </c>
      <c r="AA16" s="335">
        <v>0</v>
      </c>
      <c r="AB16" s="335">
        <v>0</v>
      </c>
      <c r="AE16" s="77"/>
      <c r="AF16" s="853"/>
      <c r="AG16" s="77"/>
      <c r="AH16" s="77"/>
      <c r="AI16" s="77"/>
      <c r="AJ16" s="77"/>
      <c r="AK16" s="77"/>
      <c r="AL16" s="77"/>
      <c r="AO16" s="24" t="str">
        <f t="shared" si="1"/>
        <v>N/A</v>
      </c>
      <c r="AP16" s="24" t="str">
        <f t="shared" si="2"/>
        <v>N/A</v>
      </c>
      <c r="AQ16" s="24" t="str">
        <f t="shared" si="3"/>
        <v>N/A</v>
      </c>
      <c r="AR16" s="24"/>
      <c r="AS16" s="24"/>
      <c r="AT16" s="24"/>
      <c r="AV16" s="417"/>
    </row>
    <row r="17" spans="1:48" ht="18.75" x14ac:dyDescent="0.25">
      <c r="A17" s="398">
        <v>9</v>
      </c>
      <c r="B17" s="322" t="s">
        <v>69</v>
      </c>
      <c r="C17" s="420" t="s">
        <v>49</v>
      </c>
      <c r="D17" s="401"/>
      <c r="E17" s="402"/>
      <c r="F17" s="401"/>
      <c r="G17" s="401"/>
      <c r="H17" s="421"/>
      <c r="I17" s="422"/>
      <c r="J17" s="423"/>
      <c r="K17" s="412"/>
      <c r="L17" s="405"/>
      <c r="M17" s="424"/>
      <c r="N17" s="425"/>
      <c r="O17" s="424"/>
      <c r="P17" s="511"/>
      <c r="Q17" s="411"/>
      <c r="R17" s="426"/>
      <c r="S17" s="424"/>
      <c r="T17" s="425"/>
      <c r="U17" s="424"/>
      <c r="V17" s="511"/>
      <c r="W17" s="162"/>
      <c r="X17" s="423"/>
      <c r="Y17" s="122">
        <f t="shared" si="0"/>
        <v>1</v>
      </c>
      <c r="Z17" s="331">
        <v>0</v>
      </c>
      <c r="AA17" s="331">
        <v>0</v>
      </c>
      <c r="AB17" s="331">
        <v>0</v>
      </c>
      <c r="AE17" s="77"/>
      <c r="AF17" s="853" t="s">
        <v>49</v>
      </c>
      <c r="AG17" s="77"/>
      <c r="AH17" s="77"/>
      <c r="AI17" s="77"/>
      <c r="AJ17" s="77"/>
      <c r="AK17" s="77"/>
      <c r="AL17" s="77"/>
      <c r="AO17" s="24" t="str">
        <f t="shared" si="1"/>
        <v>N/A</v>
      </c>
      <c r="AP17" s="24" t="str">
        <f t="shared" si="2"/>
        <v>N/A</v>
      </c>
      <c r="AQ17" s="24" t="str">
        <f t="shared" si="3"/>
        <v>N/A</v>
      </c>
      <c r="AR17" s="24"/>
      <c r="AS17" s="24"/>
      <c r="AT17" s="24"/>
      <c r="AV17" s="423"/>
    </row>
    <row r="18" spans="1:48" ht="15" customHeight="1" x14ac:dyDescent="0.25">
      <c r="A18" s="398">
        <v>10</v>
      </c>
      <c r="B18" s="322" t="s">
        <v>69</v>
      </c>
      <c r="C18" s="409" t="str">
        <f>Hea_01</f>
        <v>Hea 01 Visual comfort</v>
      </c>
      <c r="D18" s="147">
        <f>Hea01_credits</f>
        <v>4</v>
      </c>
      <c r="E18" s="45"/>
      <c r="F18" s="148">
        <f>Hea01_27</f>
        <v>0</v>
      </c>
      <c r="G18" s="154" t="str">
        <f>Hea01_minstd</f>
        <v>Unclassified</v>
      </c>
      <c r="H18" s="88"/>
      <c r="I18" s="339"/>
      <c r="J18" s="341"/>
      <c r="K18" s="412"/>
      <c r="L18" s="48"/>
      <c r="M18" s="89"/>
      <c r="N18" s="88" t="s">
        <v>0</v>
      </c>
      <c r="O18" s="512"/>
      <c r="P18" s="341"/>
      <c r="Q18" s="411"/>
      <c r="R18" s="91"/>
      <c r="S18" s="89"/>
      <c r="T18" s="88" t="s">
        <v>0</v>
      </c>
      <c r="U18" s="512"/>
      <c r="V18" s="341"/>
      <c r="W18" s="162"/>
      <c r="X18" s="865" t="s">
        <v>14</v>
      </c>
      <c r="Y18" s="122">
        <f t="shared" si="0"/>
        <v>1</v>
      </c>
      <c r="Z18" s="3" t="e">
        <f>VLOOKUP(I18,'Assessment Details'!$L$45:$M$48,2,FALSE)</f>
        <v>#N/A</v>
      </c>
      <c r="AA18" s="3">
        <f>VLOOKUP(N18,'Assessment Details'!$L$45:$M$48,2,FALSE)</f>
        <v>4</v>
      </c>
      <c r="AB18" s="3">
        <f>VLOOKUP(T18,'Assessment Details'!$L$45:$M$48,2,FALSE)</f>
        <v>4</v>
      </c>
      <c r="AE18" s="77" t="str">
        <f>ais_yes</f>
        <v>Ja</v>
      </c>
      <c r="AF18" s="853" t="s">
        <v>122</v>
      </c>
      <c r="AG18" s="830" t="s">
        <v>563</v>
      </c>
      <c r="AH18" s="830" t="s">
        <v>561</v>
      </c>
      <c r="AI18" s="830" t="s">
        <v>562</v>
      </c>
      <c r="AJ18" s="830" t="s">
        <v>577</v>
      </c>
      <c r="AK18" s="830" t="s">
        <v>576</v>
      </c>
      <c r="AL18" s="830" t="s">
        <v>578</v>
      </c>
      <c r="AN18" s="1" t="str">
        <f>IF($AF$7=ais_no,AIS_NA,"No")</f>
        <v>No</v>
      </c>
      <c r="AO18" s="24" t="str">
        <f t="shared" ref="AO18:AT18" si="4">IF(OR($AF$4=ais_no,$AF$7=ais_no),AIS_NA,IF(AG18="",AIS_NA,AG18))</f>
        <v>N/A</v>
      </c>
      <c r="AP18" s="24" t="str">
        <f t="shared" si="4"/>
        <v>N/A</v>
      </c>
      <c r="AQ18" s="24" t="str">
        <f t="shared" si="4"/>
        <v>N/A</v>
      </c>
      <c r="AR18" s="24" t="str">
        <f t="shared" si="4"/>
        <v>N/A</v>
      </c>
      <c r="AS18" s="24" t="str">
        <f t="shared" si="4"/>
        <v>N/A</v>
      </c>
      <c r="AT18" s="24" t="str">
        <f t="shared" si="4"/>
        <v>N/A</v>
      </c>
      <c r="AV18" s="819"/>
    </row>
    <row r="19" spans="1:48" x14ac:dyDescent="0.25">
      <c r="A19" s="398">
        <v>11</v>
      </c>
      <c r="B19" s="322" t="s">
        <v>69</v>
      </c>
      <c r="C19" s="409" t="str">
        <f>Hea01_Crit1</f>
        <v>Hea 01 Visual comfort - Criteria 1</v>
      </c>
      <c r="D19" s="147" t="str">
        <f>Hea01_Crit1_credits</f>
        <v>Yes/No</v>
      </c>
      <c r="E19" s="45"/>
      <c r="F19" s="148" t="str">
        <f>Hea01_Crit1_cont</f>
        <v>-</v>
      </c>
      <c r="G19" s="154" t="str">
        <f>Hea01_minstd</f>
        <v>Unclassified</v>
      </c>
      <c r="H19" s="88"/>
      <c r="I19" s="339"/>
      <c r="J19" s="341"/>
      <c r="K19" s="410"/>
      <c r="L19" s="48"/>
      <c r="M19" s="89"/>
      <c r="N19" s="88" t="s">
        <v>0</v>
      </c>
      <c r="O19" s="512"/>
      <c r="P19" s="341"/>
      <c r="Q19" s="411"/>
      <c r="R19" s="91"/>
      <c r="S19" s="89"/>
      <c r="T19" s="88"/>
      <c r="U19" s="512"/>
      <c r="V19" s="341"/>
      <c r="W19" s="162"/>
      <c r="X19" s="819" t="s">
        <v>15</v>
      </c>
      <c r="Y19" s="122">
        <f t="shared" si="0"/>
        <v>1</v>
      </c>
      <c r="Z19" s="3" t="e">
        <f>VLOOKUP(I19,'Assessment Details'!$L$45:$M$48,2,FALSE)</f>
        <v>#N/A</v>
      </c>
      <c r="AA19" s="3">
        <f>VLOOKUP(N19,'Assessment Details'!$L$45:$M$48,2,FALSE)</f>
        <v>4</v>
      </c>
      <c r="AB19" s="3" t="e">
        <f>VLOOKUP(T19,'Assessment Details'!$L$45:$M$48,2,FALSE)</f>
        <v>#N/A</v>
      </c>
      <c r="AE19" s="77"/>
      <c r="AF19" s="853" t="s">
        <v>281</v>
      </c>
      <c r="AG19" s="77"/>
      <c r="AH19" s="77"/>
      <c r="AI19" s="77"/>
      <c r="AJ19" s="77"/>
      <c r="AK19" s="77"/>
      <c r="AL19" s="77"/>
      <c r="AO19" s="24" t="str">
        <f t="shared" si="1"/>
        <v>N/A</v>
      </c>
      <c r="AP19" s="24" t="str">
        <f t="shared" si="2"/>
        <v>N/A</v>
      </c>
      <c r="AQ19" s="24" t="str">
        <f t="shared" si="3"/>
        <v>N/A</v>
      </c>
      <c r="AR19" s="24"/>
      <c r="AS19" s="24"/>
      <c r="AT19" s="24"/>
      <c r="AV19" s="819"/>
    </row>
    <row r="20" spans="1:48" x14ac:dyDescent="0.25">
      <c r="A20" s="398">
        <v>12</v>
      </c>
      <c r="B20" s="322" t="s">
        <v>69</v>
      </c>
      <c r="C20" s="409" t="str">
        <f>Hea_02</f>
        <v>Hea 02 Indoor air quality</v>
      </c>
      <c r="D20" s="147">
        <f>Hea02_credits</f>
        <v>5</v>
      </c>
      <c r="E20" s="45"/>
      <c r="F20" s="148">
        <f>Hea02_26</f>
        <v>0</v>
      </c>
      <c r="G20" s="155" t="str">
        <f>Hea02_minstd</f>
        <v>Good</v>
      </c>
      <c r="H20" s="88"/>
      <c r="I20" s="339"/>
      <c r="J20" s="341"/>
      <c r="K20" s="412"/>
      <c r="L20" s="48"/>
      <c r="M20" s="89"/>
      <c r="N20" s="88"/>
      <c r="O20" s="512"/>
      <c r="P20" s="341"/>
      <c r="Q20" s="411"/>
      <c r="R20" s="91"/>
      <c r="S20" s="89"/>
      <c r="T20" s="88" t="s">
        <v>0</v>
      </c>
      <c r="U20" s="512"/>
      <c r="V20" s="341"/>
      <c r="W20" s="162"/>
      <c r="X20" s="819" t="s">
        <v>567</v>
      </c>
      <c r="Y20" s="122">
        <f t="shared" si="0"/>
        <v>1</v>
      </c>
      <c r="Z20" s="3" t="e">
        <f>VLOOKUP(I20,'Assessment Details'!$L$45:$M$48,2,FALSE)</f>
        <v>#N/A</v>
      </c>
      <c r="AA20" s="3" t="e">
        <f>VLOOKUP(N20,'Assessment Details'!$L$45:$M$48,2,FALSE)</f>
        <v>#N/A</v>
      </c>
      <c r="AB20" s="3">
        <f>VLOOKUP(T20,'Assessment Details'!$L$45:$M$48,2,FALSE)</f>
        <v>4</v>
      </c>
      <c r="AE20" s="77" t="str">
        <f>ais_yes</f>
        <v>Ja</v>
      </c>
      <c r="AF20" s="853" t="s">
        <v>116</v>
      </c>
      <c r="AG20" s="830" t="s">
        <v>565</v>
      </c>
      <c r="AH20" s="830" t="s">
        <v>566</v>
      </c>
      <c r="AI20" s="830" t="s">
        <v>567</v>
      </c>
      <c r="AJ20" s="830" t="s">
        <v>568</v>
      </c>
      <c r="AK20" s="830" t="s">
        <v>558</v>
      </c>
      <c r="AL20" s="830"/>
      <c r="AN20" s="1" t="s">
        <v>14</v>
      </c>
      <c r="AO20" s="24" t="str">
        <f t="shared" si="1"/>
        <v>N/A</v>
      </c>
      <c r="AP20" s="24" t="str">
        <f t="shared" si="2"/>
        <v>N/A</v>
      </c>
      <c r="AQ20" s="24" t="str">
        <f t="shared" si="3"/>
        <v>N/A</v>
      </c>
      <c r="AR20" s="24" t="str">
        <f t="shared" ref="AR20" si="5">IF($AF$4=ais_no,AIS_NA,IF(AJ20="",AIS_NA,AJ20))</f>
        <v>N/A</v>
      </c>
      <c r="AS20" s="24" t="str">
        <f t="shared" ref="AS20" si="6">IF($AF$4=ais_no,AIS_NA,IF(AK20="",AIS_NA,AK20))</f>
        <v>N/A</v>
      </c>
      <c r="AT20" s="24"/>
      <c r="AV20" s="819"/>
    </row>
    <row r="21" spans="1:48" x14ac:dyDescent="0.25">
      <c r="A21" s="398">
        <v>13</v>
      </c>
      <c r="B21" s="322" t="s">
        <v>69</v>
      </c>
      <c r="C21" s="409" t="str">
        <f>Hea_03</f>
        <v>Hea 03 Thermal comfort</v>
      </c>
      <c r="D21" s="147">
        <f>Hea03_credits</f>
        <v>2</v>
      </c>
      <c r="E21" s="45"/>
      <c r="F21" s="148">
        <f>Hea03_contr</f>
        <v>0</v>
      </c>
      <c r="G21" s="155" t="str">
        <f>Hea03_11</f>
        <v>N/A</v>
      </c>
      <c r="H21" s="88"/>
      <c r="I21" s="339" t="s">
        <v>0</v>
      </c>
      <c r="J21" s="341"/>
      <c r="K21" s="410"/>
      <c r="L21" s="48"/>
      <c r="M21" s="89"/>
      <c r="N21" s="88"/>
      <c r="O21" s="512"/>
      <c r="P21" s="341"/>
      <c r="Q21" s="411"/>
      <c r="R21" s="91"/>
      <c r="S21" s="89"/>
      <c r="T21" s="88"/>
      <c r="U21" s="512"/>
      <c r="V21" s="341"/>
      <c r="W21" s="162"/>
      <c r="X21" s="819" t="s">
        <v>14</v>
      </c>
      <c r="Y21" s="122">
        <f t="shared" si="0"/>
        <v>1</v>
      </c>
      <c r="Z21" s="3">
        <f>VLOOKUP(I21,'Assessment Details'!$L$45:$M$48,2,FALSE)</f>
        <v>4</v>
      </c>
      <c r="AA21" s="3" t="e">
        <f>VLOOKUP(N21,'Assessment Details'!$L$45:$M$48,2,FALSE)</f>
        <v>#N/A</v>
      </c>
      <c r="AB21" s="3" t="e">
        <f>VLOOKUP(T21,'Assessment Details'!$L$45:$M$48,2,FALSE)</f>
        <v>#N/A</v>
      </c>
      <c r="AE21" s="77" t="str">
        <f>ais_yes</f>
        <v>Ja</v>
      </c>
      <c r="AF21" s="853" t="s">
        <v>117</v>
      </c>
      <c r="AG21" s="827" t="s">
        <v>526</v>
      </c>
      <c r="AH21" s="827" t="s">
        <v>530</v>
      </c>
      <c r="AI21" s="827" t="s">
        <v>528</v>
      </c>
      <c r="AJ21" s="77"/>
      <c r="AK21" s="77"/>
      <c r="AL21" s="77"/>
      <c r="AN21" s="1" t="s">
        <v>14</v>
      </c>
      <c r="AO21" s="24" t="str">
        <f t="shared" si="1"/>
        <v>N/A</v>
      </c>
      <c r="AP21" s="24" t="str">
        <f t="shared" si="2"/>
        <v>N/A</v>
      </c>
      <c r="AQ21" s="24" t="str">
        <f t="shared" si="3"/>
        <v>N/A</v>
      </c>
      <c r="AR21" s="24"/>
      <c r="AS21" s="24"/>
      <c r="AT21" s="24"/>
      <c r="AV21" s="819"/>
    </row>
    <row r="22" spans="1:48" x14ac:dyDescent="0.25">
      <c r="A22" s="398">
        <v>14</v>
      </c>
      <c r="B22" s="322" t="s">
        <v>69</v>
      </c>
      <c r="C22" s="409" t="str">
        <f>Hea_04</f>
        <v>Hea 04 Microbial contamination</v>
      </c>
      <c r="D22" s="147">
        <f>Hea04_credits</f>
        <v>1</v>
      </c>
      <c r="E22" s="45"/>
      <c r="F22" s="148">
        <f>Hea04_13</f>
        <v>0</v>
      </c>
      <c r="G22" s="155" t="str">
        <f>Hea04_11</f>
        <v>N/A</v>
      </c>
      <c r="H22" s="88"/>
      <c r="I22" s="339"/>
      <c r="J22" s="341"/>
      <c r="K22" s="412"/>
      <c r="L22" s="48"/>
      <c r="M22" s="89"/>
      <c r="N22" s="88"/>
      <c r="O22" s="512"/>
      <c r="P22" s="341"/>
      <c r="Q22" s="411"/>
      <c r="R22" s="91"/>
      <c r="S22" s="89"/>
      <c r="T22" s="88"/>
      <c r="U22" s="512"/>
      <c r="V22" s="341"/>
      <c r="W22" s="162"/>
      <c r="X22" s="819" t="s">
        <v>14</v>
      </c>
      <c r="Y22" s="122">
        <f t="shared" si="0"/>
        <v>1</v>
      </c>
      <c r="Z22" s="3" t="e">
        <f>VLOOKUP(I22,'Assessment Details'!$L$45:$M$48,2,FALSE)</f>
        <v>#N/A</v>
      </c>
      <c r="AA22" s="3" t="e">
        <f>VLOOKUP(N22,'Assessment Details'!$L$45:$M$48,2,FALSE)</f>
        <v>#N/A</v>
      </c>
      <c r="AB22" s="3" t="e">
        <f>VLOOKUP(T22,'Assessment Details'!$L$45:$M$48,2,FALSE)</f>
        <v>#N/A</v>
      </c>
      <c r="AE22" s="77" t="str">
        <f>ais_yes</f>
        <v>Ja</v>
      </c>
      <c r="AF22" s="853" t="s">
        <v>118</v>
      </c>
      <c r="AG22" s="827" t="s">
        <v>526</v>
      </c>
      <c r="AH22" s="827" t="s">
        <v>530</v>
      </c>
      <c r="AI22" s="827" t="s">
        <v>528</v>
      </c>
      <c r="AJ22" s="77"/>
      <c r="AK22" s="77"/>
      <c r="AL22" s="77"/>
      <c r="AN22" s="1" t="s">
        <v>14</v>
      </c>
      <c r="AO22" s="24" t="str">
        <f t="shared" si="1"/>
        <v>N/A</v>
      </c>
      <c r="AP22" s="24" t="str">
        <f t="shared" si="2"/>
        <v>N/A</v>
      </c>
      <c r="AQ22" s="24" t="str">
        <f t="shared" si="3"/>
        <v>N/A</v>
      </c>
      <c r="AR22" s="24"/>
      <c r="AS22" s="24"/>
      <c r="AT22" s="24"/>
      <c r="AV22" s="819"/>
    </row>
    <row r="23" spans="1:48" x14ac:dyDescent="0.25">
      <c r="A23" s="398">
        <v>15</v>
      </c>
      <c r="B23" s="322" t="s">
        <v>69</v>
      </c>
      <c r="C23" s="409" t="str">
        <f>Hea_05</f>
        <v>Hea 05 Acoustic performance</v>
      </c>
      <c r="D23" s="147">
        <f>Hea05_credits</f>
        <v>2</v>
      </c>
      <c r="E23" s="45"/>
      <c r="F23" s="148">
        <f>Hea05_08</f>
        <v>0</v>
      </c>
      <c r="G23" s="155" t="str">
        <f>Hea05_minstd</f>
        <v>N/A</v>
      </c>
      <c r="H23" s="88"/>
      <c r="I23" s="339"/>
      <c r="J23" s="341"/>
      <c r="K23" s="412"/>
      <c r="L23" s="48"/>
      <c r="M23" s="89"/>
      <c r="N23" s="88"/>
      <c r="O23" s="512"/>
      <c r="P23" s="341"/>
      <c r="Q23" s="411"/>
      <c r="R23" s="91"/>
      <c r="S23" s="89"/>
      <c r="T23" s="88"/>
      <c r="U23" s="512"/>
      <c r="V23" s="341"/>
      <c r="W23" s="162"/>
      <c r="X23" s="819" t="s">
        <v>14</v>
      </c>
      <c r="Y23" s="122">
        <f t="shared" si="0"/>
        <v>1</v>
      </c>
      <c r="Z23" s="3" t="e">
        <f>VLOOKUP(I23,'Assessment Details'!$L$45:$M$48,2,FALSE)</f>
        <v>#N/A</v>
      </c>
      <c r="AA23" s="3" t="e">
        <f>VLOOKUP(N23,'Assessment Details'!$L$45:$M$48,2,FALSE)</f>
        <v>#N/A</v>
      </c>
      <c r="AB23" s="3" t="e">
        <f>VLOOKUP(T23,'Assessment Details'!$L$45:$M$48,2,FALSE)</f>
        <v>#N/A</v>
      </c>
      <c r="AE23" s="77"/>
      <c r="AF23" s="853" t="s">
        <v>134</v>
      </c>
      <c r="AG23" s="827" t="s">
        <v>14</v>
      </c>
      <c r="AH23" s="831" t="s">
        <v>13</v>
      </c>
      <c r="AI23" s="77"/>
      <c r="AJ23" s="77"/>
      <c r="AK23" s="77"/>
      <c r="AL23" s="77"/>
      <c r="AO23" s="24" t="str">
        <f t="shared" si="1"/>
        <v>N/A</v>
      </c>
      <c r="AP23" s="24" t="str">
        <f t="shared" si="2"/>
        <v>N/A</v>
      </c>
      <c r="AQ23" s="24" t="str">
        <f t="shared" si="3"/>
        <v>N/A</v>
      </c>
      <c r="AR23" s="24"/>
      <c r="AS23" s="24"/>
      <c r="AT23" s="24"/>
      <c r="AV23" s="819"/>
    </row>
    <row r="24" spans="1:48" x14ac:dyDescent="0.25">
      <c r="A24" s="398">
        <v>16</v>
      </c>
      <c r="B24" s="322" t="s">
        <v>69</v>
      </c>
      <c r="C24" s="409" t="str">
        <f>Hea_06</f>
        <v>Hea 06 Safe access</v>
      </c>
      <c r="D24" s="147">
        <f>Hea06_credits</f>
        <v>2</v>
      </c>
      <c r="E24" s="45"/>
      <c r="F24" s="148">
        <f>Hea06_contr</f>
        <v>0</v>
      </c>
      <c r="G24" s="155" t="str">
        <f>Hea06_minstd</f>
        <v>N/A</v>
      </c>
      <c r="H24" s="88"/>
      <c r="I24" s="339"/>
      <c r="J24" s="341"/>
      <c r="K24" s="410"/>
      <c r="L24" s="48"/>
      <c r="M24" s="89"/>
      <c r="N24" s="88"/>
      <c r="O24" s="512"/>
      <c r="P24" s="341"/>
      <c r="Q24" s="411"/>
      <c r="R24" s="91"/>
      <c r="S24" s="89"/>
      <c r="T24" s="88"/>
      <c r="U24" s="512"/>
      <c r="V24" s="341"/>
      <c r="W24" s="162"/>
      <c r="X24" s="819" t="s">
        <v>15</v>
      </c>
      <c r="Y24" s="122">
        <f t="shared" si="0"/>
        <v>1</v>
      </c>
      <c r="Z24" s="3" t="e">
        <f>VLOOKUP(I24,'Assessment Details'!$L$45:$M$48,2,FALSE)</f>
        <v>#N/A</v>
      </c>
      <c r="AA24" s="3" t="e">
        <f>VLOOKUP(N24,'Assessment Details'!$L$45:$M$48,2,FALSE)</f>
        <v>#N/A</v>
      </c>
      <c r="AB24" s="3" t="e">
        <f>VLOOKUP(T24,'Assessment Details'!$L$45:$M$48,2,FALSE)</f>
        <v>#N/A</v>
      </c>
      <c r="AE24" s="77"/>
      <c r="AF24" s="853" t="s">
        <v>119</v>
      </c>
      <c r="AG24" s="77"/>
      <c r="AH24" s="77"/>
      <c r="AI24" s="77"/>
      <c r="AJ24" s="77"/>
      <c r="AK24" s="77"/>
      <c r="AL24" s="77"/>
      <c r="AO24" s="24" t="str">
        <f t="shared" si="1"/>
        <v>N/A</v>
      </c>
      <c r="AP24" s="24" t="str">
        <f t="shared" si="2"/>
        <v>N/A</v>
      </c>
      <c r="AQ24" s="24" t="str">
        <f t="shared" si="3"/>
        <v>N/A</v>
      </c>
      <c r="AR24" s="24"/>
      <c r="AS24" s="24"/>
      <c r="AT24" s="24"/>
      <c r="AV24" s="819"/>
    </row>
    <row r="25" spans="1:48" x14ac:dyDescent="0.25">
      <c r="A25" s="398">
        <v>17</v>
      </c>
      <c r="B25" s="322" t="s">
        <v>69</v>
      </c>
      <c r="C25" s="409" t="str">
        <f>Hea_07</f>
        <v>Hea 07 Natural Hazards</v>
      </c>
      <c r="D25" s="147">
        <f>Hea07_Credits</f>
        <v>1</v>
      </c>
      <c r="E25" s="45"/>
      <c r="F25" s="148">
        <f>Hea07_contr</f>
        <v>0</v>
      </c>
      <c r="G25" s="155" t="str">
        <f>Hea07_minstd</f>
        <v>N/A</v>
      </c>
      <c r="H25" s="88"/>
      <c r="I25" s="339"/>
      <c r="J25" s="341"/>
      <c r="K25" s="412"/>
      <c r="L25" s="48"/>
      <c r="M25" s="89"/>
      <c r="N25" s="88"/>
      <c r="O25" s="512"/>
      <c r="P25" s="341"/>
      <c r="Q25" s="411"/>
      <c r="R25" s="91"/>
      <c r="S25" s="89"/>
      <c r="T25" s="88"/>
      <c r="U25" s="512"/>
      <c r="V25" s="341"/>
      <c r="W25" s="162"/>
      <c r="X25" s="819" t="s">
        <v>15</v>
      </c>
      <c r="Y25" s="122">
        <f t="shared" si="0"/>
        <v>1</v>
      </c>
      <c r="Z25" s="3" t="e">
        <f>VLOOKUP(I25,'Assessment Details'!$L$45:$M$48,2,FALSE)</f>
        <v>#N/A</v>
      </c>
      <c r="AA25" s="3" t="e">
        <f>VLOOKUP(N25,'Assessment Details'!$L$45:$M$48,2,FALSE)</f>
        <v>#N/A</v>
      </c>
      <c r="AB25" s="3" t="e">
        <f>VLOOKUP(T25,'Assessment Details'!$L$45:$M$48,2,FALSE)</f>
        <v>#N/A</v>
      </c>
      <c r="AE25" s="77"/>
      <c r="AF25" s="853" t="s">
        <v>120</v>
      </c>
      <c r="AG25" s="77"/>
      <c r="AH25" s="77"/>
      <c r="AI25" s="77"/>
      <c r="AJ25" s="77"/>
      <c r="AK25" s="77"/>
      <c r="AL25" s="77"/>
      <c r="AO25" s="24" t="str">
        <f t="shared" si="1"/>
        <v>N/A</v>
      </c>
      <c r="AP25" s="24" t="str">
        <f t="shared" si="2"/>
        <v>N/A</v>
      </c>
      <c r="AQ25" s="24" t="str">
        <f t="shared" si="3"/>
        <v>N/A</v>
      </c>
      <c r="AR25" s="24"/>
      <c r="AS25" s="24"/>
      <c r="AT25" s="24"/>
      <c r="AV25" s="819"/>
    </row>
    <row r="26" spans="1:48" x14ac:dyDescent="0.25">
      <c r="A26" s="398">
        <v>18</v>
      </c>
      <c r="B26" s="322" t="s">
        <v>69</v>
      </c>
      <c r="C26" s="409" t="str">
        <f>Hea_08</f>
        <v>Hea 08 Private space</v>
      </c>
      <c r="D26" s="147">
        <f>Hea08_Credits</f>
        <v>0</v>
      </c>
      <c r="E26" s="45"/>
      <c r="F26" s="148">
        <f>Hea08_contr</f>
        <v>0</v>
      </c>
      <c r="G26" s="156" t="str">
        <f>Hea08_minstd</f>
        <v>N/A</v>
      </c>
      <c r="H26" s="88"/>
      <c r="I26" s="339"/>
      <c r="J26" s="341"/>
      <c r="K26" s="410"/>
      <c r="L26" s="48"/>
      <c r="M26" s="89"/>
      <c r="N26" s="88"/>
      <c r="O26" s="512"/>
      <c r="P26" s="341"/>
      <c r="Q26" s="411"/>
      <c r="R26" s="91"/>
      <c r="S26" s="89"/>
      <c r="T26" s="88"/>
      <c r="U26" s="512"/>
      <c r="V26" s="341"/>
      <c r="W26" s="162"/>
      <c r="X26" s="819" t="s">
        <v>15</v>
      </c>
      <c r="Y26" s="122">
        <f t="shared" si="0"/>
        <v>2</v>
      </c>
      <c r="Z26" s="1" t="e">
        <f>VLOOKUP(I26,'Assessment Details'!$L$45:$M$48,2,FALSE)</f>
        <v>#N/A</v>
      </c>
      <c r="AA26" s="1" t="e">
        <f>VLOOKUP(N26,'Assessment Details'!$L$45:$M$48,2,FALSE)</f>
        <v>#N/A</v>
      </c>
      <c r="AB26" s="1" t="e">
        <f>VLOOKUP(T26,'Assessment Details'!$L$45:$M$48,2,FALSE)</f>
        <v>#N/A</v>
      </c>
      <c r="AE26" s="77"/>
      <c r="AF26" s="853" t="s">
        <v>123</v>
      </c>
      <c r="AG26" s="77"/>
      <c r="AH26" s="77"/>
      <c r="AI26" s="77"/>
      <c r="AJ26" s="77"/>
      <c r="AK26" s="77"/>
      <c r="AL26" s="77"/>
      <c r="AO26" s="24" t="str">
        <f t="shared" si="1"/>
        <v>N/A</v>
      </c>
      <c r="AP26" s="24" t="str">
        <f t="shared" si="2"/>
        <v>N/A</v>
      </c>
      <c r="AQ26" s="24" t="str">
        <f t="shared" si="3"/>
        <v>N/A</v>
      </c>
      <c r="AR26" s="24"/>
      <c r="AS26" s="24"/>
      <c r="AT26" s="24"/>
      <c r="AV26" s="819"/>
    </row>
    <row r="27" spans="1:48" x14ac:dyDescent="0.25">
      <c r="A27" s="398">
        <v>19</v>
      </c>
      <c r="B27" s="322" t="s">
        <v>69</v>
      </c>
      <c r="C27" s="409" t="str">
        <f>Hea_09</f>
        <v>Hea 09 Moisture protection</v>
      </c>
      <c r="D27" s="147">
        <f>Hea09_Credits</f>
        <v>3</v>
      </c>
      <c r="E27" s="45"/>
      <c r="F27" s="148">
        <f>Hea09_cont</f>
        <v>0</v>
      </c>
      <c r="G27" s="155" t="str">
        <f>Hea09_minstd</f>
        <v>Good</v>
      </c>
      <c r="H27" s="88"/>
      <c r="I27" s="339"/>
      <c r="J27" s="341"/>
      <c r="K27" s="412"/>
      <c r="L27" s="48"/>
      <c r="M27" s="89"/>
      <c r="N27" s="88"/>
      <c r="O27" s="512"/>
      <c r="P27" s="341"/>
      <c r="Q27" s="411"/>
      <c r="R27" s="91"/>
      <c r="S27" s="89"/>
      <c r="T27" s="88"/>
      <c r="U27" s="512"/>
      <c r="V27" s="341"/>
      <c r="W27" s="162"/>
      <c r="X27" s="819" t="s">
        <v>15</v>
      </c>
      <c r="Y27" s="122">
        <f t="shared" si="0"/>
        <v>1</v>
      </c>
      <c r="Z27" s="3" t="e">
        <f>VLOOKUP(I27,'Assessment Details'!$L$45:$M$48,2,FALSE)</f>
        <v>#N/A</v>
      </c>
      <c r="AA27" s="3" t="e">
        <f>VLOOKUP(N27,'Assessment Details'!$L$45:$M$48,2,FALSE)</f>
        <v>#N/A</v>
      </c>
      <c r="AB27" s="3" t="e">
        <f>VLOOKUP(T27,'Assessment Details'!$L$45:$M$48,2,FALSE)</f>
        <v>#N/A</v>
      </c>
      <c r="AE27" s="77"/>
      <c r="AF27" s="853" t="s">
        <v>121</v>
      </c>
      <c r="AG27" s="77"/>
      <c r="AH27" s="77"/>
      <c r="AI27" s="77"/>
      <c r="AJ27" s="77"/>
      <c r="AK27" s="77"/>
      <c r="AL27" s="77"/>
      <c r="AO27" s="24" t="str">
        <f t="shared" si="1"/>
        <v>N/A</v>
      </c>
      <c r="AP27" s="24" t="str">
        <f t="shared" si="2"/>
        <v>N/A</v>
      </c>
      <c r="AQ27" s="24" t="str">
        <f t="shared" si="3"/>
        <v>N/A</v>
      </c>
      <c r="AR27" s="24"/>
      <c r="AS27" s="24"/>
      <c r="AT27" s="24"/>
      <c r="AV27" s="819"/>
    </row>
    <row r="28" spans="1:48" ht="15.75" thickBot="1" x14ac:dyDescent="0.3">
      <c r="A28" s="398">
        <v>20</v>
      </c>
      <c r="B28" s="322" t="s">
        <v>69</v>
      </c>
      <c r="C28" s="413" t="s">
        <v>108</v>
      </c>
      <c r="D28" s="151">
        <f>Hea_Credits</f>
        <v>20</v>
      </c>
      <c r="E28" s="160"/>
      <c r="F28" s="152">
        <f>Hea_cont_tot</f>
        <v>0</v>
      </c>
      <c r="G28" s="153" t="str">
        <f>"Credits achieved: "&amp;HW_tot_user</f>
        <v>Credits achieved: 0</v>
      </c>
      <c r="H28" s="163"/>
      <c r="I28" s="340"/>
      <c r="J28" s="342"/>
      <c r="K28" s="412"/>
      <c r="L28" s="515"/>
      <c r="M28" s="510"/>
      <c r="N28" s="165"/>
      <c r="O28" s="163"/>
      <c r="P28" s="513"/>
      <c r="Q28" s="411"/>
      <c r="R28" s="516"/>
      <c r="S28" s="510"/>
      <c r="T28" s="165"/>
      <c r="U28" s="163"/>
      <c r="V28" s="513"/>
      <c r="W28" s="162"/>
      <c r="X28" s="820"/>
      <c r="Y28" s="122">
        <f t="shared" si="0"/>
        <v>1</v>
      </c>
      <c r="Z28" s="333">
        <v>0</v>
      </c>
      <c r="AA28" s="333">
        <v>0</v>
      </c>
      <c r="AB28" s="333">
        <v>0</v>
      </c>
      <c r="AE28" s="77"/>
      <c r="AF28" s="853" t="s">
        <v>108</v>
      </c>
      <c r="AG28" s="77"/>
      <c r="AH28" s="77"/>
      <c r="AI28" s="77"/>
      <c r="AJ28" s="77"/>
      <c r="AK28" s="77"/>
      <c r="AL28" s="77"/>
      <c r="AO28" s="24" t="str">
        <f t="shared" si="1"/>
        <v>N/A</v>
      </c>
      <c r="AP28" s="24" t="str">
        <f t="shared" si="2"/>
        <v>N/A</v>
      </c>
      <c r="AQ28" s="24" t="str">
        <f t="shared" si="3"/>
        <v>N/A</v>
      </c>
      <c r="AR28" s="24"/>
      <c r="AS28" s="24"/>
      <c r="AT28" s="24"/>
      <c r="AV28" s="820"/>
    </row>
    <row r="29" spans="1:48" x14ac:dyDescent="0.25">
      <c r="A29" s="398">
        <v>21</v>
      </c>
      <c r="B29" s="322" t="s">
        <v>69</v>
      </c>
      <c r="C29" s="427"/>
      <c r="D29" s="415"/>
      <c r="E29" s="416"/>
      <c r="F29" s="415"/>
      <c r="G29" s="415"/>
      <c r="H29" s="417"/>
      <c r="I29" s="416"/>
      <c r="J29" s="417"/>
      <c r="K29" s="410"/>
      <c r="L29" s="416"/>
      <c r="M29" s="417"/>
      <c r="N29" s="418"/>
      <c r="O29" s="417"/>
      <c r="P29" s="417"/>
      <c r="Q29" s="419"/>
      <c r="R29" s="418"/>
      <c r="S29" s="417"/>
      <c r="T29" s="418"/>
      <c r="U29" s="417"/>
      <c r="V29" s="417"/>
      <c r="W29" s="962"/>
      <c r="X29" s="417"/>
      <c r="Y29" s="122">
        <f t="shared" si="0"/>
        <v>1</v>
      </c>
      <c r="Z29" s="335">
        <v>0</v>
      </c>
      <c r="AA29" s="335">
        <v>0</v>
      </c>
      <c r="AB29" s="335">
        <v>0</v>
      </c>
      <c r="AE29" s="77"/>
      <c r="AF29" s="853"/>
      <c r="AG29" s="77"/>
      <c r="AH29" s="77"/>
      <c r="AI29" s="77"/>
      <c r="AJ29" s="77"/>
      <c r="AK29" s="77"/>
      <c r="AL29" s="77"/>
      <c r="AO29" s="24" t="str">
        <f t="shared" si="1"/>
        <v>N/A</v>
      </c>
      <c r="AP29" s="24" t="str">
        <f t="shared" si="2"/>
        <v>N/A</v>
      </c>
      <c r="AQ29" s="24" t="str">
        <f t="shared" si="3"/>
        <v>N/A</v>
      </c>
      <c r="AR29" s="24"/>
      <c r="AS29" s="24"/>
      <c r="AT29" s="24"/>
      <c r="AV29" s="417"/>
    </row>
    <row r="30" spans="1:48" ht="18.75" x14ac:dyDescent="0.25">
      <c r="A30" s="398">
        <v>22</v>
      </c>
      <c r="B30" s="322" t="s">
        <v>70</v>
      </c>
      <c r="C30" s="428" t="s">
        <v>48</v>
      </c>
      <c r="D30" s="401"/>
      <c r="E30" s="402"/>
      <c r="F30" s="429"/>
      <c r="G30" s="401"/>
      <c r="H30" s="421"/>
      <c r="I30" s="422"/>
      <c r="J30" s="430"/>
      <c r="K30" s="410"/>
      <c r="L30" s="431"/>
      <c r="M30" s="421"/>
      <c r="N30" s="432"/>
      <c r="O30" s="421"/>
      <c r="P30" s="514"/>
      <c r="Q30" s="411"/>
      <c r="R30" s="433"/>
      <c r="S30" s="421"/>
      <c r="T30" s="432"/>
      <c r="U30" s="421"/>
      <c r="V30" s="514"/>
      <c r="W30" s="162"/>
      <c r="X30" s="430"/>
      <c r="Y30" s="122">
        <f t="shared" si="0"/>
        <v>1</v>
      </c>
      <c r="Z30" s="331">
        <v>0</v>
      </c>
      <c r="AA30" s="331">
        <v>0</v>
      </c>
      <c r="AB30" s="331">
        <v>0</v>
      </c>
      <c r="AE30" s="77"/>
      <c r="AF30" s="853" t="s">
        <v>48</v>
      </c>
      <c r="AG30" s="77"/>
      <c r="AH30" s="77"/>
      <c r="AI30" s="77"/>
      <c r="AJ30" s="77"/>
      <c r="AK30" s="77"/>
      <c r="AL30" s="77"/>
      <c r="AO30" s="24" t="str">
        <f t="shared" si="1"/>
        <v>N/A</v>
      </c>
      <c r="AP30" s="24" t="str">
        <f t="shared" si="2"/>
        <v>N/A</v>
      </c>
      <c r="AQ30" s="24" t="str">
        <f t="shared" si="3"/>
        <v>N/A</v>
      </c>
      <c r="AR30" s="24"/>
      <c r="AS30" s="24"/>
      <c r="AT30" s="24"/>
      <c r="AV30" s="430"/>
    </row>
    <row r="31" spans="1:48" x14ac:dyDescent="0.25">
      <c r="A31" s="398">
        <v>23</v>
      </c>
      <c r="B31" s="322" t="s">
        <v>70</v>
      </c>
      <c r="C31" s="409" t="str">
        <f>Ene_01</f>
        <v>Ene 01 Energy efficiency</v>
      </c>
      <c r="D31" s="147">
        <f>Ene01_credits</f>
        <v>12</v>
      </c>
      <c r="E31" s="45"/>
      <c r="F31" s="148">
        <f>Ene01_42</f>
        <v>0</v>
      </c>
      <c r="G31" s="156" t="str">
        <f>Ene01_28</f>
        <v>Very Good</v>
      </c>
      <c r="H31" s="88"/>
      <c r="I31" s="339"/>
      <c r="J31" s="341"/>
      <c r="K31" s="412"/>
      <c r="L31" s="48"/>
      <c r="M31" s="89"/>
      <c r="N31" s="88"/>
      <c r="O31" s="512"/>
      <c r="P31" s="341"/>
      <c r="Q31" s="411"/>
      <c r="R31" s="91"/>
      <c r="S31" s="89"/>
      <c r="T31" s="88"/>
      <c r="U31" s="512"/>
      <c r="V31" s="341"/>
      <c r="W31" s="162"/>
      <c r="X31" s="819" t="s">
        <v>14</v>
      </c>
      <c r="Y31" s="122">
        <f t="shared" si="0"/>
        <v>1</v>
      </c>
      <c r="Z31" s="3" t="e">
        <f>VLOOKUP(I31,'Assessment Details'!$L$45:$M$48,2,FALSE)</f>
        <v>#N/A</v>
      </c>
      <c r="AA31" s="3" t="e">
        <f>VLOOKUP(N31,'Assessment Details'!$L$45:$M$48,2,FALSE)</f>
        <v>#N/A</v>
      </c>
      <c r="AB31" s="3" t="e">
        <f>VLOOKUP(T31,'Assessment Details'!$L$45:$M$48,2,FALSE)</f>
        <v>#N/A</v>
      </c>
      <c r="AE31" s="77"/>
      <c r="AF31" s="853" t="s">
        <v>135</v>
      </c>
      <c r="AG31" s="827" t="s">
        <v>526</v>
      </c>
      <c r="AH31" s="827" t="s">
        <v>528</v>
      </c>
      <c r="AI31" s="77"/>
      <c r="AJ31" s="77"/>
      <c r="AK31" s="77"/>
      <c r="AL31" s="77"/>
      <c r="AN31" s="1" t="s">
        <v>14</v>
      </c>
      <c r="AO31" s="24" t="str">
        <f t="shared" si="1"/>
        <v>N/A</v>
      </c>
      <c r="AP31" s="24" t="str">
        <f t="shared" si="2"/>
        <v>N/A</v>
      </c>
      <c r="AQ31" s="24" t="str">
        <f t="shared" si="3"/>
        <v>N/A</v>
      </c>
      <c r="AR31" s="24"/>
      <c r="AS31" s="24"/>
      <c r="AT31" s="24"/>
      <c r="AV31" s="819"/>
    </row>
    <row r="32" spans="1:48" x14ac:dyDescent="0.25">
      <c r="A32" s="398">
        <v>24</v>
      </c>
      <c r="B32" s="322" t="s">
        <v>70</v>
      </c>
      <c r="C32" s="409" t="str">
        <f>Ene_02</f>
        <v>Ene 02 Energy monitoring</v>
      </c>
      <c r="D32" s="147">
        <f>Ene02_credits</f>
        <v>3</v>
      </c>
      <c r="E32" s="45"/>
      <c r="F32" s="148">
        <f>Ene02_13</f>
        <v>0</v>
      </c>
      <c r="G32" s="155" t="str">
        <f>Ene02_12</f>
        <v>Good</v>
      </c>
      <c r="H32" s="88"/>
      <c r="I32" s="339"/>
      <c r="J32" s="341"/>
      <c r="K32" s="412"/>
      <c r="L32" s="48"/>
      <c r="M32" s="89"/>
      <c r="N32" s="88"/>
      <c r="O32" s="512"/>
      <c r="P32" s="341"/>
      <c r="Q32" s="411"/>
      <c r="R32" s="91"/>
      <c r="S32" s="89"/>
      <c r="T32" s="88"/>
      <c r="U32" s="512"/>
      <c r="V32" s="341"/>
      <c r="W32" s="162"/>
      <c r="X32" s="866" t="s">
        <v>574</v>
      </c>
      <c r="Y32" s="122">
        <f t="shared" si="0"/>
        <v>1</v>
      </c>
      <c r="Z32" s="1" t="e">
        <f>VLOOKUP(I32,'Assessment Details'!$L$45:$M$48,2,FALSE)</f>
        <v>#N/A</v>
      </c>
      <c r="AA32" s="1" t="e">
        <f>VLOOKUP(N32,'Assessment Details'!$L$45:$M$48,2,FALSE)</f>
        <v>#N/A</v>
      </c>
      <c r="AB32" s="1" t="e">
        <f>VLOOKUP(T32,'Assessment Details'!$L$45:$M$48,2,FALSE)</f>
        <v>#N/A</v>
      </c>
      <c r="AE32" s="77" t="str">
        <f>ais_yes</f>
        <v>Ja</v>
      </c>
      <c r="AF32" s="853" t="s">
        <v>144</v>
      </c>
      <c r="AG32" s="832" t="s">
        <v>572</v>
      </c>
      <c r="AH32" s="832" t="s">
        <v>573</v>
      </c>
      <c r="AI32" s="832" t="s">
        <v>574</v>
      </c>
      <c r="AJ32" s="832" t="s">
        <v>575</v>
      </c>
      <c r="AK32" s="832" t="s">
        <v>559</v>
      </c>
      <c r="AL32" s="77"/>
      <c r="AN32" s="1" t="str">
        <f>IF($AF$7=ais_no,AIS_NA,"No")</f>
        <v>No</v>
      </c>
      <c r="AO32" s="24" t="str">
        <f t="shared" ref="AO32:AT32" si="7">IF(OR($AF$4=ais_no,$AF$7=ais_no),AIS_NA,IF(AG32="",AIS_NA,AG32))</f>
        <v>N/A</v>
      </c>
      <c r="AP32" s="24" t="str">
        <f t="shared" si="7"/>
        <v>N/A</v>
      </c>
      <c r="AQ32" s="24" t="str">
        <f t="shared" si="7"/>
        <v>N/A</v>
      </c>
      <c r="AR32" s="24" t="str">
        <f t="shared" si="7"/>
        <v>N/A</v>
      </c>
      <c r="AS32" s="24" t="str">
        <f t="shared" si="7"/>
        <v>N/A</v>
      </c>
      <c r="AT32" s="24" t="str">
        <f t="shared" si="7"/>
        <v>N/A</v>
      </c>
      <c r="AU32" s="1" t="s">
        <v>13</v>
      </c>
      <c r="AV32" s="819"/>
    </row>
    <row r="33" spans="1:48" x14ac:dyDescent="0.25">
      <c r="A33" s="398">
        <v>25</v>
      </c>
      <c r="B33" s="322" t="s">
        <v>70</v>
      </c>
      <c r="C33" s="409" t="str">
        <f>Ene_03</f>
        <v>Ene 03 External lighting</v>
      </c>
      <c r="D33" s="147">
        <f>Ene03_credits</f>
        <v>1</v>
      </c>
      <c r="E33" s="45"/>
      <c r="F33" s="148">
        <f>Ene03_06</f>
        <v>0</v>
      </c>
      <c r="G33" s="155" t="str">
        <f>Ene03_minstd</f>
        <v>N/A</v>
      </c>
      <c r="H33" s="88"/>
      <c r="I33" s="339"/>
      <c r="J33" s="341"/>
      <c r="K33" s="412"/>
      <c r="L33" s="48"/>
      <c r="M33" s="89"/>
      <c r="N33" s="88"/>
      <c r="O33" s="512"/>
      <c r="P33" s="341"/>
      <c r="Q33" s="411"/>
      <c r="R33" s="91"/>
      <c r="S33" s="89"/>
      <c r="T33" s="88"/>
      <c r="U33" s="512"/>
      <c r="V33" s="341"/>
      <c r="W33" s="162"/>
      <c r="X33" s="819" t="s">
        <v>14</v>
      </c>
      <c r="Y33" s="122">
        <f t="shared" si="0"/>
        <v>1</v>
      </c>
      <c r="Z33" s="3" t="e">
        <f>VLOOKUP(I33,'Assessment Details'!$L$45:$M$48,2,FALSE)</f>
        <v>#N/A</v>
      </c>
      <c r="AA33" s="3" t="e">
        <f>VLOOKUP(N33,'Assessment Details'!$L$45:$M$48,2,FALSE)</f>
        <v>#N/A</v>
      </c>
      <c r="AB33" s="3" t="e">
        <f>VLOOKUP(T33,'Assessment Details'!$L$45:$M$48,2,FALSE)</f>
        <v>#N/A</v>
      </c>
      <c r="AE33" s="77" t="str">
        <f>ais_yes</f>
        <v>Ja</v>
      </c>
      <c r="AF33" s="853" t="s">
        <v>136</v>
      </c>
      <c r="AG33" s="827" t="s">
        <v>526</v>
      </c>
      <c r="AH33" s="827" t="s">
        <v>530</v>
      </c>
      <c r="AI33" s="827" t="s">
        <v>528</v>
      </c>
      <c r="AJ33" s="77"/>
      <c r="AK33" s="77"/>
      <c r="AL33" s="77"/>
      <c r="AN33" s="1" t="s">
        <v>14</v>
      </c>
      <c r="AO33" s="24" t="str">
        <f t="shared" si="1"/>
        <v>N/A</v>
      </c>
      <c r="AP33" s="24" t="str">
        <f t="shared" si="2"/>
        <v>N/A</v>
      </c>
      <c r="AQ33" s="24" t="str">
        <f t="shared" si="3"/>
        <v>N/A</v>
      </c>
      <c r="AR33" s="24"/>
      <c r="AS33" s="24"/>
      <c r="AT33" s="24"/>
      <c r="AV33" s="819"/>
    </row>
    <row r="34" spans="1:48" x14ac:dyDescent="0.25">
      <c r="A34" s="398">
        <v>26</v>
      </c>
      <c r="B34" s="322" t="s">
        <v>70</v>
      </c>
      <c r="C34" s="409" t="str">
        <f>Ene_04</f>
        <v>Ene 04 Low and zero carbon technologies</v>
      </c>
      <c r="D34" s="147">
        <f>Ene04_credits</f>
        <v>2</v>
      </c>
      <c r="E34" s="45"/>
      <c r="F34" s="148">
        <f>Ene04_20</f>
        <v>0</v>
      </c>
      <c r="G34" s="155" t="str">
        <f>Ene04_16</f>
        <v>Very Good</v>
      </c>
      <c r="H34" s="88"/>
      <c r="I34" s="339"/>
      <c r="J34" s="341"/>
      <c r="K34" s="412"/>
      <c r="L34" s="48"/>
      <c r="M34" s="89"/>
      <c r="N34" s="88"/>
      <c r="O34" s="512"/>
      <c r="P34" s="341"/>
      <c r="Q34" s="411"/>
      <c r="R34" s="91"/>
      <c r="S34" s="89"/>
      <c r="T34" s="88"/>
      <c r="U34" s="512"/>
      <c r="V34" s="341"/>
      <c r="W34" s="162"/>
      <c r="X34" s="819" t="s">
        <v>14</v>
      </c>
      <c r="Y34" s="122">
        <f t="shared" si="0"/>
        <v>1</v>
      </c>
      <c r="Z34" s="1" t="e">
        <f>VLOOKUP(I34,'Assessment Details'!$L$45:$M$48,2,FALSE)</f>
        <v>#N/A</v>
      </c>
      <c r="AA34" s="1" t="e">
        <f>VLOOKUP(N34,'Assessment Details'!$L$45:$M$48,2,FALSE)</f>
        <v>#N/A</v>
      </c>
      <c r="AB34" s="1" t="e">
        <f>VLOOKUP(T34,'Assessment Details'!$L$45:$M$48,2,FALSE)</f>
        <v>#N/A</v>
      </c>
      <c r="AE34" s="77"/>
      <c r="AF34" s="853" t="s">
        <v>137</v>
      </c>
      <c r="AG34" s="827" t="s">
        <v>526</v>
      </c>
      <c r="AH34" s="827" t="s">
        <v>528</v>
      </c>
      <c r="AI34" s="77"/>
      <c r="AJ34" s="77"/>
      <c r="AK34" s="77"/>
      <c r="AL34" s="77"/>
      <c r="AN34" s="1" t="s">
        <v>14</v>
      </c>
      <c r="AO34" s="24" t="str">
        <f t="shared" si="1"/>
        <v>N/A</v>
      </c>
      <c r="AP34" s="24" t="str">
        <f t="shared" si="2"/>
        <v>N/A</v>
      </c>
      <c r="AQ34" s="24" t="str">
        <f t="shared" si="3"/>
        <v>N/A</v>
      </c>
      <c r="AR34" s="24"/>
      <c r="AS34" s="24"/>
      <c r="AT34" s="24"/>
      <c r="AV34" s="819"/>
    </row>
    <row r="35" spans="1:48" x14ac:dyDescent="0.25">
      <c r="A35" s="398">
        <v>27</v>
      </c>
      <c r="B35" s="322" t="s">
        <v>70</v>
      </c>
      <c r="C35" s="409" t="str">
        <f>Ene_05</f>
        <v>Ene 05 Energy efficient cold storage</v>
      </c>
      <c r="D35" s="147">
        <f>Ene05_credits</f>
        <v>0</v>
      </c>
      <c r="E35" s="45"/>
      <c r="F35" s="148">
        <f>Ene05_21</f>
        <v>0</v>
      </c>
      <c r="G35" s="155" t="str">
        <f>Ene05_15</f>
        <v>N/A</v>
      </c>
      <c r="H35" s="88"/>
      <c r="I35" s="339"/>
      <c r="J35" s="341"/>
      <c r="K35" s="412"/>
      <c r="L35" s="48"/>
      <c r="M35" s="89"/>
      <c r="N35" s="88"/>
      <c r="O35" s="512"/>
      <c r="P35" s="341"/>
      <c r="Q35" s="411"/>
      <c r="R35" s="91"/>
      <c r="S35" s="89"/>
      <c r="T35" s="88"/>
      <c r="U35" s="512"/>
      <c r="V35" s="341"/>
      <c r="W35" s="162"/>
      <c r="X35" s="819" t="s">
        <v>14</v>
      </c>
      <c r="Y35" s="122">
        <f t="shared" si="0"/>
        <v>2</v>
      </c>
      <c r="Z35" s="3" t="e">
        <f>VLOOKUP(I35,'Assessment Details'!$L$45:$M$48,2,FALSE)</f>
        <v>#N/A</v>
      </c>
      <c r="AA35" s="3" t="e">
        <f>VLOOKUP(N35,'Assessment Details'!$L$45:$M$48,2,FALSE)</f>
        <v>#N/A</v>
      </c>
      <c r="AB35" s="3" t="e">
        <f>VLOOKUP(T35,'Assessment Details'!$L$45:$M$48,2,FALSE)</f>
        <v>#N/A</v>
      </c>
      <c r="AE35" s="77" t="str">
        <f>ais_yes</f>
        <v>Ja</v>
      </c>
      <c r="AF35" s="853" t="s">
        <v>138</v>
      </c>
      <c r="AG35" s="827" t="s">
        <v>526</v>
      </c>
      <c r="AH35" s="827" t="s">
        <v>530</v>
      </c>
      <c r="AI35" s="827" t="s">
        <v>528</v>
      </c>
      <c r="AJ35" s="77"/>
      <c r="AK35" s="77"/>
      <c r="AL35" s="77"/>
      <c r="AN35" s="1" t="s">
        <v>14</v>
      </c>
      <c r="AO35" s="24" t="str">
        <f t="shared" si="1"/>
        <v>N/A</v>
      </c>
      <c r="AP35" s="24" t="str">
        <f t="shared" si="2"/>
        <v>N/A</v>
      </c>
      <c r="AQ35" s="24" t="str">
        <f t="shared" si="3"/>
        <v>N/A</v>
      </c>
      <c r="AR35" s="24"/>
      <c r="AS35" s="24"/>
      <c r="AT35" s="24"/>
      <c r="AV35" s="819"/>
    </row>
    <row r="36" spans="1:48" x14ac:dyDescent="0.25">
      <c r="A36" s="398">
        <v>28</v>
      </c>
      <c r="B36" s="322" t="s">
        <v>70</v>
      </c>
      <c r="C36" s="409" t="str">
        <f>Ene_06</f>
        <v>Ene 06 Energy efficient transportation systems</v>
      </c>
      <c r="D36" s="147">
        <f>Ene06_credits</f>
        <v>0</v>
      </c>
      <c r="E36" s="45"/>
      <c r="F36" s="148">
        <f>Ene06_12</f>
        <v>0</v>
      </c>
      <c r="G36" s="155" t="str">
        <f>Ene06_minstd</f>
        <v>N/A</v>
      </c>
      <c r="H36" s="88"/>
      <c r="I36" s="339"/>
      <c r="J36" s="341"/>
      <c r="K36" s="412"/>
      <c r="L36" s="48"/>
      <c r="M36" s="89"/>
      <c r="N36" s="88"/>
      <c r="O36" s="512"/>
      <c r="P36" s="341"/>
      <c r="Q36" s="411"/>
      <c r="R36" s="91"/>
      <c r="S36" s="89"/>
      <c r="T36" s="88"/>
      <c r="U36" s="512"/>
      <c r="V36" s="341"/>
      <c r="W36" s="162"/>
      <c r="X36" s="819" t="s">
        <v>14</v>
      </c>
      <c r="Y36" s="122">
        <f t="shared" si="0"/>
        <v>2</v>
      </c>
      <c r="Z36" s="3" t="e">
        <f>VLOOKUP(I36,'Assessment Details'!$L$45:$M$48,2,FALSE)</f>
        <v>#N/A</v>
      </c>
      <c r="AA36" s="3" t="e">
        <f>VLOOKUP(N36,'Assessment Details'!$L$45:$M$48,2,FALSE)</f>
        <v>#N/A</v>
      </c>
      <c r="AB36" s="3" t="e">
        <f>VLOOKUP(T36,'Assessment Details'!$L$45:$M$48,2,FALSE)</f>
        <v>#N/A</v>
      </c>
      <c r="AE36" s="77"/>
      <c r="AF36" s="853" t="s">
        <v>139</v>
      </c>
      <c r="AG36" s="827" t="s">
        <v>526</v>
      </c>
      <c r="AH36" s="827" t="s">
        <v>528</v>
      </c>
      <c r="AI36" s="77"/>
      <c r="AJ36" s="77"/>
      <c r="AK36" s="77"/>
      <c r="AL36" s="77"/>
      <c r="AN36" s="1" t="s">
        <v>14</v>
      </c>
      <c r="AO36" s="24" t="str">
        <f t="shared" si="1"/>
        <v>N/A</v>
      </c>
      <c r="AP36" s="24" t="str">
        <f t="shared" si="2"/>
        <v>N/A</v>
      </c>
      <c r="AQ36" s="24" t="str">
        <f t="shared" si="3"/>
        <v>N/A</v>
      </c>
      <c r="AR36" s="24"/>
      <c r="AS36" s="24"/>
      <c r="AT36" s="24"/>
      <c r="AV36" s="819"/>
    </row>
    <row r="37" spans="1:48" x14ac:dyDescent="0.25">
      <c r="A37" s="398">
        <v>29</v>
      </c>
      <c r="B37" s="322" t="s">
        <v>70</v>
      </c>
      <c r="C37" s="409" t="str">
        <f>Ene_07</f>
        <v>Ene 07 Energy Efficient Laboratory Systems</v>
      </c>
      <c r="D37" s="147">
        <f>Ene07_credits</f>
        <v>0</v>
      </c>
      <c r="E37" s="45"/>
      <c r="F37" s="148">
        <f>Ene07_25</f>
        <v>0</v>
      </c>
      <c r="G37" s="155" t="str">
        <f>Ene07_minstd</f>
        <v>N/A</v>
      </c>
      <c r="H37" s="88"/>
      <c r="I37" s="339"/>
      <c r="J37" s="341"/>
      <c r="K37" s="412"/>
      <c r="L37" s="48"/>
      <c r="M37" s="89"/>
      <c r="N37" s="88"/>
      <c r="O37" s="512"/>
      <c r="P37" s="341"/>
      <c r="Q37" s="411"/>
      <c r="R37" s="91"/>
      <c r="S37" s="89"/>
      <c r="T37" s="88"/>
      <c r="U37" s="512"/>
      <c r="V37" s="341"/>
      <c r="W37" s="162"/>
      <c r="X37" s="819" t="s">
        <v>15</v>
      </c>
      <c r="Y37" s="122">
        <f t="shared" si="0"/>
        <v>2</v>
      </c>
      <c r="Z37" s="3" t="e">
        <f>VLOOKUP(I37,'Assessment Details'!$L$45:$M$48,2,FALSE)</f>
        <v>#N/A</v>
      </c>
      <c r="AA37" s="3" t="e">
        <f>VLOOKUP(N37,'Assessment Details'!$L$45:$M$48,2,FALSE)</f>
        <v>#N/A</v>
      </c>
      <c r="AB37" s="3" t="e">
        <f>VLOOKUP(T37,'Assessment Details'!$L$45:$M$48,2,FALSE)</f>
        <v>#N/A</v>
      </c>
      <c r="AE37" s="77"/>
      <c r="AF37" s="853" t="s">
        <v>140</v>
      </c>
      <c r="AG37" s="77"/>
      <c r="AH37" s="77"/>
      <c r="AI37" s="77"/>
      <c r="AJ37" s="77"/>
      <c r="AK37" s="77"/>
      <c r="AL37" s="77"/>
      <c r="AO37" s="24" t="str">
        <f t="shared" si="1"/>
        <v>N/A</v>
      </c>
      <c r="AP37" s="24" t="str">
        <f t="shared" si="2"/>
        <v>N/A</v>
      </c>
      <c r="AQ37" s="24" t="str">
        <f t="shared" si="3"/>
        <v>N/A</v>
      </c>
      <c r="AR37" s="24"/>
      <c r="AS37" s="24"/>
      <c r="AT37" s="24"/>
      <c r="AV37" s="819"/>
    </row>
    <row r="38" spans="1:48" x14ac:dyDescent="0.25">
      <c r="A38" s="398">
        <v>30</v>
      </c>
      <c r="B38" s="322" t="s">
        <v>70</v>
      </c>
      <c r="C38" s="409" t="str">
        <f>Ene_08</f>
        <v>Ene 08 Energy efficient equipment</v>
      </c>
      <c r="D38" s="147">
        <f>Ene08_credits</f>
        <v>2</v>
      </c>
      <c r="E38" s="45"/>
      <c r="F38" s="148">
        <f>Ene08_29</f>
        <v>0</v>
      </c>
      <c r="G38" s="156" t="str">
        <f>Ene08_minstd</f>
        <v>N/A</v>
      </c>
      <c r="H38" s="88"/>
      <c r="I38" s="339"/>
      <c r="J38" s="341"/>
      <c r="K38" s="412"/>
      <c r="L38" s="48"/>
      <c r="M38" s="89"/>
      <c r="N38" s="88"/>
      <c r="O38" s="512"/>
      <c r="P38" s="341"/>
      <c r="Q38" s="411"/>
      <c r="R38" s="91"/>
      <c r="S38" s="89"/>
      <c r="T38" s="88"/>
      <c r="U38" s="512"/>
      <c r="V38" s="341"/>
      <c r="W38" s="162"/>
      <c r="X38" s="819" t="s">
        <v>14</v>
      </c>
      <c r="Y38" s="122">
        <f t="shared" si="0"/>
        <v>1</v>
      </c>
      <c r="Z38" s="1" t="e">
        <f>VLOOKUP(I38,'Assessment Details'!$L$45:$M$48,2,FALSE)</f>
        <v>#N/A</v>
      </c>
      <c r="AA38" s="1" t="e">
        <f>VLOOKUP(N38,'Assessment Details'!$L$45:$M$48,2,FALSE)</f>
        <v>#N/A</v>
      </c>
      <c r="AB38" s="1" t="e">
        <f>VLOOKUP(T38,'Assessment Details'!$L$45:$M$48,2,FALSE)</f>
        <v>#N/A</v>
      </c>
      <c r="AE38" s="77" t="str">
        <f>ais_yes</f>
        <v>Ja</v>
      </c>
      <c r="AF38" s="853" t="s">
        <v>141</v>
      </c>
      <c r="AG38" s="827" t="s">
        <v>526</v>
      </c>
      <c r="AH38" s="827" t="s">
        <v>530</v>
      </c>
      <c r="AI38" s="827" t="s">
        <v>528</v>
      </c>
      <c r="AJ38" s="77"/>
      <c r="AK38" s="77"/>
      <c r="AL38" s="77"/>
      <c r="AN38" s="1" t="s">
        <v>14</v>
      </c>
      <c r="AO38" s="24" t="str">
        <f t="shared" si="1"/>
        <v>N/A</v>
      </c>
      <c r="AP38" s="24" t="str">
        <f t="shared" si="2"/>
        <v>N/A</v>
      </c>
      <c r="AQ38" s="24" t="str">
        <f t="shared" si="3"/>
        <v>N/A</v>
      </c>
      <c r="AR38" s="24"/>
      <c r="AS38" s="24"/>
      <c r="AT38" s="24"/>
      <c r="AV38" s="819"/>
    </row>
    <row r="39" spans="1:48" x14ac:dyDescent="0.25">
      <c r="A39" s="398">
        <v>31</v>
      </c>
      <c r="B39" s="322" t="s">
        <v>70</v>
      </c>
      <c r="C39" s="409" t="str">
        <f>Ene_09</f>
        <v>Ene 09 Drying space</v>
      </c>
      <c r="D39" s="147">
        <f>Ene09_credits</f>
        <v>0</v>
      </c>
      <c r="E39" s="45"/>
      <c r="F39" s="148">
        <f>Ene09_10</f>
        <v>0</v>
      </c>
      <c r="G39" s="155" t="str">
        <f>Ene09_minstd</f>
        <v>N/A</v>
      </c>
      <c r="H39" s="88"/>
      <c r="I39" s="339"/>
      <c r="J39" s="341"/>
      <c r="K39" s="412"/>
      <c r="L39" s="48"/>
      <c r="M39" s="89"/>
      <c r="N39" s="88"/>
      <c r="O39" s="512"/>
      <c r="P39" s="341"/>
      <c r="Q39" s="411"/>
      <c r="R39" s="91"/>
      <c r="S39" s="89"/>
      <c r="T39" s="88"/>
      <c r="U39" s="512"/>
      <c r="V39" s="341"/>
      <c r="W39" s="162"/>
      <c r="X39" s="819" t="s">
        <v>14</v>
      </c>
      <c r="Y39" s="122">
        <f t="shared" si="0"/>
        <v>2</v>
      </c>
      <c r="Z39" s="1" t="e">
        <f>VLOOKUP(I39,'Assessment Details'!$L$45:$M$48,2,FALSE)</f>
        <v>#N/A</v>
      </c>
      <c r="AA39" s="1" t="e">
        <f>VLOOKUP(N39,'Assessment Details'!$L$45:$M$48,2,FALSE)</f>
        <v>#N/A</v>
      </c>
      <c r="AB39" s="1" t="e">
        <f>VLOOKUP(T39,'Assessment Details'!$L$45:$M$48,2,FALSE)</f>
        <v>#N/A</v>
      </c>
      <c r="AE39" s="77" t="str">
        <f>ais_yes</f>
        <v>Ja</v>
      </c>
      <c r="AF39" s="853" t="s">
        <v>142</v>
      </c>
      <c r="AG39" s="827" t="s">
        <v>526</v>
      </c>
      <c r="AH39" s="827" t="s">
        <v>530</v>
      </c>
      <c r="AI39" s="827" t="s">
        <v>528</v>
      </c>
      <c r="AJ39" s="77"/>
      <c r="AK39" s="77"/>
      <c r="AL39" s="77"/>
      <c r="AN39" s="1" t="s">
        <v>14</v>
      </c>
      <c r="AO39" s="24" t="str">
        <f t="shared" si="1"/>
        <v>N/A</v>
      </c>
      <c r="AP39" s="24" t="str">
        <f t="shared" si="2"/>
        <v>N/A</v>
      </c>
      <c r="AQ39" s="24" t="str">
        <f t="shared" si="3"/>
        <v>N/A</v>
      </c>
      <c r="AR39" s="24"/>
      <c r="AS39" s="24"/>
      <c r="AT39" s="24"/>
      <c r="AV39" s="819"/>
    </row>
    <row r="40" spans="1:48" ht="30" x14ac:dyDescent="0.25">
      <c r="A40" s="398">
        <v>32</v>
      </c>
      <c r="B40" s="322" t="s">
        <v>70</v>
      </c>
      <c r="C40" s="434" t="str">
        <f>Ene_23</f>
        <v>Ene 23 Energy performance of building structure and installations</v>
      </c>
      <c r="D40" s="147">
        <f>Ene23_credits</f>
        <v>2</v>
      </c>
      <c r="E40" s="45"/>
      <c r="F40" s="157">
        <f>Ene23_cont</f>
        <v>0</v>
      </c>
      <c r="G40" s="158" t="str">
        <f>Ene23_minstd</f>
        <v>Excellent</v>
      </c>
      <c r="H40" s="88"/>
      <c r="I40" s="339"/>
      <c r="J40" s="341"/>
      <c r="K40" s="412"/>
      <c r="L40" s="48"/>
      <c r="M40" s="89"/>
      <c r="N40" s="88"/>
      <c r="O40" s="512"/>
      <c r="P40" s="341"/>
      <c r="Q40" s="411"/>
      <c r="R40" s="91"/>
      <c r="S40" s="89"/>
      <c r="T40" s="88"/>
      <c r="U40" s="512"/>
      <c r="V40" s="341"/>
      <c r="W40" s="162"/>
      <c r="X40" s="819" t="s">
        <v>14</v>
      </c>
      <c r="Y40" s="122">
        <f t="shared" si="0"/>
        <v>1</v>
      </c>
      <c r="Z40" s="3" t="e">
        <f>VLOOKUP(I40,'Assessment Details'!$L$45:$M$48,2,FALSE)</f>
        <v>#N/A</v>
      </c>
      <c r="AA40" s="3" t="e">
        <f>VLOOKUP(N40,'Assessment Details'!$L$45:$M$48,2,FALSE)</f>
        <v>#N/A</v>
      </c>
      <c r="AB40" s="3" t="e">
        <f>VLOOKUP(T40,'Assessment Details'!$L$45:$M$48,2,FALSE)</f>
        <v>#N/A</v>
      </c>
      <c r="AE40" s="77"/>
      <c r="AF40" s="853" t="s">
        <v>143</v>
      </c>
      <c r="AG40" s="827" t="s">
        <v>526</v>
      </c>
      <c r="AH40" s="827" t="s">
        <v>528</v>
      </c>
      <c r="AI40" s="77"/>
      <c r="AJ40" s="77"/>
      <c r="AK40" s="77"/>
      <c r="AL40" s="77"/>
      <c r="AN40" s="1" t="s">
        <v>14</v>
      </c>
      <c r="AO40" s="24" t="str">
        <f t="shared" si="1"/>
        <v>N/A</v>
      </c>
      <c r="AP40" s="24" t="str">
        <f t="shared" si="2"/>
        <v>N/A</v>
      </c>
      <c r="AQ40" s="24" t="str">
        <f t="shared" si="3"/>
        <v>N/A</v>
      </c>
      <c r="AR40" s="24"/>
      <c r="AS40" s="24"/>
      <c r="AT40" s="24"/>
      <c r="AV40" s="819"/>
    </row>
    <row r="41" spans="1:48" ht="15.75" thickBot="1" x14ac:dyDescent="0.3">
      <c r="A41" s="398">
        <v>33</v>
      </c>
      <c r="B41" s="322" t="s">
        <v>70</v>
      </c>
      <c r="C41" s="413" t="s">
        <v>109</v>
      </c>
      <c r="D41" s="151">
        <f>Ene_Credits</f>
        <v>22</v>
      </c>
      <c r="E41" s="160"/>
      <c r="F41" s="152">
        <f>Ene_cont_tot</f>
        <v>0</v>
      </c>
      <c r="G41" s="153" t="str">
        <f>"Credits achieved: "&amp;Ene_tot_user</f>
        <v>Credits achieved: 0</v>
      </c>
      <c r="H41" s="163"/>
      <c r="I41" s="340"/>
      <c r="J41" s="342"/>
      <c r="K41" s="412"/>
      <c r="L41" s="515"/>
      <c r="M41" s="510"/>
      <c r="N41" s="165"/>
      <c r="O41" s="163"/>
      <c r="P41" s="513"/>
      <c r="Q41" s="411"/>
      <c r="R41" s="516"/>
      <c r="S41" s="510"/>
      <c r="T41" s="165"/>
      <c r="U41" s="163"/>
      <c r="V41" s="513"/>
      <c r="W41" s="162"/>
      <c r="X41" s="820"/>
      <c r="Y41" s="122">
        <f t="shared" ref="Y41:Y72" si="8">IF(D41="",1,IF(D41=0,2,1))</f>
        <v>1</v>
      </c>
      <c r="Z41" s="333">
        <v>0</v>
      </c>
      <c r="AA41" s="333">
        <v>0</v>
      </c>
      <c r="AB41" s="333">
        <v>0</v>
      </c>
      <c r="AE41" s="77"/>
      <c r="AF41" s="853" t="s">
        <v>109</v>
      </c>
      <c r="AG41" s="77"/>
      <c r="AH41" s="77"/>
      <c r="AI41" s="77"/>
      <c r="AJ41" s="77"/>
      <c r="AK41" s="77"/>
      <c r="AL41" s="77"/>
      <c r="AO41" s="24" t="str">
        <f t="shared" si="1"/>
        <v>N/A</v>
      </c>
      <c r="AP41" s="24" t="str">
        <f t="shared" si="2"/>
        <v>N/A</v>
      </c>
      <c r="AQ41" s="24" t="str">
        <f t="shared" si="3"/>
        <v>N/A</v>
      </c>
      <c r="AR41" s="24"/>
      <c r="AS41" s="24"/>
      <c r="AT41" s="24"/>
      <c r="AV41" s="820"/>
    </row>
    <row r="42" spans="1:48" x14ac:dyDescent="0.25">
      <c r="A42" s="398">
        <v>34</v>
      </c>
      <c r="B42" s="322" t="s">
        <v>70</v>
      </c>
      <c r="C42" s="414"/>
      <c r="D42" s="415"/>
      <c r="E42" s="416"/>
      <c r="F42" s="415"/>
      <c r="G42" s="415"/>
      <c r="H42" s="417"/>
      <c r="I42" s="416"/>
      <c r="J42" s="417"/>
      <c r="K42" s="410"/>
      <c r="L42" s="416"/>
      <c r="M42" s="417"/>
      <c r="N42" s="418"/>
      <c r="O42" s="417"/>
      <c r="P42" s="417"/>
      <c r="Q42" s="419"/>
      <c r="R42" s="418"/>
      <c r="S42" s="417"/>
      <c r="T42" s="418"/>
      <c r="U42" s="417"/>
      <c r="V42" s="417"/>
      <c r="W42" s="962"/>
      <c r="X42" s="417"/>
      <c r="Y42" s="122">
        <f t="shared" si="8"/>
        <v>1</v>
      </c>
      <c r="Z42" s="335">
        <v>0</v>
      </c>
      <c r="AA42" s="335">
        <v>0</v>
      </c>
      <c r="AB42" s="335">
        <v>0</v>
      </c>
      <c r="AE42" s="77"/>
      <c r="AF42" s="853"/>
      <c r="AG42" s="77"/>
      <c r="AH42" s="77"/>
      <c r="AI42" s="77"/>
      <c r="AJ42" s="77"/>
      <c r="AK42" s="77"/>
      <c r="AL42" s="77"/>
      <c r="AO42" s="24" t="str">
        <f t="shared" ref="AO42:AO73" si="9">IF($AF$4=ais_no,AIS_NA,IF(AG42="",AIS_NA,AG42))</f>
        <v>N/A</v>
      </c>
      <c r="AP42" s="24" t="str">
        <f t="shared" ref="AP42:AP73" si="10">IF($AF$4=ais_no,AIS_NA,IF(AH42="",AIS_NA,AH42))</f>
        <v>N/A</v>
      </c>
      <c r="AQ42" s="24" t="str">
        <f t="shared" ref="AQ42:AR73" si="11">IF($AF$4=ais_no,AIS_NA,IF(AI42="",AIS_NA,AI42))</f>
        <v>N/A</v>
      </c>
      <c r="AR42" s="24"/>
      <c r="AS42" s="24"/>
      <c r="AT42" s="24"/>
      <c r="AV42" s="417"/>
    </row>
    <row r="43" spans="1:48" ht="18.75" x14ac:dyDescent="0.25">
      <c r="A43" s="398">
        <v>35</v>
      </c>
      <c r="B43" s="322" t="s">
        <v>71</v>
      </c>
      <c r="C43" s="420" t="s">
        <v>57</v>
      </c>
      <c r="D43" s="401"/>
      <c r="E43" s="402"/>
      <c r="F43" s="429"/>
      <c r="G43" s="401"/>
      <c r="H43" s="421"/>
      <c r="I43" s="422"/>
      <c r="J43" s="430"/>
      <c r="K43" s="412"/>
      <c r="L43" s="431"/>
      <c r="M43" s="421"/>
      <c r="N43" s="432"/>
      <c r="O43" s="421"/>
      <c r="P43" s="514"/>
      <c r="Q43" s="411"/>
      <c r="R43" s="433"/>
      <c r="S43" s="421"/>
      <c r="T43" s="432"/>
      <c r="U43" s="421"/>
      <c r="V43" s="514"/>
      <c r="W43" s="162"/>
      <c r="X43" s="430"/>
      <c r="Y43" s="122">
        <f t="shared" si="8"/>
        <v>1</v>
      </c>
      <c r="Z43" s="331">
        <v>0</v>
      </c>
      <c r="AA43" s="331">
        <v>0</v>
      </c>
      <c r="AB43" s="331">
        <v>0</v>
      </c>
      <c r="AE43" s="77"/>
      <c r="AF43" s="853" t="s">
        <v>57</v>
      </c>
      <c r="AG43" s="77"/>
      <c r="AH43" s="77"/>
      <c r="AI43" s="77"/>
      <c r="AJ43" s="77"/>
      <c r="AK43" s="77"/>
      <c r="AL43" s="77"/>
      <c r="AO43" s="24" t="str">
        <f t="shared" si="9"/>
        <v>N/A</v>
      </c>
      <c r="AP43" s="24" t="str">
        <f t="shared" si="10"/>
        <v>N/A</v>
      </c>
      <c r="AQ43" s="24" t="str">
        <f t="shared" si="11"/>
        <v>N/A</v>
      </c>
      <c r="AR43" s="24"/>
      <c r="AS43" s="24"/>
      <c r="AT43" s="24"/>
      <c r="AV43" s="430"/>
    </row>
    <row r="44" spans="1:48" x14ac:dyDescent="0.25">
      <c r="A44" s="398">
        <v>36</v>
      </c>
      <c r="B44" s="322" t="s">
        <v>71</v>
      </c>
      <c r="C44" s="409" t="str">
        <f>Tra_01</f>
        <v>Tra 01 Public transport accessibility</v>
      </c>
      <c r="D44" s="147">
        <f>Tra01_credits</f>
        <v>3</v>
      </c>
      <c r="E44" s="45"/>
      <c r="F44" s="148">
        <f>TRa01_08</f>
        <v>0</v>
      </c>
      <c r="G44" s="156" t="str">
        <f>Tra01_minstd</f>
        <v>N/A</v>
      </c>
      <c r="H44" s="88"/>
      <c r="I44" s="339"/>
      <c r="J44" s="341"/>
      <c r="K44" s="412"/>
      <c r="L44" s="48"/>
      <c r="M44" s="89"/>
      <c r="N44" s="88"/>
      <c r="O44" s="512"/>
      <c r="P44" s="341"/>
      <c r="Q44" s="411"/>
      <c r="R44" s="91"/>
      <c r="S44" s="89"/>
      <c r="T44" s="88"/>
      <c r="U44" s="512"/>
      <c r="V44" s="341"/>
      <c r="W44" s="162"/>
      <c r="X44" s="819" t="s">
        <v>15</v>
      </c>
      <c r="Y44" s="122">
        <f t="shared" si="8"/>
        <v>1</v>
      </c>
      <c r="Z44" s="3" t="e">
        <f>VLOOKUP(I44,'Assessment Details'!$L$45:$M$48,2,FALSE)</f>
        <v>#N/A</v>
      </c>
      <c r="AA44" s="3" t="e">
        <f>VLOOKUP(N44,'Assessment Details'!$L$45:$M$48,2,FALSE)</f>
        <v>#N/A</v>
      </c>
      <c r="AB44" s="3" t="e">
        <f>VLOOKUP(T44,'Assessment Details'!$L$45:$M$48,2,FALSE)</f>
        <v>#N/A</v>
      </c>
      <c r="AE44" s="77"/>
      <c r="AF44" s="853" t="s">
        <v>155</v>
      </c>
      <c r="AG44" s="77"/>
      <c r="AH44" s="77"/>
      <c r="AI44" s="77"/>
      <c r="AJ44" s="77"/>
      <c r="AK44" s="77"/>
      <c r="AL44" s="77"/>
      <c r="AO44" s="24" t="str">
        <f t="shared" si="9"/>
        <v>N/A</v>
      </c>
      <c r="AP44" s="24" t="str">
        <f t="shared" si="10"/>
        <v>N/A</v>
      </c>
      <c r="AQ44" s="24" t="str">
        <f t="shared" si="11"/>
        <v>N/A</v>
      </c>
      <c r="AR44" s="24"/>
      <c r="AS44" s="24"/>
      <c r="AT44" s="24"/>
      <c r="AV44" s="819"/>
    </row>
    <row r="45" spans="1:48" x14ac:dyDescent="0.25">
      <c r="A45" s="398">
        <v>37</v>
      </c>
      <c r="B45" s="322" t="s">
        <v>71</v>
      </c>
      <c r="C45" s="409" t="str">
        <f>Tra_02</f>
        <v>Tra 02 Proximity to amenities</v>
      </c>
      <c r="D45" s="147">
        <f>Tra02_credits</f>
        <v>1</v>
      </c>
      <c r="E45" s="45"/>
      <c r="F45" s="148">
        <f>Tra02_07</f>
        <v>0</v>
      </c>
      <c r="G45" s="155" t="str">
        <f>Tra02_minstd</f>
        <v>N/A</v>
      </c>
      <c r="H45" s="88"/>
      <c r="I45" s="339"/>
      <c r="J45" s="341"/>
      <c r="K45" s="412"/>
      <c r="L45" s="48"/>
      <c r="M45" s="89"/>
      <c r="N45" s="88"/>
      <c r="O45" s="512"/>
      <c r="P45" s="341"/>
      <c r="Q45" s="411"/>
      <c r="R45" s="91"/>
      <c r="S45" s="89"/>
      <c r="T45" s="88"/>
      <c r="U45" s="512"/>
      <c r="V45" s="341"/>
      <c r="W45" s="162"/>
      <c r="X45" s="819" t="s">
        <v>15</v>
      </c>
      <c r="Y45" s="122">
        <f t="shared" si="8"/>
        <v>1</v>
      </c>
      <c r="Z45" s="3" t="e">
        <f>VLOOKUP(I45,'Assessment Details'!$L$45:$M$48,2,FALSE)</f>
        <v>#N/A</v>
      </c>
      <c r="AA45" s="3" t="e">
        <f>VLOOKUP(N45,'Assessment Details'!$L$45:$M$48,2,FALSE)</f>
        <v>#N/A</v>
      </c>
      <c r="AB45" s="3" t="e">
        <f>VLOOKUP(T45,'Assessment Details'!$L$45:$M$48,2,FALSE)</f>
        <v>#N/A</v>
      </c>
      <c r="AE45" s="77"/>
      <c r="AF45" s="853" t="s">
        <v>156</v>
      </c>
      <c r="AG45" s="77"/>
      <c r="AH45" s="77"/>
      <c r="AI45" s="77"/>
      <c r="AJ45" s="77"/>
      <c r="AK45" s="77"/>
      <c r="AL45" s="77"/>
      <c r="AO45" s="24" t="str">
        <f t="shared" si="9"/>
        <v>N/A</v>
      </c>
      <c r="AP45" s="24" t="str">
        <f t="shared" si="10"/>
        <v>N/A</v>
      </c>
      <c r="AQ45" s="24" t="str">
        <f t="shared" si="11"/>
        <v>N/A</v>
      </c>
      <c r="AR45" s="24"/>
      <c r="AS45" s="24"/>
      <c r="AT45" s="24"/>
      <c r="AV45" s="819"/>
    </row>
    <row r="46" spans="1:48" x14ac:dyDescent="0.25">
      <c r="A46" s="398">
        <v>38</v>
      </c>
      <c r="B46" s="322" t="s">
        <v>71</v>
      </c>
      <c r="C46" s="409" t="str">
        <f>Tra_03</f>
        <v>Tra 03 Alternative modes of transport</v>
      </c>
      <c r="D46" s="147">
        <f>Tra03_credits</f>
        <v>2</v>
      </c>
      <c r="E46" s="45"/>
      <c r="F46" s="148">
        <f>Tra03_14</f>
        <v>0</v>
      </c>
      <c r="G46" s="155" t="str">
        <f>Tra03_minstd</f>
        <v>N/A</v>
      </c>
      <c r="H46" s="88"/>
      <c r="I46" s="339" t="s">
        <v>0</v>
      </c>
      <c r="J46" s="341"/>
      <c r="K46" s="412"/>
      <c r="L46" s="48"/>
      <c r="M46" s="89"/>
      <c r="N46" s="88"/>
      <c r="O46" s="512"/>
      <c r="P46" s="341"/>
      <c r="Q46" s="411"/>
      <c r="R46" s="91"/>
      <c r="S46" s="89"/>
      <c r="T46" s="88"/>
      <c r="U46" s="512"/>
      <c r="V46" s="341"/>
      <c r="W46" s="162"/>
      <c r="X46" s="819" t="s">
        <v>15</v>
      </c>
      <c r="Y46" s="122">
        <f t="shared" si="8"/>
        <v>1</v>
      </c>
      <c r="Z46" s="3">
        <f>VLOOKUP(I46,'Assessment Details'!$L$45:$M$48,2,FALSE)</f>
        <v>4</v>
      </c>
      <c r="AA46" s="3" t="e">
        <f>VLOOKUP(N46,'Assessment Details'!$L$45:$M$48,2,FALSE)</f>
        <v>#N/A</v>
      </c>
      <c r="AB46" s="3" t="e">
        <f>VLOOKUP(T46,'Assessment Details'!$L$45:$M$48,2,FALSE)</f>
        <v>#N/A</v>
      </c>
      <c r="AE46" s="77"/>
      <c r="AF46" s="853" t="s">
        <v>158</v>
      </c>
      <c r="AG46" s="77"/>
      <c r="AH46" s="77"/>
      <c r="AI46" s="77"/>
      <c r="AJ46" s="77"/>
      <c r="AK46" s="77"/>
      <c r="AL46" s="77"/>
      <c r="AO46" s="24" t="str">
        <f t="shared" si="9"/>
        <v>N/A</v>
      </c>
      <c r="AP46" s="24" t="str">
        <f t="shared" si="10"/>
        <v>N/A</v>
      </c>
      <c r="AQ46" s="24" t="str">
        <f t="shared" si="11"/>
        <v>N/A</v>
      </c>
      <c r="AR46" s="24"/>
      <c r="AS46" s="24"/>
      <c r="AT46" s="24"/>
      <c r="AV46" s="819"/>
    </row>
    <row r="47" spans="1:48" x14ac:dyDescent="0.25">
      <c r="A47" s="398">
        <v>39</v>
      </c>
      <c r="B47" s="322" t="s">
        <v>71</v>
      </c>
      <c r="C47" s="409" t="str">
        <f>Tra_04</f>
        <v>Tra 04 Maximum car parking capacity</v>
      </c>
      <c r="D47" s="147">
        <f>Tra04_credits</f>
        <v>2</v>
      </c>
      <c r="E47" s="45"/>
      <c r="F47" s="148">
        <f>Tra04_10</f>
        <v>0</v>
      </c>
      <c r="G47" s="155" t="str">
        <f>Tra04_minstd</f>
        <v>N/A</v>
      </c>
      <c r="H47" s="88"/>
      <c r="I47" s="339"/>
      <c r="J47" s="341"/>
      <c r="K47" s="412"/>
      <c r="L47" s="48"/>
      <c r="M47" s="89"/>
      <c r="N47" s="88" t="s">
        <v>0</v>
      </c>
      <c r="O47" s="512"/>
      <c r="P47" s="341"/>
      <c r="Q47" s="411"/>
      <c r="R47" s="91"/>
      <c r="S47" s="89"/>
      <c r="T47" s="88"/>
      <c r="U47" s="512"/>
      <c r="V47" s="341"/>
      <c r="W47" s="162"/>
      <c r="X47" s="819" t="s">
        <v>15</v>
      </c>
      <c r="Y47" s="122">
        <f t="shared" si="8"/>
        <v>1</v>
      </c>
      <c r="Z47" s="3" t="e">
        <f>VLOOKUP(I47,'Assessment Details'!$L$45:$M$48,2,FALSE)</f>
        <v>#N/A</v>
      </c>
      <c r="AA47" s="3">
        <f>VLOOKUP(N47,'Assessment Details'!$L$45:$M$48,2,FALSE)</f>
        <v>4</v>
      </c>
      <c r="AB47" s="3" t="e">
        <f>VLOOKUP(T47,'Assessment Details'!$L$45:$M$48,2,FALSE)</f>
        <v>#N/A</v>
      </c>
      <c r="AE47" s="77"/>
      <c r="AF47" s="853" t="s">
        <v>157</v>
      </c>
      <c r="AG47" s="77"/>
      <c r="AH47" s="77"/>
      <c r="AI47" s="77"/>
      <c r="AJ47" s="77"/>
      <c r="AK47" s="77"/>
      <c r="AL47" s="77"/>
      <c r="AO47" s="24" t="str">
        <f t="shared" si="9"/>
        <v>N/A</v>
      </c>
      <c r="AP47" s="24" t="str">
        <f t="shared" si="10"/>
        <v>N/A</v>
      </c>
      <c r="AQ47" s="24" t="str">
        <f t="shared" si="11"/>
        <v>N/A</v>
      </c>
      <c r="AR47" s="24"/>
      <c r="AS47" s="24"/>
      <c r="AT47" s="24"/>
      <c r="AV47" s="819"/>
    </row>
    <row r="48" spans="1:48" x14ac:dyDescent="0.25">
      <c r="A48" s="398">
        <v>40</v>
      </c>
      <c r="B48" s="322" t="s">
        <v>71</v>
      </c>
      <c r="C48" s="409" t="str">
        <f>Tra_05</f>
        <v>Tra 05 Travel plan</v>
      </c>
      <c r="D48" s="147">
        <f>Tra05_credits</f>
        <v>1</v>
      </c>
      <c r="E48" s="45"/>
      <c r="F48" s="148">
        <f>Tra05_05</f>
        <v>0</v>
      </c>
      <c r="G48" s="155" t="str">
        <f>Tra05_minstd</f>
        <v>N/A</v>
      </c>
      <c r="H48" s="88"/>
      <c r="I48" s="339" t="s">
        <v>0</v>
      </c>
      <c r="J48" s="341"/>
      <c r="K48" s="410"/>
      <c r="L48" s="48"/>
      <c r="M48" s="89"/>
      <c r="N48" s="88"/>
      <c r="O48" s="512"/>
      <c r="P48" s="341"/>
      <c r="Q48" s="411"/>
      <c r="R48" s="91"/>
      <c r="S48" s="89"/>
      <c r="T48" s="88"/>
      <c r="U48" s="512"/>
      <c r="V48" s="341"/>
      <c r="W48" s="162"/>
      <c r="X48" s="819" t="s">
        <v>15</v>
      </c>
      <c r="Y48" s="122">
        <f t="shared" si="8"/>
        <v>1</v>
      </c>
      <c r="Z48" s="1">
        <f>VLOOKUP(I48,'Assessment Details'!$L$45:$M$48,2,FALSE)</f>
        <v>4</v>
      </c>
      <c r="AA48" s="1" t="e">
        <f>VLOOKUP(N48,'Assessment Details'!$L$45:$M$48,2,FALSE)</f>
        <v>#N/A</v>
      </c>
      <c r="AB48" s="1" t="e">
        <f>VLOOKUP(T48,'Assessment Details'!$L$45:$M$48,2,FALSE)</f>
        <v>#N/A</v>
      </c>
      <c r="AE48" s="77"/>
      <c r="AF48" s="853" t="s">
        <v>159</v>
      </c>
      <c r="AG48" s="77"/>
      <c r="AH48" s="77"/>
      <c r="AI48" s="77"/>
      <c r="AJ48" s="77"/>
      <c r="AK48" s="77"/>
      <c r="AL48" s="77"/>
      <c r="AO48" s="24" t="str">
        <f t="shared" si="9"/>
        <v>N/A</v>
      </c>
      <c r="AP48" s="24" t="str">
        <f t="shared" si="10"/>
        <v>N/A</v>
      </c>
      <c r="AQ48" s="24" t="str">
        <f t="shared" si="11"/>
        <v>N/A</v>
      </c>
      <c r="AR48" s="24"/>
      <c r="AS48" s="24"/>
      <c r="AT48" s="24"/>
      <c r="AV48" s="819"/>
    </row>
    <row r="49" spans="1:48" x14ac:dyDescent="0.25">
      <c r="A49" s="398">
        <v>41</v>
      </c>
      <c r="B49" s="322" t="s">
        <v>71</v>
      </c>
      <c r="C49" s="409" t="str">
        <f>Tra_06</f>
        <v>Tra 06 Home office</v>
      </c>
      <c r="D49" s="147">
        <f>Tra06_credits</f>
        <v>0</v>
      </c>
      <c r="E49" s="45"/>
      <c r="F49" s="148">
        <f>Tra06_05</f>
        <v>0</v>
      </c>
      <c r="G49" s="155" t="str">
        <f>Tra06_minstd</f>
        <v>N/A</v>
      </c>
      <c r="H49" s="88"/>
      <c r="I49" s="339"/>
      <c r="J49" s="341"/>
      <c r="K49" s="410"/>
      <c r="L49" s="48"/>
      <c r="M49" s="89"/>
      <c r="N49" s="88"/>
      <c r="O49" s="512"/>
      <c r="P49" s="341"/>
      <c r="Q49" s="411"/>
      <c r="R49" s="91"/>
      <c r="S49" s="89"/>
      <c r="T49" s="88"/>
      <c r="U49" s="512"/>
      <c r="V49" s="341"/>
      <c r="W49" s="162"/>
      <c r="X49" s="819" t="s">
        <v>15</v>
      </c>
      <c r="Y49" s="122">
        <f t="shared" si="8"/>
        <v>2</v>
      </c>
      <c r="Z49" s="3" t="e">
        <f>VLOOKUP(I49,'Assessment Details'!$L$45:$M$48,2,FALSE)</f>
        <v>#N/A</v>
      </c>
      <c r="AA49" s="3" t="e">
        <f>VLOOKUP(N49,'Assessment Details'!$L$45:$M$48,2,FALSE)</f>
        <v>#N/A</v>
      </c>
      <c r="AB49" s="3" t="e">
        <f>VLOOKUP(T49,'Assessment Details'!$L$45:$M$48,2,FALSE)</f>
        <v>#N/A</v>
      </c>
      <c r="AE49" s="77"/>
      <c r="AF49" s="853" t="s">
        <v>358</v>
      </c>
      <c r="AG49" s="77"/>
      <c r="AH49" s="77"/>
      <c r="AI49" s="77"/>
      <c r="AJ49" s="77"/>
      <c r="AK49" s="77"/>
      <c r="AL49" s="77"/>
      <c r="AO49" s="24" t="str">
        <f t="shared" si="9"/>
        <v>N/A</v>
      </c>
      <c r="AP49" s="24" t="str">
        <f t="shared" si="10"/>
        <v>N/A</v>
      </c>
      <c r="AQ49" s="24" t="str">
        <f t="shared" si="11"/>
        <v>N/A</v>
      </c>
      <c r="AR49" s="24"/>
      <c r="AS49" s="24"/>
      <c r="AT49" s="24"/>
      <c r="AV49" s="819"/>
    </row>
    <row r="50" spans="1:48" ht="15.75" thickBot="1" x14ac:dyDescent="0.3">
      <c r="A50" s="398">
        <v>42</v>
      </c>
      <c r="B50" s="322" t="s">
        <v>71</v>
      </c>
      <c r="C50" s="413" t="s">
        <v>110</v>
      </c>
      <c r="D50" s="151">
        <f>Tra_Credits</f>
        <v>9</v>
      </c>
      <c r="E50" s="160"/>
      <c r="F50" s="152">
        <f>Tra_cont_tot</f>
        <v>0</v>
      </c>
      <c r="G50" s="153" t="str">
        <f>"Credits achieved: "&amp;Tra_tot_user</f>
        <v>Credits achieved: 0</v>
      </c>
      <c r="H50" s="163"/>
      <c r="I50" s="340"/>
      <c r="J50" s="342"/>
      <c r="K50" s="412"/>
      <c r="L50" s="515"/>
      <c r="M50" s="510"/>
      <c r="N50" s="165"/>
      <c r="O50" s="163"/>
      <c r="P50" s="513"/>
      <c r="Q50" s="411"/>
      <c r="R50" s="516"/>
      <c r="S50" s="510"/>
      <c r="T50" s="165"/>
      <c r="U50" s="163"/>
      <c r="V50" s="513"/>
      <c r="W50" s="162"/>
      <c r="X50" s="820"/>
      <c r="Y50" s="122">
        <f t="shared" si="8"/>
        <v>1</v>
      </c>
      <c r="Z50" s="333">
        <v>0</v>
      </c>
      <c r="AA50" s="333">
        <v>0</v>
      </c>
      <c r="AB50" s="333">
        <v>0</v>
      </c>
      <c r="AE50" s="77"/>
      <c r="AF50" s="853" t="s">
        <v>110</v>
      </c>
      <c r="AG50" s="77"/>
      <c r="AH50" s="77"/>
      <c r="AI50" s="77"/>
      <c r="AJ50" s="77"/>
      <c r="AK50" s="77"/>
      <c r="AL50" s="77"/>
      <c r="AO50" s="24" t="str">
        <f t="shared" si="9"/>
        <v>N/A</v>
      </c>
      <c r="AP50" s="24" t="str">
        <f t="shared" si="10"/>
        <v>N/A</v>
      </c>
      <c r="AQ50" s="24" t="str">
        <f t="shared" si="11"/>
        <v>N/A</v>
      </c>
      <c r="AR50" s="24"/>
      <c r="AS50" s="24"/>
      <c r="AT50" s="24"/>
      <c r="AV50" s="820"/>
    </row>
    <row r="51" spans="1:48" x14ac:dyDescent="0.25">
      <c r="A51" s="398">
        <v>43</v>
      </c>
      <c r="B51" s="322" t="s">
        <v>71</v>
      </c>
      <c r="C51" s="414"/>
      <c r="D51" s="415"/>
      <c r="E51" s="416"/>
      <c r="F51" s="415"/>
      <c r="G51" s="415"/>
      <c r="H51" s="417"/>
      <c r="I51" s="416"/>
      <c r="J51" s="417"/>
      <c r="K51" s="410"/>
      <c r="L51" s="416"/>
      <c r="M51" s="417"/>
      <c r="N51" s="418"/>
      <c r="O51" s="417"/>
      <c r="P51" s="417"/>
      <c r="Q51" s="419"/>
      <c r="R51" s="418"/>
      <c r="S51" s="417"/>
      <c r="T51" s="418"/>
      <c r="U51" s="417"/>
      <c r="V51" s="417"/>
      <c r="W51" s="962"/>
      <c r="X51" s="417"/>
      <c r="Y51" s="122">
        <f t="shared" si="8"/>
        <v>1</v>
      </c>
      <c r="Z51" s="335">
        <v>0</v>
      </c>
      <c r="AA51" s="335">
        <v>0</v>
      </c>
      <c r="AB51" s="335">
        <v>0</v>
      </c>
      <c r="AE51" s="77"/>
      <c r="AF51" s="853"/>
      <c r="AG51" s="77"/>
      <c r="AH51" s="77"/>
      <c r="AI51" s="77"/>
      <c r="AJ51" s="77"/>
      <c r="AK51" s="77"/>
      <c r="AL51" s="77"/>
      <c r="AO51" s="24" t="str">
        <f t="shared" si="9"/>
        <v>N/A</v>
      </c>
      <c r="AP51" s="24" t="str">
        <f t="shared" si="10"/>
        <v>N/A</v>
      </c>
      <c r="AQ51" s="24" t="str">
        <f t="shared" si="11"/>
        <v>N/A</v>
      </c>
      <c r="AR51" s="24"/>
      <c r="AS51" s="24"/>
      <c r="AT51" s="24"/>
      <c r="AV51" s="417"/>
    </row>
    <row r="52" spans="1:48" ht="18.75" x14ac:dyDescent="0.25">
      <c r="A52" s="398">
        <v>44</v>
      </c>
      <c r="B52" s="399" t="s">
        <v>63</v>
      </c>
      <c r="C52" s="420" t="s">
        <v>58</v>
      </c>
      <c r="D52" s="401"/>
      <c r="E52" s="402"/>
      <c r="F52" s="429"/>
      <c r="G52" s="401"/>
      <c r="H52" s="421"/>
      <c r="I52" s="422"/>
      <c r="J52" s="430"/>
      <c r="K52" s="412"/>
      <c r="L52" s="431"/>
      <c r="M52" s="421"/>
      <c r="N52" s="432"/>
      <c r="O52" s="421"/>
      <c r="P52" s="514"/>
      <c r="Q52" s="411"/>
      <c r="R52" s="433"/>
      <c r="S52" s="421"/>
      <c r="T52" s="432"/>
      <c r="U52" s="421"/>
      <c r="V52" s="514"/>
      <c r="W52" s="162"/>
      <c r="X52" s="430"/>
      <c r="Y52" s="122">
        <f t="shared" si="8"/>
        <v>1</v>
      </c>
      <c r="Z52" s="331">
        <v>0</v>
      </c>
      <c r="AA52" s="331">
        <v>0</v>
      </c>
      <c r="AB52" s="331">
        <v>0</v>
      </c>
      <c r="AE52" s="77"/>
      <c r="AF52" s="853" t="s">
        <v>58</v>
      </c>
      <c r="AG52" s="77"/>
      <c r="AH52" s="77"/>
      <c r="AI52" s="77"/>
      <c r="AJ52" s="77"/>
      <c r="AK52" s="77"/>
      <c r="AL52" s="77"/>
      <c r="AO52" s="24" t="str">
        <f t="shared" si="9"/>
        <v>N/A</v>
      </c>
      <c r="AP52" s="24" t="str">
        <f t="shared" si="10"/>
        <v>N/A</v>
      </c>
      <c r="AQ52" s="24" t="str">
        <f t="shared" si="11"/>
        <v>N/A</v>
      </c>
      <c r="AR52" s="24"/>
      <c r="AS52" s="24"/>
      <c r="AT52" s="24"/>
      <c r="AV52" s="430"/>
    </row>
    <row r="53" spans="1:48" x14ac:dyDescent="0.25">
      <c r="A53" s="398">
        <v>45</v>
      </c>
      <c r="B53" s="322" t="s">
        <v>63</v>
      </c>
      <c r="C53" s="409" t="str">
        <f>Wat_01</f>
        <v>Wat 01 Water consumption</v>
      </c>
      <c r="D53" s="147">
        <f>Wat01_credits</f>
        <v>5</v>
      </c>
      <c r="E53" s="45"/>
      <c r="F53" s="148">
        <f>Wat01_15</f>
        <v>0</v>
      </c>
      <c r="G53" s="156" t="str">
        <f>Wat01_09</f>
        <v>Very Good</v>
      </c>
      <c r="H53" s="88"/>
      <c r="I53" s="339"/>
      <c r="J53" s="341"/>
      <c r="K53" s="412"/>
      <c r="L53" s="48"/>
      <c r="M53" s="89"/>
      <c r="N53" s="88"/>
      <c r="O53" s="512"/>
      <c r="P53" s="341"/>
      <c r="Q53" s="411"/>
      <c r="R53" s="91"/>
      <c r="S53" s="89"/>
      <c r="T53" s="88"/>
      <c r="U53" s="512"/>
      <c r="V53" s="341"/>
      <c r="W53" s="162"/>
      <c r="X53" s="819" t="s">
        <v>14</v>
      </c>
      <c r="Y53" s="122">
        <f t="shared" si="8"/>
        <v>1</v>
      </c>
      <c r="Z53" s="3" t="e">
        <f>VLOOKUP(I53,'Assessment Details'!$L$45:$M$48,2,FALSE)</f>
        <v>#N/A</v>
      </c>
      <c r="AA53" s="3" t="e">
        <f>VLOOKUP(N53,'Assessment Details'!$L$45:$M$48,2,FALSE)</f>
        <v>#N/A</v>
      </c>
      <c r="AB53" s="3" t="e">
        <f>VLOOKUP(T53,'Assessment Details'!$L$45:$M$48,2,FALSE)</f>
        <v>#N/A</v>
      </c>
      <c r="AE53" s="77"/>
      <c r="AF53" s="853" t="s">
        <v>165</v>
      </c>
      <c r="AG53" s="827" t="s">
        <v>526</v>
      </c>
      <c r="AH53" s="827" t="s">
        <v>528</v>
      </c>
      <c r="AI53" s="77"/>
      <c r="AJ53" s="77"/>
      <c r="AK53" s="77"/>
      <c r="AL53" s="77"/>
      <c r="AN53" s="1" t="s">
        <v>14</v>
      </c>
      <c r="AO53" s="24" t="str">
        <f t="shared" si="9"/>
        <v>N/A</v>
      </c>
      <c r="AP53" s="24" t="str">
        <f t="shared" si="10"/>
        <v>N/A</v>
      </c>
      <c r="AQ53" s="24" t="str">
        <f t="shared" si="11"/>
        <v>N/A</v>
      </c>
      <c r="AR53" s="24"/>
      <c r="AS53" s="24"/>
      <c r="AT53" s="24"/>
      <c r="AV53" s="819"/>
    </row>
    <row r="54" spans="1:48" x14ac:dyDescent="0.25">
      <c r="A54" s="398">
        <v>46</v>
      </c>
      <c r="B54" s="322" t="s">
        <v>63</v>
      </c>
      <c r="C54" s="409" t="str">
        <f>Wat_02</f>
        <v>Wat 02 Water monitoring</v>
      </c>
      <c r="D54" s="147">
        <f>Wat02_credits</f>
        <v>1</v>
      </c>
      <c r="E54" s="45"/>
      <c r="F54" s="148">
        <f>Wat02_13</f>
        <v>0</v>
      </c>
      <c r="G54" s="155" t="str">
        <f>Wat02_11</f>
        <v>N/A</v>
      </c>
      <c r="H54" s="88"/>
      <c r="I54" s="339"/>
      <c r="J54" s="341"/>
      <c r="K54" s="412"/>
      <c r="L54" s="48"/>
      <c r="M54" s="89"/>
      <c r="N54" s="88"/>
      <c r="O54" s="512"/>
      <c r="P54" s="341"/>
      <c r="Q54" s="411"/>
      <c r="R54" s="91"/>
      <c r="S54" s="89"/>
      <c r="T54" s="88"/>
      <c r="U54" s="512"/>
      <c r="V54" s="341"/>
      <c r="W54" s="162"/>
      <c r="X54" s="819" t="s">
        <v>14</v>
      </c>
      <c r="Y54" s="122">
        <f t="shared" si="8"/>
        <v>1</v>
      </c>
      <c r="Z54" s="3" t="e">
        <f>VLOOKUP(I54,'Assessment Details'!$L$45:$M$48,2,FALSE)</f>
        <v>#N/A</v>
      </c>
      <c r="AA54" s="3" t="e">
        <f>VLOOKUP(N54,'Assessment Details'!$L$45:$M$48,2,FALSE)</f>
        <v>#N/A</v>
      </c>
      <c r="AB54" s="3" t="e">
        <f>VLOOKUP(T54,'Assessment Details'!$L$45:$M$48,2,FALSE)</f>
        <v>#N/A</v>
      </c>
      <c r="AE54" s="77" t="str">
        <f>ais_yes</f>
        <v>Ja</v>
      </c>
      <c r="AF54" s="853" t="s">
        <v>166</v>
      </c>
      <c r="AG54" s="827" t="s">
        <v>526</v>
      </c>
      <c r="AH54" s="827" t="s">
        <v>530</v>
      </c>
      <c r="AI54" s="827" t="s">
        <v>528</v>
      </c>
      <c r="AJ54" s="77"/>
      <c r="AK54" s="77"/>
      <c r="AL54" s="77"/>
      <c r="AN54" s="1" t="s">
        <v>14</v>
      </c>
      <c r="AO54" s="24" t="str">
        <f t="shared" si="9"/>
        <v>N/A</v>
      </c>
      <c r="AP54" s="24" t="str">
        <f t="shared" si="10"/>
        <v>N/A</v>
      </c>
      <c r="AQ54" s="24" t="str">
        <f t="shared" si="11"/>
        <v>N/A</v>
      </c>
      <c r="AR54" s="24"/>
      <c r="AS54" s="24"/>
      <c r="AT54" s="24"/>
      <c r="AV54" s="819"/>
    </row>
    <row r="55" spans="1:48" ht="15" customHeight="1" x14ac:dyDescent="0.25">
      <c r="A55" s="398">
        <v>47</v>
      </c>
      <c r="B55" s="322" t="s">
        <v>63</v>
      </c>
      <c r="C55" s="409" t="str">
        <f>Wat_03</f>
        <v>Wat 03 Water leak detection and prevention</v>
      </c>
      <c r="D55" s="147">
        <f>Wat03_credits</f>
        <v>2</v>
      </c>
      <c r="E55" s="45"/>
      <c r="F55" s="148">
        <f>Wat03_10</f>
        <v>0</v>
      </c>
      <c r="G55" s="155" t="str">
        <f>Wat03_minstd</f>
        <v>N/A</v>
      </c>
      <c r="H55" s="88"/>
      <c r="I55" s="339"/>
      <c r="J55" s="341"/>
      <c r="K55" s="412"/>
      <c r="L55" s="48"/>
      <c r="M55" s="89"/>
      <c r="N55" s="88"/>
      <c r="O55" s="512"/>
      <c r="P55" s="341"/>
      <c r="Q55" s="411"/>
      <c r="R55" s="91"/>
      <c r="S55" s="89"/>
      <c r="T55" s="88"/>
      <c r="U55" s="512"/>
      <c r="V55" s="341"/>
      <c r="W55" s="162"/>
      <c r="X55" s="819" t="s">
        <v>14</v>
      </c>
      <c r="Y55" s="122">
        <f t="shared" si="8"/>
        <v>1</v>
      </c>
      <c r="Z55" s="3" t="e">
        <f>VLOOKUP(I55,'Assessment Details'!$L$45:$M$48,2,FALSE)</f>
        <v>#N/A</v>
      </c>
      <c r="AA55" s="3" t="e">
        <f>VLOOKUP(N55,'Assessment Details'!$L$45:$M$48,2,FALSE)</f>
        <v>#N/A</v>
      </c>
      <c r="AB55" s="3" t="e">
        <f>VLOOKUP(T55,'Assessment Details'!$L$45:$M$48,2,FALSE)</f>
        <v>#N/A</v>
      </c>
      <c r="AE55" s="77" t="str">
        <f>ais_yes</f>
        <v>Ja</v>
      </c>
      <c r="AF55" s="853" t="s">
        <v>167</v>
      </c>
      <c r="AG55" s="832" t="s">
        <v>570</v>
      </c>
      <c r="AH55" s="832" t="s">
        <v>569</v>
      </c>
      <c r="AI55" s="832" t="s">
        <v>571</v>
      </c>
      <c r="AJ55" s="832" t="s">
        <v>560</v>
      </c>
      <c r="AK55" s="77"/>
      <c r="AL55" s="77"/>
      <c r="AN55" s="1" t="s">
        <v>14</v>
      </c>
      <c r="AO55" s="24" t="str">
        <f t="shared" si="9"/>
        <v>N/A</v>
      </c>
      <c r="AP55" s="24" t="str">
        <f t="shared" si="10"/>
        <v>N/A</v>
      </c>
      <c r="AQ55" s="24" t="str">
        <f t="shared" si="11"/>
        <v>N/A</v>
      </c>
      <c r="AR55" s="24" t="str">
        <f t="shared" si="11"/>
        <v>N/A</v>
      </c>
      <c r="AS55" s="24"/>
      <c r="AT55" s="24"/>
      <c r="AV55" s="819"/>
    </row>
    <row r="56" spans="1:48" x14ac:dyDescent="0.25">
      <c r="A56" s="398">
        <v>48</v>
      </c>
      <c r="B56" s="322" t="s">
        <v>63</v>
      </c>
      <c r="C56" s="409" t="str">
        <f>Wat_04</f>
        <v>Wat 04 Water efficient equipment</v>
      </c>
      <c r="D56" s="147">
        <f>Wat04_credits</f>
        <v>0</v>
      </c>
      <c r="E56" s="45"/>
      <c r="F56" s="148">
        <f>Wat04_06</f>
        <v>0</v>
      </c>
      <c r="G56" s="155" t="str">
        <f>Wat04_minstd</f>
        <v>N/A</v>
      </c>
      <c r="H56" s="88"/>
      <c r="I56" s="339"/>
      <c r="J56" s="341"/>
      <c r="K56" s="412"/>
      <c r="L56" s="48"/>
      <c r="M56" s="89"/>
      <c r="N56" s="88"/>
      <c r="O56" s="512"/>
      <c r="P56" s="341"/>
      <c r="Q56" s="411"/>
      <c r="R56" s="91"/>
      <c r="S56" s="89"/>
      <c r="T56" s="88"/>
      <c r="U56" s="512"/>
      <c r="V56" s="341"/>
      <c r="W56" s="162"/>
      <c r="X56" s="819" t="s">
        <v>15</v>
      </c>
      <c r="Y56" s="122">
        <f t="shared" si="8"/>
        <v>2</v>
      </c>
      <c r="Z56" s="3" t="e">
        <f>VLOOKUP(I56,'Assessment Details'!$L$45:$M$48,2,FALSE)</f>
        <v>#N/A</v>
      </c>
      <c r="AA56" s="3" t="e">
        <f>VLOOKUP(N56,'Assessment Details'!$L$45:$M$48,2,FALSE)</f>
        <v>#N/A</v>
      </c>
      <c r="AB56" s="3" t="e">
        <f>VLOOKUP(T56,'Assessment Details'!$L$45:$M$48,2,FALSE)</f>
        <v>#N/A</v>
      </c>
      <c r="AE56" s="77"/>
      <c r="AF56" s="853" t="s">
        <v>168</v>
      </c>
      <c r="AG56" s="77"/>
      <c r="AH56" s="77"/>
      <c r="AI56" s="77"/>
      <c r="AJ56" s="77"/>
      <c r="AK56" s="77"/>
      <c r="AL56" s="77"/>
      <c r="AO56" s="24" t="str">
        <f t="shared" si="9"/>
        <v>N/A</v>
      </c>
      <c r="AP56" s="24" t="str">
        <f t="shared" si="10"/>
        <v>N/A</v>
      </c>
      <c r="AQ56" s="24" t="str">
        <f t="shared" si="11"/>
        <v>N/A</v>
      </c>
      <c r="AR56" s="24"/>
      <c r="AS56" s="24"/>
      <c r="AT56" s="24"/>
      <c r="AV56" s="819"/>
    </row>
    <row r="57" spans="1:48" ht="15.75" thickBot="1" x14ac:dyDescent="0.3">
      <c r="A57" s="398">
        <v>49</v>
      </c>
      <c r="B57" s="322" t="s">
        <v>63</v>
      </c>
      <c r="C57" s="413" t="s">
        <v>111</v>
      </c>
      <c r="D57" s="151">
        <f>Wat_Credits</f>
        <v>8</v>
      </c>
      <c r="E57" s="160"/>
      <c r="F57" s="152">
        <f>Wat_cont_tot</f>
        <v>0</v>
      </c>
      <c r="G57" s="153" t="str">
        <f>"Credits achieved: "&amp;Wat_tot_user</f>
        <v>Credits achieved: 0</v>
      </c>
      <c r="H57" s="163"/>
      <c r="I57" s="340"/>
      <c r="J57" s="342"/>
      <c r="K57" s="412"/>
      <c r="L57" s="515"/>
      <c r="M57" s="510"/>
      <c r="N57" s="165"/>
      <c r="O57" s="163"/>
      <c r="P57" s="513"/>
      <c r="Q57" s="411"/>
      <c r="R57" s="516"/>
      <c r="S57" s="510"/>
      <c r="T57" s="165"/>
      <c r="U57" s="163"/>
      <c r="V57" s="513"/>
      <c r="W57" s="162"/>
      <c r="X57" s="820"/>
      <c r="Y57" s="122">
        <f t="shared" si="8"/>
        <v>1</v>
      </c>
      <c r="Z57" s="333">
        <v>0</v>
      </c>
      <c r="AA57" s="333">
        <v>0</v>
      </c>
      <c r="AB57" s="333">
        <v>0</v>
      </c>
      <c r="AE57" s="77"/>
      <c r="AF57" s="853" t="s">
        <v>111</v>
      </c>
      <c r="AG57" s="77"/>
      <c r="AH57" s="77"/>
      <c r="AI57" s="77"/>
      <c r="AJ57" s="77"/>
      <c r="AK57" s="77"/>
      <c r="AL57" s="77"/>
      <c r="AO57" s="24" t="str">
        <f t="shared" si="9"/>
        <v>N/A</v>
      </c>
      <c r="AP57" s="24" t="str">
        <f t="shared" si="10"/>
        <v>N/A</v>
      </c>
      <c r="AQ57" s="24" t="str">
        <f t="shared" si="11"/>
        <v>N/A</v>
      </c>
      <c r="AR57" s="24"/>
      <c r="AS57" s="24"/>
      <c r="AT57" s="24"/>
      <c r="AV57" s="820"/>
    </row>
    <row r="58" spans="1:48" x14ac:dyDescent="0.25">
      <c r="A58" s="398">
        <v>50</v>
      </c>
      <c r="B58" s="322" t="s">
        <v>63</v>
      </c>
      <c r="C58" s="414"/>
      <c r="D58" s="415"/>
      <c r="E58" s="416"/>
      <c r="F58" s="415"/>
      <c r="G58" s="415"/>
      <c r="H58" s="417"/>
      <c r="I58" s="416"/>
      <c r="J58" s="417"/>
      <c r="K58" s="410"/>
      <c r="L58" s="416"/>
      <c r="M58" s="417"/>
      <c r="N58" s="418"/>
      <c r="O58" s="417"/>
      <c r="P58" s="417"/>
      <c r="Q58" s="419"/>
      <c r="R58" s="418"/>
      <c r="S58" s="417"/>
      <c r="T58" s="418"/>
      <c r="U58" s="417"/>
      <c r="V58" s="417"/>
      <c r="W58" s="962"/>
      <c r="X58" s="417"/>
      <c r="Y58" s="122">
        <f t="shared" si="8"/>
        <v>1</v>
      </c>
      <c r="Z58" s="335">
        <v>0</v>
      </c>
      <c r="AA58" s="335">
        <v>0</v>
      </c>
      <c r="AB58" s="335">
        <v>0</v>
      </c>
      <c r="AE58" s="77"/>
      <c r="AF58" s="853"/>
      <c r="AG58" s="77"/>
      <c r="AH58" s="77"/>
      <c r="AI58" s="77"/>
      <c r="AJ58" s="77"/>
      <c r="AK58" s="77"/>
      <c r="AL58" s="77"/>
      <c r="AO58" s="24" t="str">
        <f t="shared" si="9"/>
        <v>N/A</v>
      </c>
      <c r="AP58" s="24" t="str">
        <f t="shared" si="10"/>
        <v>N/A</v>
      </c>
      <c r="AQ58" s="24" t="str">
        <f t="shared" si="11"/>
        <v>N/A</v>
      </c>
      <c r="AR58" s="24"/>
      <c r="AS58" s="24"/>
      <c r="AT58" s="24"/>
      <c r="AV58" s="417"/>
    </row>
    <row r="59" spans="1:48" ht="18.75" x14ac:dyDescent="0.25">
      <c r="A59" s="398">
        <v>51</v>
      </c>
      <c r="B59" s="322" t="s">
        <v>72</v>
      </c>
      <c r="C59" s="420" t="s">
        <v>59</v>
      </c>
      <c r="D59" s="401"/>
      <c r="E59" s="402"/>
      <c r="F59" s="429"/>
      <c r="G59" s="401"/>
      <c r="H59" s="421"/>
      <c r="I59" s="422"/>
      <c r="J59" s="430"/>
      <c r="K59" s="412"/>
      <c r="L59" s="431"/>
      <c r="M59" s="421"/>
      <c r="N59" s="432"/>
      <c r="O59" s="421"/>
      <c r="P59" s="514"/>
      <c r="Q59" s="411"/>
      <c r="R59" s="433"/>
      <c r="S59" s="421"/>
      <c r="T59" s="432"/>
      <c r="U59" s="421"/>
      <c r="V59" s="514"/>
      <c r="W59" s="162"/>
      <c r="X59" s="430"/>
      <c r="Y59" s="122">
        <f t="shared" si="8"/>
        <v>1</v>
      </c>
      <c r="Z59" s="331">
        <v>0</v>
      </c>
      <c r="AA59" s="331">
        <v>0</v>
      </c>
      <c r="AB59" s="331">
        <v>0</v>
      </c>
      <c r="AE59" s="77"/>
      <c r="AF59" s="853" t="s">
        <v>59</v>
      </c>
      <c r="AG59" s="77"/>
      <c r="AH59" s="77"/>
      <c r="AI59" s="77"/>
      <c r="AJ59" s="77"/>
      <c r="AK59" s="77"/>
      <c r="AL59" s="77"/>
      <c r="AO59" s="24" t="str">
        <f t="shared" si="9"/>
        <v>N/A</v>
      </c>
      <c r="AP59" s="24" t="str">
        <f t="shared" si="10"/>
        <v>N/A</v>
      </c>
      <c r="AQ59" s="24" t="str">
        <f t="shared" si="11"/>
        <v>N/A</v>
      </c>
      <c r="AR59" s="24"/>
      <c r="AS59" s="24"/>
      <c r="AT59" s="24"/>
      <c r="AV59" s="430"/>
    </row>
    <row r="60" spans="1:48" x14ac:dyDescent="0.25">
      <c r="A60" s="398">
        <v>52</v>
      </c>
      <c r="B60" s="322" t="s">
        <v>72</v>
      </c>
      <c r="C60" s="409" t="str">
        <f>Mat_01</f>
        <v>Mat 01 Life cycle impacts</v>
      </c>
      <c r="D60" s="147">
        <f>Mat01_credits</f>
        <v>7</v>
      </c>
      <c r="E60" s="45"/>
      <c r="F60" s="148">
        <f>Mat01_28</f>
        <v>0</v>
      </c>
      <c r="G60" s="156" t="str">
        <f>Mat01_minstd</f>
        <v>Unclassified</v>
      </c>
      <c r="H60" s="88"/>
      <c r="I60" s="339"/>
      <c r="J60" s="341"/>
      <c r="K60" s="412"/>
      <c r="L60" s="48"/>
      <c r="M60" s="89"/>
      <c r="N60" s="88"/>
      <c r="O60" s="512"/>
      <c r="P60" s="341"/>
      <c r="Q60" s="411"/>
      <c r="R60" s="91"/>
      <c r="S60" s="89"/>
      <c r="T60" s="88"/>
      <c r="U60" s="512"/>
      <c r="V60" s="341"/>
      <c r="W60" s="162"/>
      <c r="X60" s="819" t="s">
        <v>15</v>
      </c>
      <c r="Y60" s="122">
        <f t="shared" si="8"/>
        <v>1</v>
      </c>
      <c r="Z60" s="3" t="e">
        <f>VLOOKUP(I60,'Assessment Details'!$L$45:$M$48,2,FALSE)</f>
        <v>#N/A</v>
      </c>
      <c r="AA60" s="3" t="e">
        <f>VLOOKUP(N60,'Assessment Details'!$L$45:$M$48,2,FALSE)</f>
        <v>#N/A</v>
      </c>
      <c r="AB60" s="3" t="e">
        <f>VLOOKUP(T60,'Assessment Details'!$L$45:$M$48,2,FALSE)</f>
        <v>#N/A</v>
      </c>
      <c r="AE60" s="77"/>
      <c r="AF60" s="853" t="s">
        <v>169</v>
      </c>
      <c r="AG60" s="77"/>
      <c r="AH60" s="77"/>
      <c r="AI60" s="77"/>
      <c r="AJ60" s="77"/>
      <c r="AK60" s="77"/>
      <c r="AL60" s="77"/>
      <c r="AO60" s="24" t="str">
        <f t="shared" si="9"/>
        <v>N/A</v>
      </c>
      <c r="AP60" s="24" t="str">
        <f t="shared" si="10"/>
        <v>N/A</v>
      </c>
      <c r="AQ60" s="24" t="str">
        <f t="shared" si="11"/>
        <v>N/A</v>
      </c>
      <c r="AR60" s="24"/>
      <c r="AS60" s="24"/>
      <c r="AT60" s="24"/>
      <c r="AV60" s="819"/>
    </row>
    <row r="61" spans="1:48" x14ac:dyDescent="0.25">
      <c r="A61" s="398">
        <v>53</v>
      </c>
      <c r="B61" s="322" t="s">
        <v>72</v>
      </c>
      <c r="C61" s="409" t="str">
        <f>Mat01_Crit1</f>
        <v>Mat 01 Life cycle impacts  - Criteria 1</v>
      </c>
      <c r="D61" s="147" t="str">
        <f>Mat01_Crit1_credits</f>
        <v>Yes/No</v>
      </c>
      <c r="E61" s="45"/>
      <c r="F61" s="148" t="str">
        <f>Mat01_Crit1_cont</f>
        <v>-</v>
      </c>
      <c r="G61" s="154" t="str">
        <f>Mat01_minstd</f>
        <v>Unclassified</v>
      </c>
      <c r="H61" s="88"/>
      <c r="I61" s="339"/>
      <c r="J61" s="341"/>
      <c r="K61" s="412"/>
      <c r="L61" s="48"/>
      <c r="M61" s="89"/>
      <c r="N61" s="88"/>
      <c r="O61" s="512"/>
      <c r="P61" s="341"/>
      <c r="Q61" s="411"/>
      <c r="R61" s="91"/>
      <c r="S61" s="89"/>
      <c r="T61" s="88"/>
      <c r="U61" s="512"/>
      <c r="V61" s="341"/>
      <c r="W61" s="162"/>
      <c r="X61" s="819" t="s">
        <v>15</v>
      </c>
      <c r="Y61" s="122">
        <f t="shared" si="8"/>
        <v>1</v>
      </c>
      <c r="Z61" s="3" t="e">
        <f>VLOOKUP(I61,'Assessment Details'!$L$45:$M$48,2,FALSE)</f>
        <v>#N/A</v>
      </c>
      <c r="AA61" s="3" t="e">
        <f>VLOOKUP(N61,'Assessment Details'!$L$45:$M$48,2,FALSE)</f>
        <v>#N/A</v>
      </c>
      <c r="AB61" s="3" t="e">
        <f>VLOOKUP(T61,'Assessment Details'!$L$45:$M$48,2,FALSE)</f>
        <v>#N/A</v>
      </c>
      <c r="AE61" s="77"/>
      <c r="AF61" s="853" t="s">
        <v>282</v>
      </c>
      <c r="AG61" s="77"/>
      <c r="AH61" s="77"/>
      <c r="AI61" s="77"/>
      <c r="AJ61" s="77"/>
      <c r="AK61" s="77"/>
      <c r="AL61" s="77"/>
      <c r="AO61" s="24" t="str">
        <f t="shared" si="9"/>
        <v>N/A</v>
      </c>
      <c r="AP61" s="24" t="str">
        <f t="shared" si="10"/>
        <v>N/A</v>
      </c>
      <c r="AQ61" s="24" t="str">
        <f t="shared" si="11"/>
        <v>N/A</v>
      </c>
      <c r="AR61" s="24"/>
      <c r="AS61" s="24"/>
      <c r="AT61" s="24"/>
      <c r="AV61" s="819"/>
    </row>
    <row r="62" spans="1:48" x14ac:dyDescent="0.25">
      <c r="A62" s="398">
        <v>54</v>
      </c>
      <c r="B62" s="322" t="s">
        <v>72</v>
      </c>
      <c r="C62" s="409" t="str">
        <f>Mat_03</f>
        <v>Mat 03 Responsible sourcing of materials</v>
      </c>
      <c r="D62" s="147">
        <f>Mat03_credits</f>
        <v>3</v>
      </c>
      <c r="E62" s="45"/>
      <c r="F62" s="148">
        <f>Mat03_38</f>
        <v>0</v>
      </c>
      <c r="G62" s="155" t="str">
        <f>Mat03_minstd</f>
        <v>Unclassified</v>
      </c>
      <c r="H62" s="88"/>
      <c r="I62" s="339"/>
      <c r="J62" s="341"/>
      <c r="K62" s="412"/>
      <c r="L62" s="48"/>
      <c r="M62" s="89"/>
      <c r="N62" s="88"/>
      <c r="O62" s="512"/>
      <c r="P62" s="341"/>
      <c r="Q62" s="411"/>
      <c r="R62" s="91"/>
      <c r="S62" s="89"/>
      <c r="T62" s="88"/>
      <c r="U62" s="512"/>
      <c r="V62" s="341"/>
      <c r="W62" s="162"/>
      <c r="X62" s="819" t="s">
        <v>15</v>
      </c>
      <c r="Y62" s="122">
        <f t="shared" si="8"/>
        <v>1</v>
      </c>
      <c r="Z62" s="3" t="e">
        <f>VLOOKUP(I62,'Assessment Details'!$L$45:$M$48,2,FALSE)</f>
        <v>#N/A</v>
      </c>
      <c r="AA62" s="3" t="e">
        <f>VLOOKUP(N62,'Assessment Details'!$L$45:$M$48,2,FALSE)</f>
        <v>#N/A</v>
      </c>
      <c r="AB62" s="3" t="e">
        <f>VLOOKUP(T62,'Assessment Details'!$L$45:$M$48,2,FALSE)</f>
        <v>#N/A</v>
      </c>
      <c r="AE62" s="77"/>
      <c r="AF62" s="853" t="s">
        <v>170</v>
      </c>
      <c r="AG62" s="77"/>
      <c r="AH62" s="77"/>
      <c r="AI62" s="77"/>
      <c r="AJ62" s="77"/>
      <c r="AK62" s="77"/>
      <c r="AL62" s="77"/>
      <c r="AO62" s="24" t="str">
        <f t="shared" si="9"/>
        <v>N/A</v>
      </c>
      <c r="AP62" s="24" t="str">
        <f t="shared" si="10"/>
        <v>N/A</v>
      </c>
      <c r="AQ62" s="24" t="str">
        <f t="shared" si="11"/>
        <v>N/A</v>
      </c>
      <c r="AR62" s="24"/>
      <c r="AS62" s="24"/>
      <c r="AT62" s="24"/>
      <c r="AV62" s="819"/>
    </row>
    <row r="63" spans="1:48" x14ac:dyDescent="0.25">
      <c r="A63" s="398">
        <v>55</v>
      </c>
      <c r="B63" s="322" t="s">
        <v>72</v>
      </c>
      <c r="C63" s="409" t="str">
        <f>Mat03_Crit1</f>
        <v>Mat 03 Responsible sourcing of mat.  - Crit 1.</v>
      </c>
      <c r="D63" s="147" t="str">
        <f>Mat03_Crit1_credits</f>
        <v>Yes/No</v>
      </c>
      <c r="E63" s="45"/>
      <c r="F63" s="148" t="str">
        <f>Mat03_Crit1_cont</f>
        <v>-</v>
      </c>
      <c r="G63" s="155" t="str">
        <f>Mat03_minstd</f>
        <v>Unclassified</v>
      </c>
      <c r="H63" s="88"/>
      <c r="I63" s="339"/>
      <c r="J63" s="341"/>
      <c r="K63" s="412"/>
      <c r="L63" s="48"/>
      <c r="M63" s="89"/>
      <c r="N63" s="88"/>
      <c r="O63" s="512"/>
      <c r="P63" s="341"/>
      <c r="Q63" s="411"/>
      <c r="R63" s="91"/>
      <c r="S63" s="89"/>
      <c r="T63" s="88"/>
      <c r="U63" s="512"/>
      <c r="V63" s="341"/>
      <c r="W63" s="162"/>
      <c r="X63" s="819" t="s">
        <v>15</v>
      </c>
      <c r="Y63" s="122">
        <f t="shared" si="8"/>
        <v>1</v>
      </c>
      <c r="Z63" s="3" t="e">
        <f>VLOOKUP(I63,'Assessment Details'!$L$45:$M$48,2,FALSE)</f>
        <v>#N/A</v>
      </c>
      <c r="AA63" s="3" t="e">
        <f>VLOOKUP(N63,'Assessment Details'!$L$45:$M$48,2,FALSE)</f>
        <v>#N/A</v>
      </c>
      <c r="AB63" s="3" t="e">
        <f>VLOOKUP(T63,'Assessment Details'!$L$45:$M$48,2,FALSE)</f>
        <v>#N/A</v>
      </c>
      <c r="AE63" s="77"/>
      <c r="AF63" s="853" t="s">
        <v>351</v>
      </c>
      <c r="AG63" s="77"/>
      <c r="AH63" s="77"/>
      <c r="AI63" s="77"/>
      <c r="AJ63" s="77"/>
      <c r="AK63" s="77"/>
      <c r="AL63" s="77"/>
      <c r="AO63" s="24" t="str">
        <f t="shared" si="9"/>
        <v>N/A</v>
      </c>
      <c r="AP63" s="24" t="str">
        <f t="shared" si="10"/>
        <v>N/A</v>
      </c>
      <c r="AQ63" s="24" t="str">
        <f t="shared" si="11"/>
        <v>N/A</v>
      </c>
      <c r="AR63" s="24"/>
      <c r="AS63" s="24"/>
      <c r="AT63" s="24"/>
      <c r="AV63" s="819"/>
    </row>
    <row r="64" spans="1:48" x14ac:dyDescent="0.25">
      <c r="A64" s="398">
        <v>56</v>
      </c>
      <c r="B64" s="322" t="s">
        <v>72</v>
      </c>
      <c r="C64" s="409" t="str">
        <f>Mat_05</f>
        <v>Mat 05 Designing for robustness</v>
      </c>
      <c r="D64" s="147">
        <f>Mat05_credits</f>
        <v>1</v>
      </c>
      <c r="E64" s="45"/>
      <c r="F64" s="148">
        <f>Mat05_06</f>
        <v>0</v>
      </c>
      <c r="G64" s="156" t="str">
        <f>Mat05_minstd</f>
        <v>N/A</v>
      </c>
      <c r="H64" s="88"/>
      <c r="I64" s="339"/>
      <c r="J64" s="343"/>
      <c r="K64" s="412"/>
      <c r="L64" s="48"/>
      <c r="M64" s="89"/>
      <c r="N64" s="88"/>
      <c r="O64" s="512"/>
      <c r="P64" s="341"/>
      <c r="Q64" s="411"/>
      <c r="R64" s="91"/>
      <c r="S64" s="89"/>
      <c r="T64" s="88"/>
      <c r="U64" s="512"/>
      <c r="V64" s="341"/>
      <c r="W64" s="162"/>
      <c r="X64" s="819" t="s">
        <v>14</v>
      </c>
      <c r="Y64" s="122">
        <f t="shared" si="8"/>
        <v>1</v>
      </c>
      <c r="Z64" s="3" t="e">
        <f>VLOOKUP(I64,'Assessment Details'!$L$45:$M$48,2,FALSE)</f>
        <v>#N/A</v>
      </c>
      <c r="AA64" s="3" t="e">
        <f>VLOOKUP(N64,'Assessment Details'!$L$45:$M$48,2,FALSE)</f>
        <v>#N/A</v>
      </c>
      <c r="AB64" s="3" t="e">
        <f>VLOOKUP(T64,'Assessment Details'!$L$45:$M$48,2,FALSE)</f>
        <v>#N/A</v>
      </c>
      <c r="AE64" s="77" t="str">
        <f>ais_yes</f>
        <v>Ja</v>
      </c>
      <c r="AF64" s="853" t="s">
        <v>171</v>
      </c>
      <c r="AG64" s="827" t="s">
        <v>526</v>
      </c>
      <c r="AH64" s="827" t="s">
        <v>530</v>
      </c>
      <c r="AI64" s="827" t="s">
        <v>528</v>
      </c>
      <c r="AJ64" s="77"/>
      <c r="AK64" s="77"/>
      <c r="AL64" s="77"/>
      <c r="AN64" s="1" t="s">
        <v>14</v>
      </c>
      <c r="AO64" s="24" t="str">
        <f t="shared" si="9"/>
        <v>N/A</v>
      </c>
      <c r="AP64" s="24" t="str">
        <f t="shared" si="10"/>
        <v>N/A</v>
      </c>
      <c r="AQ64" s="24" t="str">
        <f t="shared" si="11"/>
        <v>N/A</v>
      </c>
      <c r="AR64" s="24"/>
      <c r="AS64" s="24"/>
      <c r="AT64" s="24"/>
      <c r="AV64" s="821"/>
    </row>
    <row r="65" spans="1:48" ht="15.75" thickBot="1" x14ac:dyDescent="0.3">
      <c r="A65" s="398">
        <v>57</v>
      </c>
      <c r="B65" s="322" t="s">
        <v>72</v>
      </c>
      <c r="C65" s="413" t="s">
        <v>112</v>
      </c>
      <c r="D65" s="151">
        <f>Mat_Credits</f>
        <v>11</v>
      </c>
      <c r="E65" s="160"/>
      <c r="F65" s="152">
        <f>Mat_cont_tot</f>
        <v>0</v>
      </c>
      <c r="G65" s="153" t="str">
        <f>"Credits achieved: "&amp;Mat_tot_user</f>
        <v>Credits achieved: 0</v>
      </c>
      <c r="H65" s="163"/>
      <c r="I65" s="340"/>
      <c r="J65" s="342"/>
      <c r="K65" s="412"/>
      <c r="L65" s="515"/>
      <c r="M65" s="510"/>
      <c r="N65" s="165"/>
      <c r="O65" s="163"/>
      <c r="P65" s="513"/>
      <c r="Q65" s="411"/>
      <c r="R65" s="516"/>
      <c r="S65" s="510"/>
      <c r="T65" s="165"/>
      <c r="U65" s="163"/>
      <c r="V65" s="513"/>
      <c r="W65" s="162"/>
      <c r="X65" s="820"/>
      <c r="Y65" s="122">
        <f t="shared" si="8"/>
        <v>1</v>
      </c>
      <c r="Z65" s="333">
        <v>0</v>
      </c>
      <c r="AA65" s="333">
        <v>0</v>
      </c>
      <c r="AB65" s="333">
        <v>0</v>
      </c>
      <c r="AE65" s="77"/>
      <c r="AF65" s="853" t="s">
        <v>112</v>
      </c>
      <c r="AG65" s="77"/>
      <c r="AH65" s="77"/>
      <c r="AI65" s="77"/>
      <c r="AJ65" s="77"/>
      <c r="AK65" s="77"/>
      <c r="AL65" s="77"/>
      <c r="AO65" s="24" t="str">
        <f t="shared" si="9"/>
        <v>N/A</v>
      </c>
      <c r="AP65" s="24" t="str">
        <f t="shared" si="10"/>
        <v>N/A</v>
      </c>
      <c r="AQ65" s="24" t="str">
        <f t="shared" si="11"/>
        <v>N/A</v>
      </c>
      <c r="AR65" s="24"/>
      <c r="AS65" s="24"/>
      <c r="AT65" s="24"/>
      <c r="AV65" s="820"/>
    </row>
    <row r="66" spans="1:48" x14ac:dyDescent="0.25">
      <c r="A66" s="398">
        <v>58</v>
      </c>
      <c r="B66" s="322" t="s">
        <v>72</v>
      </c>
      <c r="C66" s="427"/>
      <c r="D66" s="415"/>
      <c r="E66" s="416"/>
      <c r="F66" s="415"/>
      <c r="G66" s="415"/>
      <c r="H66" s="417"/>
      <c r="I66" s="416"/>
      <c r="J66" s="417"/>
      <c r="K66" s="410"/>
      <c r="L66" s="416"/>
      <c r="M66" s="417"/>
      <c r="N66" s="418"/>
      <c r="O66" s="417"/>
      <c r="P66" s="417"/>
      <c r="Q66" s="419"/>
      <c r="R66" s="418"/>
      <c r="S66" s="417"/>
      <c r="T66" s="418"/>
      <c r="U66" s="417"/>
      <c r="V66" s="417"/>
      <c r="W66" s="962"/>
      <c r="X66" s="417"/>
      <c r="Y66" s="122">
        <f t="shared" si="8"/>
        <v>1</v>
      </c>
      <c r="Z66" s="335">
        <v>0</v>
      </c>
      <c r="AA66" s="335">
        <v>0</v>
      </c>
      <c r="AB66" s="335">
        <v>0</v>
      </c>
      <c r="AE66" s="77"/>
      <c r="AF66" s="853"/>
      <c r="AG66" s="77"/>
      <c r="AH66" s="77"/>
      <c r="AI66" s="77"/>
      <c r="AJ66" s="77"/>
      <c r="AK66" s="77"/>
      <c r="AL66" s="77"/>
      <c r="AO66" s="24" t="str">
        <f t="shared" si="9"/>
        <v>N/A</v>
      </c>
      <c r="AP66" s="24" t="str">
        <f t="shared" si="10"/>
        <v>N/A</v>
      </c>
      <c r="AQ66" s="24" t="str">
        <f t="shared" si="11"/>
        <v>N/A</v>
      </c>
      <c r="AR66" s="24"/>
      <c r="AS66" s="24"/>
      <c r="AT66" s="24"/>
      <c r="AV66" s="417"/>
    </row>
    <row r="67" spans="1:48" ht="18.75" x14ac:dyDescent="0.25">
      <c r="A67" s="398">
        <v>59</v>
      </c>
      <c r="B67" s="322" t="s">
        <v>73</v>
      </c>
      <c r="C67" s="428" t="s">
        <v>60</v>
      </c>
      <c r="D67" s="401"/>
      <c r="E67" s="402"/>
      <c r="F67" s="429"/>
      <c r="G67" s="401"/>
      <c r="H67" s="421"/>
      <c r="I67" s="422"/>
      <c r="J67" s="430"/>
      <c r="K67" s="412"/>
      <c r="L67" s="431"/>
      <c r="M67" s="421"/>
      <c r="N67" s="432"/>
      <c r="O67" s="421"/>
      <c r="P67" s="514"/>
      <c r="Q67" s="411"/>
      <c r="R67" s="433"/>
      <c r="S67" s="421"/>
      <c r="T67" s="432"/>
      <c r="U67" s="421"/>
      <c r="V67" s="514"/>
      <c r="W67" s="162"/>
      <c r="X67" s="430"/>
      <c r="Y67" s="122">
        <f t="shared" si="8"/>
        <v>1</v>
      </c>
      <c r="Z67" s="331">
        <v>0</v>
      </c>
      <c r="AA67" s="331">
        <v>0</v>
      </c>
      <c r="AB67" s="331">
        <v>0</v>
      </c>
      <c r="AE67" s="77"/>
      <c r="AF67" s="853" t="s">
        <v>60</v>
      </c>
      <c r="AG67" s="77"/>
      <c r="AH67" s="77"/>
      <c r="AI67" s="77"/>
      <c r="AJ67" s="77"/>
      <c r="AK67" s="77"/>
      <c r="AL67" s="77"/>
      <c r="AO67" s="24" t="str">
        <f t="shared" si="9"/>
        <v>N/A</v>
      </c>
      <c r="AP67" s="24" t="str">
        <f t="shared" si="10"/>
        <v>N/A</v>
      </c>
      <c r="AQ67" s="24" t="str">
        <f t="shared" si="11"/>
        <v>N/A</v>
      </c>
      <c r="AR67" s="24"/>
      <c r="AS67" s="24"/>
      <c r="AT67" s="24"/>
      <c r="AV67" s="430"/>
    </row>
    <row r="68" spans="1:48" x14ac:dyDescent="0.25">
      <c r="A68" s="398">
        <v>60</v>
      </c>
      <c r="B68" s="322" t="s">
        <v>73</v>
      </c>
      <c r="C68" s="434" t="str">
        <f>Wst_01</f>
        <v>Wst 01 Construction waste management</v>
      </c>
      <c r="D68" s="147">
        <f>Wst01_credits</f>
        <v>3</v>
      </c>
      <c r="E68" s="45"/>
      <c r="F68" s="148">
        <f>Wst01_28</f>
        <v>0</v>
      </c>
      <c r="G68" s="156" t="str">
        <f>Wst01_18</f>
        <v>Excellent</v>
      </c>
      <c r="H68" s="88"/>
      <c r="I68" s="339"/>
      <c r="J68" s="341"/>
      <c r="K68" s="412"/>
      <c r="L68" s="48"/>
      <c r="M68" s="89"/>
      <c r="N68" s="88"/>
      <c r="O68" s="512"/>
      <c r="P68" s="341"/>
      <c r="Q68" s="411"/>
      <c r="R68" s="91"/>
      <c r="S68" s="89"/>
      <c r="T68" s="88"/>
      <c r="U68" s="512"/>
      <c r="V68" s="341"/>
      <c r="W68" s="162"/>
      <c r="X68" s="819" t="s">
        <v>15</v>
      </c>
      <c r="Y68" s="122">
        <f t="shared" si="8"/>
        <v>1</v>
      </c>
      <c r="Z68" s="1" t="e">
        <f>VLOOKUP(I68,'Assessment Details'!$L$45:$M$48,2,FALSE)</f>
        <v>#N/A</v>
      </c>
      <c r="AA68" s="1" t="e">
        <f>VLOOKUP(N68,'Assessment Details'!$L$45:$M$48,2,FALSE)</f>
        <v>#N/A</v>
      </c>
      <c r="AB68" s="1" t="e">
        <f>VLOOKUP(T68,'Assessment Details'!$L$45:$M$48,2,FALSE)</f>
        <v>#N/A</v>
      </c>
      <c r="AE68" s="77"/>
      <c r="AF68" s="853" t="s">
        <v>172</v>
      </c>
      <c r="AG68" s="77"/>
      <c r="AH68" s="77"/>
      <c r="AI68" s="77"/>
      <c r="AJ68" s="77"/>
      <c r="AK68" s="77"/>
      <c r="AL68" s="77"/>
      <c r="AO68" s="24" t="str">
        <f t="shared" si="9"/>
        <v>N/A</v>
      </c>
      <c r="AP68" s="24" t="str">
        <f t="shared" si="10"/>
        <v>N/A</v>
      </c>
      <c r="AQ68" s="24" t="str">
        <f t="shared" si="11"/>
        <v>N/A</v>
      </c>
      <c r="AR68" s="24"/>
      <c r="AS68" s="24"/>
      <c r="AT68" s="24"/>
      <c r="AV68" s="819"/>
    </row>
    <row r="69" spans="1:48" x14ac:dyDescent="0.25">
      <c r="A69" s="398">
        <v>61</v>
      </c>
      <c r="B69" s="322" t="s">
        <v>73</v>
      </c>
      <c r="C69" s="434" t="str">
        <f>Wst_02</f>
        <v>Wst 02 Recycled aggregates</v>
      </c>
      <c r="D69" s="147">
        <f>Wst02_credits</f>
        <v>1</v>
      </c>
      <c r="E69" s="45"/>
      <c r="F69" s="148">
        <f>Wst02_15</f>
        <v>0</v>
      </c>
      <c r="G69" s="155" t="str">
        <f>Wst02_minstd</f>
        <v>N/A</v>
      </c>
      <c r="H69" s="88"/>
      <c r="I69" s="339"/>
      <c r="J69" s="341"/>
      <c r="K69" s="412"/>
      <c r="L69" s="48"/>
      <c r="M69" s="89"/>
      <c r="N69" s="88"/>
      <c r="O69" s="512"/>
      <c r="P69" s="341"/>
      <c r="Q69" s="411"/>
      <c r="R69" s="91"/>
      <c r="S69" s="89"/>
      <c r="T69" s="88"/>
      <c r="U69" s="512"/>
      <c r="V69" s="341"/>
      <c r="W69" s="162"/>
      <c r="X69" s="819" t="s">
        <v>15</v>
      </c>
      <c r="Y69" s="122">
        <f t="shared" si="8"/>
        <v>1</v>
      </c>
      <c r="Z69" s="3" t="e">
        <f>VLOOKUP(I69,'Assessment Details'!$L$45:$M$48,2,FALSE)</f>
        <v>#N/A</v>
      </c>
      <c r="AA69" s="3" t="e">
        <f>VLOOKUP(N69,'Assessment Details'!$L$45:$M$48,2,FALSE)</f>
        <v>#N/A</v>
      </c>
      <c r="AB69" s="3" t="e">
        <f>VLOOKUP(T69,'Assessment Details'!$L$45:$M$48,2,FALSE)</f>
        <v>#N/A</v>
      </c>
      <c r="AE69" s="77"/>
      <c r="AF69" s="853" t="s">
        <v>340</v>
      </c>
      <c r="AG69" s="77"/>
      <c r="AH69" s="77"/>
      <c r="AI69" s="77"/>
      <c r="AJ69" s="77"/>
      <c r="AK69" s="77"/>
      <c r="AL69" s="77"/>
      <c r="AO69" s="24" t="str">
        <f t="shared" si="9"/>
        <v>N/A</v>
      </c>
      <c r="AP69" s="24" t="str">
        <f t="shared" si="10"/>
        <v>N/A</v>
      </c>
      <c r="AQ69" s="24" t="str">
        <f t="shared" si="11"/>
        <v>N/A</v>
      </c>
      <c r="AR69" s="24"/>
      <c r="AS69" s="24"/>
      <c r="AT69" s="24"/>
      <c r="AV69" s="819"/>
    </row>
    <row r="70" spans="1:48" x14ac:dyDescent="0.25">
      <c r="A70" s="398">
        <v>62</v>
      </c>
      <c r="B70" s="322" t="s">
        <v>73</v>
      </c>
      <c r="C70" s="434" t="str">
        <f>Wst_03</f>
        <v>Wst 03 Operational waste</v>
      </c>
      <c r="D70" s="147">
        <f>Wst03_credits</f>
        <v>1</v>
      </c>
      <c r="E70" s="45"/>
      <c r="F70" s="148">
        <f>Wst03_13</f>
        <v>0</v>
      </c>
      <c r="G70" s="156" t="str">
        <f>Wst03_10</f>
        <v>Very Good</v>
      </c>
      <c r="H70" s="88"/>
      <c r="I70" s="339"/>
      <c r="J70" s="341"/>
      <c r="K70" s="412"/>
      <c r="L70" s="48"/>
      <c r="M70" s="89"/>
      <c r="N70" s="88"/>
      <c r="O70" s="512"/>
      <c r="P70" s="341"/>
      <c r="Q70" s="411"/>
      <c r="R70" s="91"/>
      <c r="S70" s="89"/>
      <c r="T70" s="88"/>
      <c r="U70" s="512"/>
      <c r="V70" s="341"/>
      <c r="W70" s="162"/>
      <c r="X70" s="819" t="s">
        <v>14</v>
      </c>
      <c r="Y70" s="122">
        <f t="shared" si="8"/>
        <v>1</v>
      </c>
      <c r="Z70" s="3" t="e">
        <f>VLOOKUP(I70,'Assessment Details'!$L$45:$M$48,2,FALSE)</f>
        <v>#N/A</v>
      </c>
      <c r="AA70" s="3" t="e">
        <f>VLOOKUP(N70,'Assessment Details'!$L$45:$M$48,2,FALSE)</f>
        <v>#N/A</v>
      </c>
      <c r="AB70" s="3" t="e">
        <f>VLOOKUP(T70,'Assessment Details'!$L$45:$M$48,2,FALSE)</f>
        <v>#N/A</v>
      </c>
      <c r="AE70" s="77"/>
      <c r="AF70" s="853" t="s">
        <v>181</v>
      </c>
      <c r="AG70" s="827" t="s">
        <v>14</v>
      </c>
      <c r="AH70" s="827" t="s">
        <v>13</v>
      </c>
      <c r="AI70" s="77"/>
      <c r="AJ70" s="77"/>
      <c r="AK70" s="77"/>
      <c r="AL70" s="77"/>
      <c r="AO70" s="24" t="str">
        <f t="shared" si="9"/>
        <v>N/A</v>
      </c>
      <c r="AP70" s="24" t="str">
        <f t="shared" si="10"/>
        <v>N/A</v>
      </c>
      <c r="AQ70" s="24" t="str">
        <f t="shared" si="11"/>
        <v>N/A</v>
      </c>
      <c r="AR70" s="24"/>
      <c r="AS70" s="24"/>
      <c r="AT70" s="24"/>
      <c r="AV70" s="819"/>
    </row>
    <row r="71" spans="1:48" x14ac:dyDescent="0.25">
      <c r="A71" s="398">
        <v>63</v>
      </c>
      <c r="B71" s="322" t="s">
        <v>73</v>
      </c>
      <c r="C71" s="434" t="str">
        <f>Wst_04</f>
        <v>Wst 04 Speculative floor and ceiling finishes</v>
      </c>
      <c r="D71" s="147">
        <f>Wst04_credits</f>
        <v>1</v>
      </c>
      <c r="E71" s="45"/>
      <c r="F71" s="148">
        <f>Wst04_09</f>
        <v>0</v>
      </c>
      <c r="G71" s="155" t="str">
        <f>Wst04_minstd</f>
        <v>N/A</v>
      </c>
      <c r="H71" s="88"/>
      <c r="I71" s="339"/>
      <c r="J71" s="341"/>
      <c r="K71" s="412"/>
      <c r="L71" s="48"/>
      <c r="M71" s="89"/>
      <c r="N71" s="88"/>
      <c r="O71" s="512"/>
      <c r="P71" s="341"/>
      <c r="Q71" s="411"/>
      <c r="R71" s="91"/>
      <c r="S71" s="89"/>
      <c r="T71" s="88" t="s">
        <v>0</v>
      </c>
      <c r="U71" s="512"/>
      <c r="V71" s="341"/>
      <c r="W71" s="162"/>
      <c r="X71" s="819" t="s">
        <v>14</v>
      </c>
      <c r="Y71" s="122">
        <f t="shared" si="8"/>
        <v>1</v>
      </c>
      <c r="Z71" s="1" t="e">
        <f>VLOOKUP(I71,'Assessment Details'!$L$45:$M$48,2,FALSE)</f>
        <v>#N/A</v>
      </c>
      <c r="AA71" s="1" t="e">
        <f>VLOOKUP(N71,'Assessment Details'!$L$45:$M$48,2,FALSE)</f>
        <v>#N/A</v>
      </c>
      <c r="AB71" s="1">
        <f>VLOOKUP(T71,'Assessment Details'!$L$45:$M$48,2,FALSE)</f>
        <v>4</v>
      </c>
      <c r="AE71" s="77"/>
      <c r="AF71" s="853" t="s">
        <v>231</v>
      </c>
      <c r="AG71" s="827" t="s">
        <v>14</v>
      </c>
      <c r="AH71" s="827" t="s">
        <v>13</v>
      </c>
      <c r="AI71" s="77"/>
      <c r="AJ71" s="77"/>
      <c r="AK71" s="77"/>
      <c r="AL71" s="77"/>
      <c r="AO71" s="24" t="str">
        <f t="shared" si="9"/>
        <v>N/A</v>
      </c>
      <c r="AP71" s="24" t="str">
        <f t="shared" si="10"/>
        <v>N/A</v>
      </c>
      <c r="AQ71" s="24" t="str">
        <f t="shared" si="11"/>
        <v>N/A</v>
      </c>
      <c r="AR71" s="24"/>
      <c r="AS71" s="24"/>
      <c r="AT71" s="24"/>
      <c r="AV71" s="819"/>
    </row>
    <row r="72" spans="1:48" ht="15.75" thickBot="1" x14ac:dyDescent="0.3">
      <c r="A72" s="398">
        <v>64</v>
      </c>
      <c r="B72" s="322" t="s">
        <v>73</v>
      </c>
      <c r="C72" s="435" t="s">
        <v>113</v>
      </c>
      <c r="D72" s="151">
        <f>Wst_Credits</f>
        <v>6</v>
      </c>
      <c r="E72" s="160"/>
      <c r="F72" s="152">
        <f>Wst_cont_tot</f>
        <v>0</v>
      </c>
      <c r="G72" s="153" t="str">
        <f>"Credits achieved: "&amp;Wst_tot_user</f>
        <v>Credits achieved: 0</v>
      </c>
      <c r="H72" s="163"/>
      <c r="I72" s="340"/>
      <c r="J72" s="342"/>
      <c r="K72" s="412"/>
      <c r="L72" s="515"/>
      <c r="M72" s="510"/>
      <c r="N72" s="165"/>
      <c r="O72" s="163"/>
      <c r="P72" s="513"/>
      <c r="Q72" s="411"/>
      <c r="R72" s="516"/>
      <c r="S72" s="510"/>
      <c r="T72" s="165"/>
      <c r="U72" s="163"/>
      <c r="V72" s="513"/>
      <c r="W72" s="162"/>
      <c r="X72" s="820"/>
      <c r="Y72" s="122">
        <f t="shared" si="8"/>
        <v>1</v>
      </c>
      <c r="Z72" s="333">
        <v>0</v>
      </c>
      <c r="AA72" s="333">
        <v>0</v>
      </c>
      <c r="AB72" s="333">
        <v>0</v>
      </c>
      <c r="AE72" s="77"/>
      <c r="AF72" s="853" t="s">
        <v>113</v>
      </c>
      <c r="AG72" s="77"/>
      <c r="AH72" s="77"/>
      <c r="AI72" s="77"/>
      <c r="AJ72" s="77"/>
      <c r="AK72" s="77"/>
      <c r="AL72" s="77"/>
      <c r="AO72" s="24" t="str">
        <f t="shared" si="9"/>
        <v>N/A</v>
      </c>
      <c r="AP72" s="24" t="str">
        <f t="shared" si="10"/>
        <v>N/A</v>
      </c>
      <c r="AQ72" s="24" t="str">
        <f t="shared" si="11"/>
        <v>N/A</v>
      </c>
      <c r="AR72" s="24"/>
      <c r="AS72" s="24"/>
      <c r="AT72" s="24"/>
      <c r="AV72" s="820"/>
    </row>
    <row r="73" spans="1:48" x14ac:dyDescent="0.25">
      <c r="A73" s="398">
        <v>65</v>
      </c>
      <c r="B73" s="322" t="s">
        <v>73</v>
      </c>
      <c r="C73" s="427"/>
      <c r="D73" s="415"/>
      <c r="E73" s="416"/>
      <c r="F73" s="415"/>
      <c r="G73" s="415"/>
      <c r="H73" s="417"/>
      <c r="I73" s="416"/>
      <c r="J73" s="417"/>
      <c r="K73" s="410"/>
      <c r="L73" s="416"/>
      <c r="M73" s="417"/>
      <c r="N73" s="418"/>
      <c r="O73" s="417"/>
      <c r="P73" s="417"/>
      <c r="Q73" s="419"/>
      <c r="R73" s="418"/>
      <c r="S73" s="417"/>
      <c r="T73" s="418"/>
      <c r="U73" s="417"/>
      <c r="V73" s="417"/>
      <c r="W73" s="962"/>
      <c r="X73" s="417"/>
      <c r="Y73" s="122">
        <f t="shared" ref="Y73:Y100" si="12">IF(D73="",1,IF(D73=0,2,1))</f>
        <v>1</v>
      </c>
      <c r="Z73" s="335">
        <v>0</v>
      </c>
      <c r="AA73" s="335">
        <v>0</v>
      </c>
      <c r="AB73" s="335">
        <v>0</v>
      </c>
      <c r="AE73" s="77"/>
      <c r="AF73" s="853"/>
      <c r="AG73" s="77"/>
      <c r="AH73" s="77"/>
      <c r="AI73" s="77"/>
      <c r="AJ73" s="77"/>
      <c r="AK73" s="77"/>
      <c r="AL73" s="77"/>
      <c r="AO73" s="24" t="str">
        <f t="shared" si="9"/>
        <v>N/A</v>
      </c>
      <c r="AP73" s="24" t="str">
        <f t="shared" si="10"/>
        <v>N/A</v>
      </c>
      <c r="AQ73" s="24" t="str">
        <f t="shared" si="11"/>
        <v>N/A</v>
      </c>
      <c r="AR73" s="24"/>
      <c r="AS73" s="24"/>
      <c r="AT73" s="24"/>
      <c r="AV73" s="417"/>
    </row>
    <row r="74" spans="1:48" ht="18.75" x14ac:dyDescent="0.25">
      <c r="A74" s="398">
        <v>66</v>
      </c>
      <c r="B74" s="322" t="s">
        <v>74</v>
      </c>
      <c r="C74" s="428" t="s">
        <v>61</v>
      </c>
      <c r="D74" s="401"/>
      <c r="E74" s="402"/>
      <c r="F74" s="429"/>
      <c r="G74" s="401"/>
      <c r="H74" s="421"/>
      <c r="I74" s="422"/>
      <c r="J74" s="430"/>
      <c r="K74" s="412"/>
      <c r="L74" s="431"/>
      <c r="M74" s="421"/>
      <c r="N74" s="432"/>
      <c r="O74" s="421"/>
      <c r="P74" s="514"/>
      <c r="Q74" s="411"/>
      <c r="R74" s="433"/>
      <c r="S74" s="421"/>
      <c r="T74" s="432"/>
      <c r="U74" s="421"/>
      <c r="V74" s="514"/>
      <c r="W74" s="162"/>
      <c r="X74" s="430"/>
      <c r="Y74" s="122">
        <f t="shared" si="12"/>
        <v>1</v>
      </c>
      <c r="Z74" s="331">
        <v>0</v>
      </c>
      <c r="AA74" s="331">
        <v>0</v>
      </c>
      <c r="AB74" s="331">
        <v>0</v>
      </c>
      <c r="AE74" s="77"/>
      <c r="AF74" s="853" t="s">
        <v>61</v>
      </c>
      <c r="AG74" s="77"/>
      <c r="AH74" s="77"/>
      <c r="AI74" s="77"/>
      <c r="AJ74" s="77"/>
      <c r="AK74" s="77"/>
      <c r="AL74" s="77"/>
      <c r="AO74" s="24" t="str">
        <f t="shared" ref="AO74:AO100" si="13">IF($AF$4=ais_no,AIS_NA,IF(AG74="",AIS_NA,AG74))</f>
        <v>N/A</v>
      </c>
      <c r="AP74" s="24" t="str">
        <f t="shared" ref="AP74:AP100" si="14">IF($AF$4=ais_no,AIS_NA,IF(AH74="",AIS_NA,AH74))</f>
        <v>N/A</v>
      </c>
      <c r="AQ74" s="24" t="str">
        <f t="shared" ref="AQ74:AR100" si="15">IF($AF$4=ais_no,AIS_NA,IF(AI74="",AIS_NA,AI74))</f>
        <v>N/A</v>
      </c>
      <c r="AR74" s="24"/>
      <c r="AS74" s="24"/>
      <c r="AT74" s="24"/>
      <c r="AV74" s="430"/>
    </row>
    <row r="75" spans="1:48" x14ac:dyDescent="0.25">
      <c r="A75" s="398">
        <v>67</v>
      </c>
      <c r="B75" s="322" t="s">
        <v>74</v>
      </c>
      <c r="C75" s="434" t="str">
        <f>LE_01</f>
        <v>LE 01 Site selection</v>
      </c>
      <c r="D75" s="147">
        <f>LE01_credits</f>
        <v>3</v>
      </c>
      <c r="E75" s="45"/>
      <c r="F75" s="148">
        <f>LE01_08</f>
        <v>0</v>
      </c>
      <c r="G75" s="156" t="str">
        <f>LE01_minstd</f>
        <v>N/A</v>
      </c>
      <c r="H75" s="88"/>
      <c r="I75" s="339"/>
      <c r="J75" s="341"/>
      <c r="K75" s="412"/>
      <c r="L75" s="48"/>
      <c r="M75" s="89"/>
      <c r="N75" s="88"/>
      <c r="O75" s="512"/>
      <c r="P75" s="341"/>
      <c r="Q75" s="411"/>
      <c r="R75" s="91"/>
      <c r="S75" s="89"/>
      <c r="T75" s="88"/>
      <c r="U75" s="512"/>
      <c r="V75" s="341"/>
      <c r="W75" s="162"/>
      <c r="X75" s="819" t="s">
        <v>15</v>
      </c>
      <c r="Y75" s="122">
        <f t="shared" si="12"/>
        <v>1</v>
      </c>
      <c r="Z75" s="3" t="e">
        <f>VLOOKUP(I75,'Assessment Details'!$L$45:$M$48,2,FALSE)</f>
        <v>#N/A</v>
      </c>
      <c r="AA75" s="3" t="e">
        <f>VLOOKUP(N75,'Assessment Details'!$L$45:$M$48,2,FALSE)</f>
        <v>#N/A</v>
      </c>
      <c r="AB75" s="3" t="e">
        <f>VLOOKUP(T75,'Assessment Details'!$L$45:$M$48,2,FALSE)</f>
        <v>#N/A</v>
      </c>
      <c r="AE75" s="77"/>
      <c r="AF75" s="853" t="s">
        <v>173</v>
      </c>
      <c r="AG75" s="77"/>
      <c r="AH75" s="77"/>
      <c r="AI75" s="77"/>
      <c r="AJ75" s="77"/>
      <c r="AK75" s="77"/>
      <c r="AL75" s="77"/>
      <c r="AO75" s="24" t="str">
        <f t="shared" si="13"/>
        <v>N/A</v>
      </c>
      <c r="AP75" s="24" t="str">
        <f t="shared" si="14"/>
        <v>N/A</v>
      </c>
      <c r="AQ75" s="24" t="str">
        <f t="shared" si="15"/>
        <v>N/A</v>
      </c>
      <c r="AR75" s="24"/>
      <c r="AS75" s="24"/>
      <c r="AT75" s="24"/>
      <c r="AV75" s="819"/>
    </row>
    <row r="76" spans="1:48" ht="30" x14ac:dyDescent="0.25">
      <c r="A76" s="398">
        <v>68</v>
      </c>
      <c r="B76" s="322" t="s">
        <v>74</v>
      </c>
      <c r="C76" s="434" t="str">
        <f>LE_02</f>
        <v>LE 02 Ecological value of site and protection of ecological features</v>
      </c>
      <c r="D76" s="147">
        <f>LE02_credits</f>
        <v>2</v>
      </c>
      <c r="E76" s="45"/>
      <c r="F76" s="148">
        <f>LE02_08</f>
        <v>0</v>
      </c>
      <c r="G76" s="156" t="str">
        <f>LE02_minstd</f>
        <v>N/A</v>
      </c>
      <c r="H76" s="88"/>
      <c r="I76" s="339" t="s">
        <v>0</v>
      </c>
      <c r="J76" s="341"/>
      <c r="K76" s="412"/>
      <c r="L76" s="48"/>
      <c r="M76" s="89"/>
      <c r="N76" s="88"/>
      <c r="O76" s="512"/>
      <c r="P76" s="341"/>
      <c r="Q76" s="411"/>
      <c r="R76" s="91"/>
      <c r="S76" s="89"/>
      <c r="T76" s="88" t="s">
        <v>0</v>
      </c>
      <c r="U76" s="512"/>
      <c r="V76" s="341"/>
      <c r="W76" s="162"/>
      <c r="X76" s="819" t="s">
        <v>15</v>
      </c>
      <c r="Y76" s="122">
        <f t="shared" si="12"/>
        <v>1</v>
      </c>
      <c r="Z76" s="3">
        <f>VLOOKUP(I76,'Assessment Details'!$L$45:$M$48,2,FALSE)</f>
        <v>4</v>
      </c>
      <c r="AA76" s="3" t="e">
        <f>VLOOKUP(N76,'Assessment Details'!$L$45:$M$48,2,FALSE)</f>
        <v>#N/A</v>
      </c>
      <c r="AB76" s="3">
        <f>VLOOKUP(T76,'Assessment Details'!$L$45:$M$48,2,FALSE)</f>
        <v>4</v>
      </c>
      <c r="AE76" s="77"/>
      <c r="AF76" s="853" t="s">
        <v>174</v>
      </c>
      <c r="AG76" s="77"/>
      <c r="AH76" s="77"/>
      <c r="AI76" s="77"/>
      <c r="AJ76" s="77"/>
      <c r="AK76" s="77"/>
      <c r="AL76" s="77"/>
      <c r="AO76" s="24" t="str">
        <f t="shared" si="13"/>
        <v>N/A</v>
      </c>
      <c r="AP76" s="24" t="str">
        <f t="shared" si="14"/>
        <v>N/A</v>
      </c>
      <c r="AQ76" s="24" t="str">
        <f t="shared" si="15"/>
        <v>N/A</v>
      </c>
      <c r="AR76" s="24"/>
      <c r="AS76" s="24"/>
      <c r="AT76" s="24"/>
      <c r="AV76" s="819"/>
    </row>
    <row r="77" spans="1:48" x14ac:dyDescent="0.25">
      <c r="A77" s="398">
        <v>69</v>
      </c>
      <c r="B77" s="322" t="s">
        <v>74</v>
      </c>
      <c r="C77" s="409" t="str">
        <f>LE_04</f>
        <v>LE 04 Enhancing site ecology</v>
      </c>
      <c r="D77" s="147">
        <f>LE04_credits</f>
        <v>3</v>
      </c>
      <c r="E77" s="45"/>
      <c r="F77" s="148">
        <f>LE04_14</f>
        <v>0</v>
      </c>
      <c r="G77" s="156" t="str">
        <f>LE03_minstd</f>
        <v>N/A</v>
      </c>
      <c r="H77" s="88"/>
      <c r="I77" s="339"/>
      <c r="J77" s="341"/>
      <c r="K77" s="412"/>
      <c r="L77" s="48"/>
      <c r="M77" s="89"/>
      <c r="N77" s="88"/>
      <c r="O77" s="512"/>
      <c r="P77" s="341"/>
      <c r="Q77" s="411"/>
      <c r="R77" s="91"/>
      <c r="S77" s="89"/>
      <c r="T77" s="88"/>
      <c r="U77" s="512"/>
      <c r="V77" s="341"/>
      <c r="W77" s="162"/>
      <c r="X77" s="819" t="s">
        <v>15</v>
      </c>
      <c r="Y77" s="122">
        <f t="shared" si="12"/>
        <v>1</v>
      </c>
      <c r="Z77" s="3" t="e">
        <f>VLOOKUP(I77,'Assessment Details'!$L$45:$M$48,2,FALSE)</f>
        <v>#N/A</v>
      </c>
      <c r="AA77" s="3" t="e">
        <f>VLOOKUP(N77,'Assessment Details'!$L$45:$M$48,2,FALSE)</f>
        <v>#N/A</v>
      </c>
      <c r="AB77" s="3" t="e">
        <f>VLOOKUP(T77,'Assessment Details'!$L$45:$M$48,2,FALSE)</f>
        <v>#N/A</v>
      </c>
      <c r="AE77" s="77"/>
      <c r="AF77" s="853" t="s">
        <v>175</v>
      </c>
      <c r="AG77" s="77"/>
      <c r="AH77" s="77"/>
      <c r="AI77" s="77"/>
      <c r="AJ77" s="77"/>
      <c r="AK77" s="77"/>
      <c r="AL77" s="77"/>
      <c r="AO77" s="24" t="str">
        <f t="shared" si="13"/>
        <v>N/A</v>
      </c>
      <c r="AP77" s="24" t="str">
        <f t="shared" si="14"/>
        <v>N/A</v>
      </c>
      <c r="AQ77" s="24" t="str">
        <f t="shared" si="15"/>
        <v>N/A</v>
      </c>
      <c r="AR77" s="24"/>
      <c r="AS77" s="24"/>
      <c r="AT77" s="24"/>
      <c r="AV77" s="819"/>
    </row>
    <row r="78" spans="1:48" x14ac:dyDescent="0.25">
      <c r="A78" s="398">
        <v>70</v>
      </c>
      <c r="B78" s="322" t="s">
        <v>74</v>
      </c>
      <c r="C78" s="409" t="str">
        <f>LE_05</f>
        <v>LE 05 Long term impact on biodiversity</v>
      </c>
      <c r="D78" s="147">
        <f>LE05_credits</f>
        <v>2</v>
      </c>
      <c r="E78" s="45"/>
      <c r="F78" s="148">
        <f>LE05_15</f>
        <v>0</v>
      </c>
      <c r="G78" s="156" t="str">
        <f>LE05_minstd</f>
        <v>N/A</v>
      </c>
      <c r="H78" s="88"/>
      <c r="I78" s="339"/>
      <c r="J78" s="341"/>
      <c r="K78" s="412"/>
      <c r="L78" s="48"/>
      <c r="M78" s="89"/>
      <c r="N78" s="88"/>
      <c r="O78" s="512"/>
      <c r="P78" s="341"/>
      <c r="Q78" s="411"/>
      <c r="R78" s="91"/>
      <c r="S78" s="89"/>
      <c r="T78" s="88"/>
      <c r="U78" s="512"/>
      <c r="V78" s="341"/>
      <c r="W78" s="162"/>
      <c r="X78" s="819" t="s">
        <v>15</v>
      </c>
      <c r="Y78" s="122">
        <f t="shared" si="12"/>
        <v>1</v>
      </c>
      <c r="Z78" s="1" t="e">
        <f>VLOOKUP(I78,'Assessment Details'!$L$45:$M$48,2,FALSE)</f>
        <v>#N/A</v>
      </c>
      <c r="AA78" s="1" t="e">
        <f>VLOOKUP(N78,'Assessment Details'!$L$45:$M$48,2,FALSE)</f>
        <v>#N/A</v>
      </c>
      <c r="AB78" s="1" t="e">
        <f>VLOOKUP(T78,'Assessment Details'!$L$45:$M$48,2,FALSE)</f>
        <v>#N/A</v>
      </c>
      <c r="AE78" s="77"/>
      <c r="AF78" s="853" t="s">
        <v>176</v>
      </c>
      <c r="AG78" s="77"/>
      <c r="AH78" s="77"/>
      <c r="AI78" s="77"/>
      <c r="AJ78" s="77"/>
      <c r="AK78" s="77"/>
      <c r="AL78" s="77"/>
      <c r="AO78" s="24" t="str">
        <f t="shared" si="13"/>
        <v>N/A</v>
      </c>
      <c r="AP78" s="24" t="str">
        <f t="shared" si="14"/>
        <v>N/A</v>
      </c>
      <c r="AQ78" s="24" t="str">
        <f t="shared" si="15"/>
        <v>N/A</v>
      </c>
      <c r="AR78" s="24"/>
      <c r="AS78" s="24"/>
      <c r="AT78" s="24"/>
      <c r="AV78" s="819"/>
    </row>
    <row r="79" spans="1:48" x14ac:dyDescent="0.25">
      <c r="A79" s="398">
        <v>71</v>
      </c>
      <c r="B79" s="322" t="s">
        <v>74</v>
      </c>
      <c r="C79" s="409" t="str">
        <f>LE_06</f>
        <v>LE 06 Building footprint</v>
      </c>
      <c r="D79" s="147">
        <f>LE06_credits</f>
        <v>0</v>
      </c>
      <c r="E79" s="45"/>
      <c r="F79" s="148">
        <f>LE06_contr</f>
        <v>0</v>
      </c>
      <c r="G79" s="156" t="str">
        <f>LE06_minstd</f>
        <v>N/A</v>
      </c>
      <c r="H79" s="88"/>
      <c r="I79" s="339"/>
      <c r="J79" s="341"/>
      <c r="K79" s="412"/>
      <c r="L79" s="48"/>
      <c r="M79" s="89"/>
      <c r="N79" s="88"/>
      <c r="O79" s="512"/>
      <c r="P79" s="341"/>
      <c r="Q79" s="411"/>
      <c r="R79" s="91"/>
      <c r="S79" s="89"/>
      <c r="T79" s="88"/>
      <c r="U79" s="512"/>
      <c r="V79" s="341"/>
      <c r="W79" s="162"/>
      <c r="X79" s="819" t="s">
        <v>15</v>
      </c>
      <c r="Y79" s="122">
        <f t="shared" si="12"/>
        <v>2</v>
      </c>
      <c r="Z79" s="3" t="e">
        <f>VLOOKUP(I79,'Assessment Details'!$L$45:$M$48,2,FALSE)</f>
        <v>#N/A</v>
      </c>
      <c r="AA79" s="3" t="e">
        <f>VLOOKUP(N79,'Assessment Details'!$L$45:$M$48,2,FALSE)</f>
        <v>#N/A</v>
      </c>
      <c r="AB79" s="3" t="e">
        <f>VLOOKUP(T79,'Assessment Details'!$L$45:$M$48,2,FALSE)</f>
        <v>#N/A</v>
      </c>
      <c r="AE79" s="77"/>
      <c r="AF79" s="853" t="s">
        <v>182</v>
      </c>
      <c r="AG79" s="77"/>
      <c r="AH79" s="77"/>
      <c r="AI79" s="77"/>
      <c r="AJ79" s="77"/>
      <c r="AK79" s="77"/>
      <c r="AL79" s="77"/>
      <c r="AO79" s="24" t="str">
        <f t="shared" si="13"/>
        <v>N/A</v>
      </c>
      <c r="AP79" s="24" t="str">
        <f t="shared" si="14"/>
        <v>N/A</v>
      </c>
      <c r="AQ79" s="24" t="str">
        <f t="shared" si="15"/>
        <v>N/A</v>
      </c>
      <c r="AR79" s="24"/>
      <c r="AS79" s="24"/>
      <c r="AT79" s="24"/>
      <c r="AV79" s="819"/>
    </row>
    <row r="80" spans="1:48" ht="15.75" thickBot="1" x14ac:dyDescent="0.3">
      <c r="A80" s="398">
        <v>72</v>
      </c>
      <c r="B80" s="322" t="s">
        <v>74</v>
      </c>
      <c r="C80" s="413" t="s">
        <v>114</v>
      </c>
      <c r="D80" s="151">
        <f>LE_Credits</f>
        <v>10</v>
      </c>
      <c r="E80" s="160"/>
      <c r="F80" s="152">
        <f>LE_cont_tot</f>
        <v>0</v>
      </c>
      <c r="G80" s="153" t="str">
        <f>"Credits achieved: "&amp;Lue_tot_user</f>
        <v>Credits achieved: 0</v>
      </c>
      <c r="H80" s="163"/>
      <c r="I80" s="340"/>
      <c r="J80" s="342"/>
      <c r="K80" s="412"/>
      <c r="L80" s="515"/>
      <c r="M80" s="510"/>
      <c r="N80" s="165"/>
      <c r="O80" s="163"/>
      <c r="P80" s="513"/>
      <c r="Q80" s="411"/>
      <c r="R80" s="516"/>
      <c r="S80" s="510"/>
      <c r="T80" s="165"/>
      <c r="U80" s="163"/>
      <c r="V80" s="513"/>
      <c r="W80" s="162"/>
      <c r="X80" s="820"/>
      <c r="Y80" s="122">
        <f t="shared" si="12"/>
        <v>1</v>
      </c>
      <c r="Z80" s="333">
        <v>0</v>
      </c>
      <c r="AA80" s="333">
        <v>0</v>
      </c>
      <c r="AB80" s="333">
        <v>0</v>
      </c>
      <c r="AE80" s="77"/>
      <c r="AF80" s="853" t="s">
        <v>114</v>
      </c>
      <c r="AG80" s="77"/>
      <c r="AH80" s="77"/>
      <c r="AI80" s="77"/>
      <c r="AJ80" s="77"/>
      <c r="AK80" s="77"/>
      <c r="AL80" s="77"/>
      <c r="AO80" s="24" t="str">
        <f t="shared" si="13"/>
        <v>N/A</v>
      </c>
      <c r="AP80" s="24" t="str">
        <f t="shared" si="14"/>
        <v>N/A</v>
      </c>
      <c r="AQ80" s="24" t="str">
        <f t="shared" si="15"/>
        <v>N/A</v>
      </c>
      <c r="AR80" s="24"/>
      <c r="AS80" s="24"/>
      <c r="AT80" s="24"/>
      <c r="AV80" s="820"/>
    </row>
    <row r="81" spans="1:48" x14ac:dyDescent="0.25">
      <c r="A81" s="398">
        <v>73</v>
      </c>
      <c r="B81" s="322" t="s">
        <v>74</v>
      </c>
      <c r="C81" s="414"/>
      <c r="D81" s="415"/>
      <c r="E81" s="416"/>
      <c r="F81" s="415"/>
      <c r="G81" s="415"/>
      <c r="H81" s="417"/>
      <c r="I81" s="416"/>
      <c r="J81" s="417"/>
      <c r="K81" s="410"/>
      <c r="L81" s="416"/>
      <c r="M81" s="417"/>
      <c r="N81" s="418"/>
      <c r="O81" s="417"/>
      <c r="P81" s="417"/>
      <c r="Q81" s="419"/>
      <c r="R81" s="418"/>
      <c r="S81" s="417"/>
      <c r="T81" s="418"/>
      <c r="U81" s="417"/>
      <c r="V81" s="417"/>
      <c r="W81" s="962"/>
      <c r="X81" s="417"/>
      <c r="Y81" s="122">
        <f t="shared" si="12"/>
        <v>1</v>
      </c>
      <c r="Z81" s="335">
        <v>0</v>
      </c>
      <c r="AA81" s="335">
        <v>0</v>
      </c>
      <c r="AB81" s="335">
        <v>0</v>
      </c>
      <c r="AE81" s="77"/>
      <c r="AF81" s="853"/>
      <c r="AG81" s="77"/>
      <c r="AH81" s="77"/>
      <c r="AI81" s="77"/>
      <c r="AJ81" s="77"/>
      <c r="AK81" s="77"/>
      <c r="AL81" s="77"/>
      <c r="AO81" s="24" t="str">
        <f t="shared" si="13"/>
        <v>N/A</v>
      </c>
      <c r="AP81" s="24" t="str">
        <f t="shared" si="14"/>
        <v>N/A</v>
      </c>
      <c r="AQ81" s="24" t="str">
        <f t="shared" si="15"/>
        <v>N/A</v>
      </c>
      <c r="AR81" s="24"/>
      <c r="AS81" s="24"/>
      <c r="AT81" s="24"/>
      <c r="AV81" s="417"/>
    </row>
    <row r="82" spans="1:48" ht="18.75" x14ac:dyDescent="0.25">
      <c r="A82" s="398">
        <v>74</v>
      </c>
      <c r="B82" s="322" t="s">
        <v>75</v>
      </c>
      <c r="C82" s="420" t="s">
        <v>62</v>
      </c>
      <c r="D82" s="401"/>
      <c r="E82" s="402"/>
      <c r="F82" s="429"/>
      <c r="G82" s="401"/>
      <c r="H82" s="421"/>
      <c r="I82" s="422"/>
      <c r="J82" s="430"/>
      <c r="K82" s="412"/>
      <c r="L82" s="431"/>
      <c r="M82" s="421"/>
      <c r="N82" s="432"/>
      <c r="O82" s="421"/>
      <c r="P82" s="514"/>
      <c r="Q82" s="411"/>
      <c r="R82" s="433"/>
      <c r="S82" s="421"/>
      <c r="T82" s="432"/>
      <c r="U82" s="421"/>
      <c r="V82" s="514"/>
      <c r="W82" s="162"/>
      <c r="X82" s="430"/>
      <c r="Y82" s="122">
        <f t="shared" si="12"/>
        <v>1</v>
      </c>
      <c r="Z82" s="331">
        <v>0</v>
      </c>
      <c r="AA82" s="331">
        <v>0</v>
      </c>
      <c r="AB82" s="331">
        <v>0</v>
      </c>
      <c r="AE82" s="77"/>
      <c r="AF82" s="853" t="s">
        <v>62</v>
      </c>
      <c r="AG82" s="77"/>
      <c r="AH82" s="77"/>
      <c r="AI82" s="77"/>
      <c r="AJ82" s="77"/>
      <c r="AK82" s="77"/>
      <c r="AL82" s="77"/>
      <c r="AO82" s="24" t="str">
        <f t="shared" si="13"/>
        <v>N/A</v>
      </c>
      <c r="AP82" s="24" t="str">
        <f t="shared" si="14"/>
        <v>N/A</v>
      </c>
      <c r="AQ82" s="24" t="str">
        <f t="shared" si="15"/>
        <v>N/A</v>
      </c>
      <c r="AR82" s="24"/>
      <c r="AS82" s="24"/>
      <c r="AT82" s="24"/>
      <c r="AV82" s="430"/>
    </row>
    <row r="83" spans="1:48" x14ac:dyDescent="0.25">
      <c r="A83" s="398">
        <v>75</v>
      </c>
      <c r="B83" s="322" t="s">
        <v>75</v>
      </c>
      <c r="C83" s="409" t="str">
        <f>Pol_01</f>
        <v>POL 01 Impacts of refrigerants</v>
      </c>
      <c r="D83" s="147">
        <f>Pol01_credits</f>
        <v>3</v>
      </c>
      <c r="E83" s="45"/>
      <c r="F83" s="148">
        <f>Pol01_20</f>
        <v>0</v>
      </c>
      <c r="G83" s="156" t="str">
        <f>Pol01_minstd</f>
        <v>N/A</v>
      </c>
      <c r="H83" s="88"/>
      <c r="I83" s="339"/>
      <c r="J83" s="341"/>
      <c r="K83" s="412"/>
      <c r="L83" s="48"/>
      <c r="M83" s="89"/>
      <c r="N83" s="88"/>
      <c r="O83" s="512"/>
      <c r="P83" s="341"/>
      <c r="Q83" s="411"/>
      <c r="R83" s="91"/>
      <c r="S83" s="89"/>
      <c r="T83" s="88"/>
      <c r="U83" s="512"/>
      <c r="V83" s="341"/>
      <c r="W83" s="162"/>
      <c r="X83" s="819" t="s">
        <v>14</v>
      </c>
      <c r="Y83" s="122">
        <f t="shared" si="12"/>
        <v>1</v>
      </c>
      <c r="Z83" s="3" t="e">
        <f>VLOOKUP(I83,'Assessment Details'!$L$45:$M$48,2,FALSE)</f>
        <v>#N/A</v>
      </c>
      <c r="AA83" s="3" t="e">
        <f>VLOOKUP(N83,'Assessment Details'!$L$45:$M$48,2,FALSE)</f>
        <v>#N/A</v>
      </c>
      <c r="AB83" s="3" t="e">
        <f>VLOOKUP(T83,'Assessment Details'!$L$45:$M$48,2,FALSE)</f>
        <v>#N/A</v>
      </c>
      <c r="AE83" s="77" t="str">
        <f>ais_yes</f>
        <v>Ja</v>
      </c>
      <c r="AF83" s="853" t="s">
        <v>177</v>
      </c>
      <c r="AG83" s="827" t="s">
        <v>526</v>
      </c>
      <c r="AH83" s="827" t="s">
        <v>530</v>
      </c>
      <c r="AI83" s="827" t="s">
        <v>528</v>
      </c>
      <c r="AJ83" s="833" t="s">
        <v>531</v>
      </c>
      <c r="AK83" s="77"/>
      <c r="AL83" s="77"/>
      <c r="AN83" s="1" t="s">
        <v>14</v>
      </c>
      <c r="AO83" s="24" t="str">
        <f t="shared" si="13"/>
        <v>N/A</v>
      </c>
      <c r="AP83" s="24" t="str">
        <f t="shared" si="14"/>
        <v>N/A</v>
      </c>
      <c r="AQ83" s="24" t="str">
        <f t="shared" si="15"/>
        <v>N/A</v>
      </c>
      <c r="AR83" s="24" t="str">
        <f t="shared" si="15"/>
        <v>N/A</v>
      </c>
      <c r="AS83" s="24"/>
      <c r="AT83" s="24"/>
      <c r="AV83" s="819"/>
    </row>
    <row r="84" spans="1:48" x14ac:dyDescent="0.25">
      <c r="A84" s="398">
        <v>76</v>
      </c>
      <c r="B84" s="322" t="s">
        <v>75</v>
      </c>
      <c r="C84" s="409" t="str">
        <f>Pol_02</f>
        <v>POL 02 NOx emissions</v>
      </c>
      <c r="D84" s="147">
        <f>Pol02_credits</f>
        <v>3</v>
      </c>
      <c r="E84" s="45"/>
      <c r="F84" s="148">
        <f>Pol02_27</f>
        <v>0</v>
      </c>
      <c r="G84" s="156" t="str">
        <f>Pol02_minstd</f>
        <v>N/A</v>
      </c>
      <c r="H84" s="88"/>
      <c r="I84" s="339"/>
      <c r="J84" s="341"/>
      <c r="K84" s="412"/>
      <c r="L84" s="48"/>
      <c r="M84" s="89"/>
      <c r="N84" s="88"/>
      <c r="O84" s="512"/>
      <c r="P84" s="341"/>
      <c r="Q84" s="411"/>
      <c r="R84" s="91"/>
      <c r="S84" s="89"/>
      <c r="T84" s="88"/>
      <c r="U84" s="512"/>
      <c r="V84" s="341"/>
      <c r="W84" s="162"/>
      <c r="X84" s="819" t="s">
        <v>14</v>
      </c>
      <c r="Y84" s="122">
        <f t="shared" si="12"/>
        <v>1</v>
      </c>
      <c r="Z84" s="3" t="e">
        <f>VLOOKUP(I84,'Assessment Details'!$L$45:$M$48,2,FALSE)</f>
        <v>#N/A</v>
      </c>
      <c r="AA84" s="3" t="e">
        <f>VLOOKUP(N84,'Assessment Details'!$L$45:$M$48,2,FALSE)</f>
        <v>#N/A</v>
      </c>
      <c r="AB84" s="3" t="e">
        <f>VLOOKUP(T84,'Assessment Details'!$L$45:$M$48,2,FALSE)</f>
        <v>#N/A</v>
      </c>
      <c r="AE84" s="77" t="str">
        <f>ais_yes</f>
        <v>Ja</v>
      </c>
      <c r="AF84" s="853" t="s">
        <v>506</v>
      </c>
      <c r="AG84" s="827" t="s">
        <v>526</v>
      </c>
      <c r="AH84" s="827" t="s">
        <v>530</v>
      </c>
      <c r="AI84" s="827" t="s">
        <v>528</v>
      </c>
      <c r="AJ84" s="77"/>
      <c r="AK84" s="77"/>
      <c r="AL84" s="77"/>
      <c r="AN84" s="1" t="s">
        <v>14</v>
      </c>
      <c r="AO84" s="24" t="str">
        <f t="shared" si="13"/>
        <v>N/A</v>
      </c>
      <c r="AP84" s="24" t="str">
        <f t="shared" si="14"/>
        <v>N/A</v>
      </c>
      <c r="AQ84" s="24" t="str">
        <f t="shared" si="15"/>
        <v>N/A</v>
      </c>
      <c r="AR84" s="24"/>
      <c r="AS84" s="24"/>
      <c r="AT84" s="24"/>
      <c r="AV84" s="819"/>
    </row>
    <row r="85" spans="1:48" x14ac:dyDescent="0.25">
      <c r="A85" s="398">
        <v>77</v>
      </c>
      <c r="B85" s="322" t="s">
        <v>75</v>
      </c>
      <c r="C85" s="409" t="str">
        <f>Pol_03</f>
        <v>POL 03 Surface water run-off</v>
      </c>
      <c r="D85" s="147">
        <f>Pol03_credits</f>
        <v>5</v>
      </c>
      <c r="E85" s="45"/>
      <c r="F85" s="148">
        <f>Pol03_15</f>
        <v>0</v>
      </c>
      <c r="G85" s="156" t="str">
        <f>Pol03_minstd</f>
        <v>N/A</v>
      </c>
      <c r="H85" s="88"/>
      <c r="I85" s="339"/>
      <c r="J85" s="341"/>
      <c r="K85" s="412"/>
      <c r="L85" s="48"/>
      <c r="M85" s="89"/>
      <c r="N85" s="88"/>
      <c r="O85" s="512"/>
      <c r="P85" s="341"/>
      <c r="Q85" s="411"/>
      <c r="R85" s="91"/>
      <c r="S85" s="89"/>
      <c r="T85" s="88"/>
      <c r="U85" s="512"/>
      <c r="V85" s="341"/>
      <c r="W85" s="162"/>
      <c r="X85" s="819" t="s">
        <v>15</v>
      </c>
      <c r="Y85" s="122">
        <f t="shared" si="12"/>
        <v>1</v>
      </c>
      <c r="Z85" s="3" t="e">
        <f>VLOOKUP(I85,'Assessment Details'!$L$45:$M$48,2,FALSE)</f>
        <v>#N/A</v>
      </c>
      <c r="AA85" s="3" t="e">
        <f>VLOOKUP(N85,'Assessment Details'!$L$45:$M$48,2,FALSE)</f>
        <v>#N/A</v>
      </c>
      <c r="AB85" s="3" t="e">
        <f>VLOOKUP(T85,'Assessment Details'!$L$45:$M$48,2,FALSE)</f>
        <v>#N/A</v>
      </c>
      <c r="AE85" s="77"/>
      <c r="AF85" s="853" t="s">
        <v>179</v>
      </c>
      <c r="AG85" s="77"/>
      <c r="AH85" s="77"/>
      <c r="AI85" s="77"/>
      <c r="AJ85" s="77"/>
      <c r="AK85" s="77"/>
      <c r="AL85" s="77"/>
      <c r="AO85" s="24" t="str">
        <f t="shared" si="13"/>
        <v>N/A</v>
      </c>
      <c r="AP85" s="24" t="str">
        <f t="shared" si="14"/>
        <v>N/A</v>
      </c>
      <c r="AQ85" s="24" t="str">
        <f t="shared" si="15"/>
        <v>N/A</v>
      </c>
      <c r="AR85" s="24"/>
      <c r="AS85" s="24"/>
      <c r="AT85" s="24"/>
      <c r="AV85" s="819"/>
    </row>
    <row r="86" spans="1:48" x14ac:dyDescent="0.25">
      <c r="A86" s="398">
        <v>78</v>
      </c>
      <c r="B86" s="322" t="s">
        <v>75</v>
      </c>
      <c r="C86" s="409" t="str">
        <f>Pol_04</f>
        <v>POL 04 Reduction of night time light pollution</v>
      </c>
      <c r="D86" s="147">
        <f>Pol04_credits</f>
        <v>1</v>
      </c>
      <c r="E86" s="45"/>
      <c r="F86" s="148">
        <f>Pol04_06</f>
        <v>0</v>
      </c>
      <c r="G86" s="156" t="str">
        <f>Pol04_minstd</f>
        <v>N/A</v>
      </c>
      <c r="H86" s="88"/>
      <c r="I86" s="339"/>
      <c r="J86" s="341"/>
      <c r="K86" s="412"/>
      <c r="L86" s="48"/>
      <c r="M86" s="89"/>
      <c r="N86" s="88"/>
      <c r="O86" s="512"/>
      <c r="P86" s="341"/>
      <c r="Q86" s="411"/>
      <c r="R86" s="91"/>
      <c r="S86" s="89"/>
      <c r="T86" s="88"/>
      <c r="U86" s="512"/>
      <c r="V86" s="341"/>
      <c r="W86" s="162"/>
      <c r="X86" s="819" t="s">
        <v>14</v>
      </c>
      <c r="Y86" s="122">
        <f t="shared" si="12"/>
        <v>1</v>
      </c>
      <c r="Z86" s="3" t="e">
        <f>VLOOKUP(I86,'Assessment Details'!$L$45:$M$48,2,FALSE)</f>
        <v>#N/A</v>
      </c>
      <c r="AA86" s="3" t="e">
        <f>VLOOKUP(N86,'Assessment Details'!$L$45:$M$48,2,FALSE)</f>
        <v>#N/A</v>
      </c>
      <c r="AB86" s="3" t="e">
        <f>VLOOKUP(T86,'Assessment Details'!$L$45:$M$48,2,FALSE)</f>
        <v>#N/A</v>
      </c>
      <c r="AE86" s="77" t="str">
        <f>ais_yes</f>
        <v>Ja</v>
      </c>
      <c r="AF86" s="853" t="s">
        <v>180</v>
      </c>
      <c r="AG86" s="827" t="s">
        <v>526</v>
      </c>
      <c r="AH86" s="827" t="s">
        <v>530</v>
      </c>
      <c r="AI86" s="827" t="s">
        <v>528</v>
      </c>
      <c r="AJ86" s="77"/>
      <c r="AK86" s="77"/>
      <c r="AL86" s="77"/>
      <c r="AN86" s="1" t="s">
        <v>14</v>
      </c>
      <c r="AO86" s="24" t="str">
        <f t="shared" si="13"/>
        <v>N/A</v>
      </c>
      <c r="AP86" s="24" t="str">
        <f t="shared" si="14"/>
        <v>N/A</v>
      </c>
      <c r="AQ86" s="24" t="str">
        <f t="shared" si="15"/>
        <v>N/A</v>
      </c>
      <c r="AR86" s="24"/>
      <c r="AS86" s="24"/>
      <c r="AT86" s="24"/>
      <c r="AV86" s="819"/>
    </row>
    <row r="87" spans="1:48" x14ac:dyDescent="0.25">
      <c r="A87" s="398">
        <v>79</v>
      </c>
      <c r="B87" s="322" t="s">
        <v>75</v>
      </c>
      <c r="C87" s="409" t="str">
        <f>Pol_05</f>
        <v>POL 05 Noise attenuation</v>
      </c>
      <c r="D87" s="147">
        <f>Pol05_credits</f>
        <v>1</v>
      </c>
      <c r="E87" s="45"/>
      <c r="F87" s="148">
        <f>Pol05_11</f>
        <v>0</v>
      </c>
      <c r="G87" s="156" t="str">
        <f>Pol05_minstd</f>
        <v>N/A</v>
      </c>
      <c r="H87" s="88"/>
      <c r="I87" s="339"/>
      <c r="J87" s="341"/>
      <c r="K87" s="412"/>
      <c r="L87" s="48"/>
      <c r="M87" s="89"/>
      <c r="N87" s="88"/>
      <c r="O87" s="512"/>
      <c r="P87" s="341"/>
      <c r="Q87" s="411"/>
      <c r="R87" s="91"/>
      <c r="S87" s="89"/>
      <c r="T87" s="88"/>
      <c r="U87" s="512"/>
      <c r="V87" s="341"/>
      <c r="W87" s="162"/>
      <c r="X87" s="819" t="s">
        <v>14</v>
      </c>
      <c r="Y87" s="122">
        <f t="shared" si="12"/>
        <v>1</v>
      </c>
      <c r="Z87" s="3" t="e">
        <f>VLOOKUP(I87,'Assessment Details'!$L$45:$M$48,2,FALSE)</f>
        <v>#N/A</v>
      </c>
      <c r="AA87" s="3" t="e">
        <f>VLOOKUP(N87,'Assessment Details'!$L$45:$M$48,2,FALSE)</f>
        <v>#N/A</v>
      </c>
      <c r="AB87" s="3" t="e">
        <f>VLOOKUP(T87,'Assessment Details'!$L$45:$M$48,2,FALSE)</f>
        <v>#N/A</v>
      </c>
      <c r="AE87" s="77" t="str">
        <f>ais_yes</f>
        <v>Ja</v>
      </c>
      <c r="AF87" s="853" t="s">
        <v>183</v>
      </c>
      <c r="AG87" s="827" t="s">
        <v>526</v>
      </c>
      <c r="AH87" s="827" t="s">
        <v>530</v>
      </c>
      <c r="AI87" s="827" t="s">
        <v>528</v>
      </c>
      <c r="AJ87" s="77"/>
      <c r="AK87" s="77"/>
      <c r="AL87" s="77"/>
      <c r="AN87" s="1" t="s">
        <v>14</v>
      </c>
      <c r="AO87" s="24" t="str">
        <f t="shared" si="13"/>
        <v>N/A</v>
      </c>
      <c r="AP87" s="24" t="str">
        <f t="shared" si="14"/>
        <v>N/A</v>
      </c>
      <c r="AQ87" s="24" t="str">
        <f t="shared" si="15"/>
        <v>N/A</v>
      </c>
      <c r="AR87" s="24"/>
      <c r="AS87" s="24"/>
      <c r="AT87" s="24"/>
      <c r="AV87" s="819"/>
    </row>
    <row r="88" spans="1:48" ht="15.75" thickBot="1" x14ac:dyDescent="0.3">
      <c r="A88" s="398">
        <v>80</v>
      </c>
      <c r="B88" s="322" t="s">
        <v>75</v>
      </c>
      <c r="C88" s="413" t="s">
        <v>115</v>
      </c>
      <c r="D88" s="151">
        <f>Pol_Credits</f>
        <v>13</v>
      </c>
      <c r="E88" s="160"/>
      <c r="F88" s="152">
        <f>Pol_cont_tot</f>
        <v>0</v>
      </c>
      <c r="G88" s="153" t="str">
        <f>"Credits achieved: "&amp;Pol_tot_user</f>
        <v>Credits achieved: 0</v>
      </c>
      <c r="H88" s="163"/>
      <c r="I88" s="340"/>
      <c r="J88" s="342"/>
      <c r="K88" s="412"/>
      <c r="L88" s="515"/>
      <c r="M88" s="510"/>
      <c r="N88" s="165"/>
      <c r="O88" s="163"/>
      <c r="P88" s="513"/>
      <c r="Q88" s="411"/>
      <c r="R88" s="516"/>
      <c r="S88" s="510"/>
      <c r="T88" s="165"/>
      <c r="U88" s="163"/>
      <c r="V88" s="513"/>
      <c r="W88" s="162"/>
      <c r="X88" s="820"/>
      <c r="Y88" s="122">
        <f t="shared" si="12"/>
        <v>1</v>
      </c>
      <c r="Z88" s="333">
        <v>0</v>
      </c>
      <c r="AA88" s="333">
        <v>0</v>
      </c>
      <c r="AB88" s="333">
        <v>0</v>
      </c>
      <c r="AE88" s="77"/>
      <c r="AF88" s="853" t="s">
        <v>115</v>
      </c>
      <c r="AG88" s="77"/>
      <c r="AH88" s="77"/>
      <c r="AI88" s="77"/>
      <c r="AJ88" s="77"/>
      <c r="AK88" s="77"/>
      <c r="AL88" s="77"/>
      <c r="AO88" s="24" t="str">
        <f t="shared" si="13"/>
        <v>N/A</v>
      </c>
      <c r="AP88" s="24" t="str">
        <f t="shared" si="14"/>
        <v>N/A</v>
      </c>
      <c r="AQ88" s="24" t="str">
        <f t="shared" si="15"/>
        <v>N/A</v>
      </c>
      <c r="AR88" s="24"/>
      <c r="AS88" s="24"/>
      <c r="AT88" s="24"/>
      <c r="AV88" s="820"/>
    </row>
    <row r="89" spans="1:48" x14ac:dyDescent="0.25">
      <c r="A89" s="398">
        <v>81</v>
      </c>
      <c r="B89" s="322" t="s">
        <v>75</v>
      </c>
      <c r="C89" s="414"/>
      <c r="D89" s="415"/>
      <c r="E89" s="416"/>
      <c r="F89" s="415"/>
      <c r="G89" s="415"/>
      <c r="H89" s="417"/>
      <c r="I89" s="416"/>
      <c r="J89" s="417"/>
      <c r="K89" s="410"/>
      <c r="L89" s="416"/>
      <c r="M89" s="417"/>
      <c r="N89" s="418"/>
      <c r="O89" s="417"/>
      <c r="P89" s="417"/>
      <c r="Q89" s="419"/>
      <c r="R89" s="418"/>
      <c r="S89" s="417"/>
      <c r="T89" s="418"/>
      <c r="U89" s="417"/>
      <c r="V89" s="417"/>
      <c r="W89" s="962"/>
      <c r="X89" s="417"/>
      <c r="Y89" s="122">
        <f t="shared" si="12"/>
        <v>1</v>
      </c>
      <c r="Z89" s="335">
        <v>0</v>
      </c>
      <c r="AA89" s="335">
        <v>0</v>
      </c>
      <c r="AB89" s="335">
        <v>0</v>
      </c>
      <c r="AE89" s="77"/>
      <c r="AF89" s="853"/>
      <c r="AG89" s="77"/>
      <c r="AH89" s="77"/>
      <c r="AI89" s="77"/>
      <c r="AJ89" s="77"/>
      <c r="AK89" s="77"/>
      <c r="AL89" s="77"/>
      <c r="AO89" s="24" t="str">
        <f t="shared" si="13"/>
        <v>N/A</v>
      </c>
      <c r="AP89" s="24" t="str">
        <f t="shared" si="14"/>
        <v>N/A</v>
      </c>
      <c r="AQ89" s="24" t="str">
        <f t="shared" si="15"/>
        <v>N/A</v>
      </c>
      <c r="AR89" s="24"/>
      <c r="AS89" s="24"/>
      <c r="AT89" s="24"/>
      <c r="AV89" s="417"/>
    </row>
    <row r="90" spans="1:48" ht="18.75" x14ac:dyDescent="0.25">
      <c r="A90" s="398">
        <v>82</v>
      </c>
      <c r="B90" s="322" t="s">
        <v>234</v>
      </c>
      <c r="C90" s="420" t="s">
        <v>273</v>
      </c>
      <c r="D90" s="401"/>
      <c r="E90" s="402"/>
      <c r="F90" s="429"/>
      <c r="G90" s="401"/>
      <c r="H90" s="421"/>
      <c r="I90" s="422"/>
      <c r="J90" s="430"/>
      <c r="K90" s="412"/>
      <c r="L90" s="431"/>
      <c r="M90" s="421"/>
      <c r="N90" s="432"/>
      <c r="O90" s="421"/>
      <c r="P90" s="514"/>
      <c r="Q90" s="411"/>
      <c r="R90" s="433"/>
      <c r="S90" s="421"/>
      <c r="T90" s="432"/>
      <c r="U90" s="421"/>
      <c r="V90" s="514"/>
      <c r="W90" s="162"/>
      <c r="X90" s="430"/>
      <c r="Y90" s="122">
        <f t="shared" si="12"/>
        <v>1</v>
      </c>
      <c r="Z90" s="331">
        <v>0</v>
      </c>
      <c r="AA90" s="331">
        <v>0</v>
      </c>
      <c r="AB90" s="331">
        <v>0</v>
      </c>
      <c r="AE90" s="77"/>
      <c r="AF90" s="853" t="s">
        <v>273</v>
      </c>
      <c r="AG90" s="77"/>
      <c r="AH90" s="77"/>
      <c r="AI90" s="77"/>
      <c r="AJ90" s="77"/>
      <c r="AK90" s="77"/>
      <c r="AL90" s="77"/>
      <c r="AO90" s="24" t="str">
        <f t="shared" si="13"/>
        <v>N/A</v>
      </c>
      <c r="AP90" s="24" t="str">
        <f t="shared" si="14"/>
        <v>N/A</v>
      </c>
      <c r="AQ90" s="24" t="str">
        <f t="shared" si="15"/>
        <v>N/A</v>
      </c>
      <c r="AR90" s="24"/>
      <c r="AS90" s="24"/>
      <c r="AT90" s="24"/>
      <c r="AV90" s="430"/>
    </row>
    <row r="91" spans="1:48" x14ac:dyDescent="0.25">
      <c r="A91" s="398">
        <v>83</v>
      </c>
      <c r="B91" s="322" t="s">
        <v>234</v>
      </c>
      <c r="C91" s="434" t="str">
        <f>Inn_01</f>
        <v>Inn 01 - Man 05 Aftercare</v>
      </c>
      <c r="D91" s="147">
        <f>Inn01_credits</f>
        <v>1</v>
      </c>
      <c r="E91" s="45"/>
      <c r="F91" s="148">
        <f>Inn01_cont</f>
        <v>0</v>
      </c>
      <c r="G91" s="156" t="str">
        <f>Inn01_minstd</f>
        <v>N/A</v>
      </c>
      <c r="H91" s="88"/>
      <c r="I91" s="339"/>
      <c r="J91" s="341"/>
      <c r="K91" s="412"/>
      <c r="L91" s="48"/>
      <c r="M91" s="89"/>
      <c r="N91" s="88"/>
      <c r="O91" s="512"/>
      <c r="P91" s="341"/>
      <c r="Q91" s="411"/>
      <c r="R91" s="91"/>
      <c r="S91" s="89"/>
      <c r="T91" s="88"/>
      <c r="U91" s="512"/>
      <c r="V91" s="341"/>
      <c r="W91" s="162"/>
      <c r="X91" s="819" t="s">
        <v>15</v>
      </c>
      <c r="Y91" s="122">
        <f t="shared" si="12"/>
        <v>1</v>
      </c>
      <c r="Z91" s="3" t="e">
        <f>VLOOKUP(I91,'Assessment Details'!$L$45:$M$48,2,FALSE)</f>
        <v>#N/A</v>
      </c>
      <c r="AA91" s="3" t="e">
        <f>VLOOKUP(N91,'Assessment Details'!$L$45:$M$48,2,FALSE)</f>
        <v>#N/A</v>
      </c>
      <c r="AB91" s="3" t="e">
        <f>VLOOKUP(T91,'Assessment Details'!$L$45:$M$48,2,FALSE)</f>
        <v>#N/A</v>
      </c>
      <c r="AE91" s="77"/>
      <c r="AF91" s="853" t="s">
        <v>406</v>
      </c>
      <c r="AG91" s="77"/>
      <c r="AH91" s="77"/>
      <c r="AI91" s="77"/>
      <c r="AJ91" s="77"/>
      <c r="AK91" s="77"/>
      <c r="AL91" s="77"/>
      <c r="AO91" s="24" t="str">
        <f t="shared" si="13"/>
        <v>N/A</v>
      </c>
      <c r="AP91" s="24" t="str">
        <f t="shared" si="14"/>
        <v>N/A</v>
      </c>
      <c r="AQ91" s="24" t="str">
        <f t="shared" si="15"/>
        <v>N/A</v>
      </c>
      <c r="AR91" s="24"/>
      <c r="AS91" s="24"/>
      <c r="AT91" s="24"/>
      <c r="AV91" s="819"/>
    </row>
    <row r="92" spans="1:48" x14ac:dyDescent="0.25">
      <c r="A92" s="398">
        <v>84</v>
      </c>
      <c r="B92" s="322" t="s">
        <v>234</v>
      </c>
      <c r="C92" s="434" t="str">
        <f>Inn_02</f>
        <v>Inn 02 - Hea 02 Indoor air quality</v>
      </c>
      <c r="D92" s="147">
        <f>Inn02_credits</f>
        <v>1</v>
      </c>
      <c r="E92" s="45"/>
      <c r="F92" s="148">
        <f>Inn02_cont</f>
        <v>0</v>
      </c>
      <c r="G92" s="156" t="str">
        <f>Inn02_minstd</f>
        <v>N/A</v>
      </c>
      <c r="H92" s="88"/>
      <c r="I92" s="339"/>
      <c r="J92" s="341"/>
      <c r="K92" s="412"/>
      <c r="L92" s="48"/>
      <c r="M92" s="89"/>
      <c r="N92" s="88"/>
      <c r="O92" s="512"/>
      <c r="P92" s="341"/>
      <c r="Q92" s="411"/>
      <c r="R92" s="91"/>
      <c r="S92" s="89"/>
      <c r="T92" s="88"/>
      <c r="U92" s="512"/>
      <c r="V92" s="341"/>
      <c r="W92" s="162"/>
      <c r="X92" s="819" t="s">
        <v>15</v>
      </c>
      <c r="Y92" s="122">
        <f t="shared" si="12"/>
        <v>1</v>
      </c>
      <c r="Z92" s="3" t="e">
        <f>VLOOKUP(I92,'Assessment Details'!$L$45:$M$48,2,FALSE)</f>
        <v>#N/A</v>
      </c>
      <c r="AA92" s="3" t="e">
        <f>VLOOKUP(N92,'Assessment Details'!$L$45:$M$48,2,FALSE)</f>
        <v>#N/A</v>
      </c>
      <c r="AB92" s="3" t="e">
        <f>VLOOKUP(T92,'Assessment Details'!$L$45:$M$48,2,FALSE)</f>
        <v>#N/A</v>
      </c>
      <c r="AE92" s="77"/>
      <c r="AF92" s="853" t="s">
        <v>407</v>
      </c>
      <c r="AG92" s="77"/>
      <c r="AH92" s="77"/>
      <c r="AI92" s="77"/>
      <c r="AJ92" s="77"/>
      <c r="AK92" s="77"/>
      <c r="AL92" s="77"/>
      <c r="AO92" s="24" t="str">
        <f t="shared" si="13"/>
        <v>N/A</v>
      </c>
      <c r="AP92" s="24" t="str">
        <f t="shared" si="14"/>
        <v>N/A</v>
      </c>
      <c r="AQ92" s="24" t="str">
        <f t="shared" si="15"/>
        <v>N/A</v>
      </c>
      <c r="AR92" s="24"/>
      <c r="AS92" s="24"/>
      <c r="AT92" s="24"/>
      <c r="AV92" s="819"/>
    </row>
    <row r="93" spans="1:48" x14ac:dyDescent="0.25">
      <c r="A93" s="398">
        <v>85</v>
      </c>
      <c r="B93" s="322" t="s">
        <v>234</v>
      </c>
      <c r="C93" s="434" t="str">
        <f>Inn_03</f>
        <v>Inn 03 - Tra 03 Alternative modes of transport</v>
      </c>
      <c r="D93" s="147">
        <f>Inn03_credits</f>
        <v>1</v>
      </c>
      <c r="E93" s="45"/>
      <c r="F93" s="148">
        <f>Inn03_cont</f>
        <v>0</v>
      </c>
      <c r="G93" s="156" t="str">
        <f>Inn03_minstd</f>
        <v>N/A</v>
      </c>
      <c r="H93" s="88"/>
      <c r="I93" s="339"/>
      <c r="J93" s="341"/>
      <c r="K93" s="412"/>
      <c r="L93" s="48"/>
      <c r="M93" s="89"/>
      <c r="N93" s="88"/>
      <c r="O93" s="512"/>
      <c r="P93" s="341"/>
      <c r="Q93" s="411"/>
      <c r="R93" s="91"/>
      <c r="S93" s="89"/>
      <c r="T93" s="88"/>
      <c r="U93" s="512"/>
      <c r="V93" s="341"/>
      <c r="W93" s="162"/>
      <c r="X93" s="819" t="s">
        <v>15</v>
      </c>
      <c r="Y93" s="122">
        <f t="shared" si="12"/>
        <v>1</v>
      </c>
      <c r="Z93" s="3" t="e">
        <f>VLOOKUP(I93,'Assessment Details'!$L$45:$M$48,2,FALSE)</f>
        <v>#N/A</v>
      </c>
      <c r="AA93" s="3" t="e">
        <f>VLOOKUP(N93,'Assessment Details'!$L$45:$M$48,2,FALSE)</f>
        <v>#N/A</v>
      </c>
      <c r="AB93" s="3" t="e">
        <f>VLOOKUP(T93,'Assessment Details'!$L$45:$M$48,2,FALSE)</f>
        <v>#N/A</v>
      </c>
      <c r="AE93" s="77"/>
      <c r="AF93" s="853" t="s">
        <v>408</v>
      </c>
      <c r="AG93" s="77"/>
      <c r="AH93" s="77"/>
      <c r="AI93" s="77"/>
      <c r="AJ93" s="77"/>
      <c r="AK93" s="77"/>
      <c r="AL93" s="77"/>
      <c r="AO93" s="24" t="str">
        <f t="shared" si="13"/>
        <v>N/A</v>
      </c>
      <c r="AP93" s="24" t="str">
        <f t="shared" si="14"/>
        <v>N/A</v>
      </c>
      <c r="AQ93" s="24" t="str">
        <f t="shared" si="15"/>
        <v>N/A</v>
      </c>
      <c r="AR93" s="24"/>
      <c r="AS93" s="24"/>
      <c r="AT93" s="24"/>
      <c r="AV93" s="819"/>
    </row>
    <row r="94" spans="1:48" x14ac:dyDescent="0.25">
      <c r="A94" s="398">
        <v>86</v>
      </c>
      <c r="B94" s="322" t="s">
        <v>234</v>
      </c>
      <c r="C94" s="434" t="str">
        <f>Inn_04</f>
        <v>Inn 04 - Wat 01 Water consumption</v>
      </c>
      <c r="D94" s="147">
        <f>Inn04_credits</f>
        <v>1</v>
      </c>
      <c r="E94" s="45"/>
      <c r="F94" s="148">
        <f>Inn04_cont</f>
        <v>0</v>
      </c>
      <c r="G94" s="156" t="str">
        <f>Inn04_minstd</f>
        <v>N/A</v>
      </c>
      <c r="H94" s="88"/>
      <c r="I94" s="339"/>
      <c r="J94" s="341"/>
      <c r="K94" s="412"/>
      <c r="L94" s="48"/>
      <c r="M94" s="89"/>
      <c r="N94" s="88"/>
      <c r="O94" s="512"/>
      <c r="P94" s="341"/>
      <c r="Q94" s="411"/>
      <c r="R94" s="91"/>
      <c r="S94" s="89"/>
      <c r="T94" s="88"/>
      <c r="U94" s="512"/>
      <c r="V94" s="341"/>
      <c r="W94" s="162"/>
      <c r="X94" s="819" t="s">
        <v>15</v>
      </c>
      <c r="Y94" s="122">
        <f t="shared" si="12"/>
        <v>1</v>
      </c>
      <c r="Z94" s="3" t="e">
        <f>VLOOKUP(I94,'Assessment Details'!$L$45:$M$48,2,FALSE)</f>
        <v>#N/A</v>
      </c>
      <c r="AA94" s="3" t="e">
        <f>VLOOKUP(N94,'Assessment Details'!$L$45:$M$48,2,FALSE)</f>
        <v>#N/A</v>
      </c>
      <c r="AB94" s="3" t="e">
        <f>VLOOKUP(T94,'Assessment Details'!$L$45:$M$48,2,FALSE)</f>
        <v>#N/A</v>
      </c>
      <c r="AE94" s="77"/>
      <c r="AF94" s="853" t="s">
        <v>409</v>
      </c>
      <c r="AG94" s="77"/>
      <c r="AH94" s="77"/>
      <c r="AI94" s="77"/>
      <c r="AJ94" s="77"/>
      <c r="AK94" s="77"/>
      <c r="AL94" s="77"/>
      <c r="AO94" s="24" t="str">
        <f t="shared" si="13"/>
        <v>N/A</v>
      </c>
      <c r="AP94" s="24" t="str">
        <f t="shared" si="14"/>
        <v>N/A</v>
      </c>
      <c r="AQ94" s="24" t="str">
        <f t="shared" si="15"/>
        <v>N/A</v>
      </c>
      <c r="AR94" s="24"/>
      <c r="AS94" s="24"/>
      <c r="AT94" s="24"/>
      <c r="AV94" s="819"/>
    </row>
    <row r="95" spans="1:48" x14ac:dyDescent="0.25">
      <c r="A95" s="398">
        <v>87</v>
      </c>
      <c r="B95" s="322" t="s">
        <v>234</v>
      </c>
      <c r="C95" s="434" t="str">
        <f>Inn_05</f>
        <v>Inn 05 - Mat 01 Life cycle impacts</v>
      </c>
      <c r="D95" s="147">
        <f>Inn05_credits</f>
        <v>2</v>
      </c>
      <c r="E95" s="45"/>
      <c r="F95" s="148">
        <f>Inn05_cont</f>
        <v>0</v>
      </c>
      <c r="G95" s="156" t="str">
        <f>Inn05_minstd</f>
        <v>N/A</v>
      </c>
      <c r="H95" s="88"/>
      <c r="I95" s="339"/>
      <c r="J95" s="341"/>
      <c r="K95" s="412"/>
      <c r="L95" s="48"/>
      <c r="M95" s="89"/>
      <c r="N95" s="88"/>
      <c r="O95" s="512"/>
      <c r="P95" s="341"/>
      <c r="Q95" s="411"/>
      <c r="R95" s="91"/>
      <c r="S95" s="89"/>
      <c r="T95" s="88"/>
      <c r="U95" s="512"/>
      <c r="V95" s="341"/>
      <c r="W95" s="162"/>
      <c r="X95" s="819" t="s">
        <v>15</v>
      </c>
      <c r="Y95" s="122">
        <f t="shared" si="12"/>
        <v>1</v>
      </c>
      <c r="Z95" s="1" t="e">
        <f>VLOOKUP(I95,'Assessment Details'!$L$45:$M$48,2,FALSE)</f>
        <v>#N/A</v>
      </c>
      <c r="AA95" s="1" t="e">
        <f>VLOOKUP(N95,'Assessment Details'!$L$45:$M$48,2,FALSE)</f>
        <v>#N/A</v>
      </c>
      <c r="AB95" s="1" t="e">
        <f>VLOOKUP(T95,'Assessment Details'!$L$45:$M$48,2,FALSE)</f>
        <v>#N/A</v>
      </c>
      <c r="AE95" s="77"/>
      <c r="AF95" s="853" t="s">
        <v>267</v>
      </c>
      <c r="AG95" s="77"/>
      <c r="AH95" s="77"/>
      <c r="AI95" s="77"/>
      <c r="AJ95" s="77"/>
      <c r="AK95" s="77"/>
      <c r="AL95" s="77"/>
      <c r="AO95" s="24" t="str">
        <f t="shared" si="13"/>
        <v>N/A</v>
      </c>
      <c r="AP95" s="24" t="str">
        <f t="shared" si="14"/>
        <v>N/A</v>
      </c>
      <c r="AQ95" s="24" t="str">
        <f t="shared" si="15"/>
        <v>N/A</v>
      </c>
      <c r="AR95" s="24"/>
      <c r="AS95" s="24"/>
      <c r="AT95" s="24"/>
      <c r="AV95" s="819"/>
    </row>
    <row r="96" spans="1:48" ht="30" x14ac:dyDescent="0.25">
      <c r="A96" s="398">
        <v>88</v>
      </c>
      <c r="B96" s="322" t="s">
        <v>234</v>
      </c>
      <c r="C96" s="434" t="str">
        <f>Inn_06</f>
        <v>Inn 06 - Mat 03 Responsible sourcing of materials</v>
      </c>
      <c r="D96" s="147">
        <f>Inn06_credits</f>
        <v>1</v>
      </c>
      <c r="E96" s="45"/>
      <c r="F96" s="148">
        <f>Inn06_cont</f>
        <v>0</v>
      </c>
      <c r="G96" s="156" t="str">
        <f>Inn06_minstd</f>
        <v>N/A</v>
      </c>
      <c r="H96" s="88"/>
      <c r="I96" s="339"/>
      <c r="J96" s="341"/>
      <c r="K96" s="412"/>
      <c r="L96" s="48"/>
      <c r="M96" s="89"/>
      <c r="N96" s="88"/>
      <c r="O96" s="512"/>
      <c r="P96" s="341"/>
      <c r="Q96" s="411"/>
      <c r="R96" s="91"/>
      <c r="S96" s="89"/>
      <c r="T96" s="88"/>
      <c r="U96" s="512"/>
      <c r="V96" s="341"/>
      <c r="W96" s="162"/>
      <c r="X96" s="819" t="s">
        <v>15</v>
      </c>
      <c r="Y96" s="122">
        <f t="shared" si="12"/>
        <v>1</v>
      </c>
      <c r="Z96" s="3" t="e">
        <f>VLOOKUP(I96,'Assessment Details'!$L$45:$M$48,2,FALSE)</f>
        <v>#N/A</v>
      </c>
      <c r="AA96" s="3" t="e">
        <f>VLOOKUP(N96,'Assessment Details'!$L$45:$M$48,2,FALSE)</f>
        <v>#N/A</v>
      </c>
      <c r="AB96" s="3" t="e">
        <f>VLOOKUP(T96,'Assessment Details'!$L$45:$M$48,2,FALSE)</f>
        <v>#N/A</v>
      </c>
      <c r="AE96" s="77"/>
      <c r="AF96" s="853" t="s">
        <v>268</v>
      </c>
      <c r="AG96" s="77"/>
      <c r="AH96" s="77"/>
      <c r="AI96" s="77"/>
      <c r="AJ96" s="77"/>
      <c r="AK96" s="77"/>
      <c r="AL96" s="77"/>
      <c r="AO96" s="24" t="str">
        <f t="shared" si="13"/>
        <v>N/A</v>
      </c>
      <c r="AP96" s="24" t="str">
        <f t="shared" si="14"/>
        <v>N/A</v>
      </c>
      <c r="AQ96" s="24" t="str">
        <f t="shared" si="15"/>
        <v>N/A</v>
      </c>
      <c r="AR96" s="24"/>
      <c r="AS96" s="24"/>
      <c r="AT96" s="24"/>
      <c r="AV96" s="819"/>
    </row>
    <row r="97" spans="1:48" x14ac:dyDescent="0.25">
      <c r="A97" s="398">
        <v>89</v>
      </c>
      <c r="B97" s="322" t="s">
        <v>234</v>
      </c>
      <c r="C97" s="434" t="str">
        <f>Inn_07</f>
        <v>Inn 07 - Wst 01 Construction site waste man.</v>
      </c>
      <c r="D97" s="147">
        <f>Inn07_credits</f>
        <v>1</v>
      </c>
      <c r="E97" s="45"/>
      <c r="F97" s="148">
        <f>Inn07_cont</f>
        <v>0</v>
      </c>
      <c r="G97" s="156" t="str">
        <f>Inn07_minstd</f>
        <v>N/A</v>
      </c>
      <c r="H97" s="88"/>
      <c r="I97" s="339"/>
      <c r="J97" s="341"/>
      <c r="K97" s="412"/>
      <c r="L97" s="48"/>
      <c r="M97" s="89"/>
      <c r="N97" s="88"/>
      <c r="O97" s="512"/>
      <c r="P97" s="341"/>
      <c r="Q97" s="411"/>
      <c r="R97" s="91"/>
      <c r="S97" s="89"/>
      <c r="T97" s="88"/>
      <c r="U97" s="512"/>
      <c r="V97" s="341"/>
      <c r="W97" s="162"/>
      <c r="X97" s="819" t="s">
        <v>15</v>
      </c>
      <c r="Y97" s="122">
        <f t="shared" si="12"/>
        <v>1</v>
      </c>
      <c r="Z97" s="3" t="e">
        <f>VLOOKUP(I97,'Assessment Details'!$L$45:$M$48,2,FALSE)</f>
        <v>#N/A</v>
      </c>
      <c r="AA97" s="3" t="e">
        <f>VLOOKUP(N97,'Assessment Details'!$L$45:$M$48,2,FALSE)</f>
        <v>#N/A</v>
      </c>
      <c r="AB97" s="3" t="e">
        <f>VLOOKUP(T97,'Assessment Details'!$L$45:$M$48,2,FALSE)</f>
        <v>#N/A</v>
      </c>
      <c r="AE97" s="77"/>
      <c r="AF97" s="853" t="s">
        <v>410</v>
      </c>
      <c r="AG97" s="77"/>
      <c r="AH97" s="77"/>
      <c r="AI97" s="77"/>
      <c r="AJ97" s="77"/>
      <c r="AK97" s="77"/>
      <c r="AL97" s="77"/>
      <c r="AO97" s="24" t="str">
        <f t="shared" si="13"/>
        <v>N/A</v>
      </c>
      <c r="AP97" s="24" t="str">
        <f t="shared" si="14"/>
        <v>N/A</v>
      </c>
      <c r="AQ97" s="24" t="str">
        <f t="shared" si="15"/>
        <v>N/A</v>
      </c>
      <c r="AR97" s="24"/>
      <c r="AS97" s="24"/>
      <c r="AT97" s="24"/>
      <c r="AV97" s="819"/>
    </row>
    <row r="98" spans="1:48" x14ac:dyDescent="0.25">
      <c r="A98" s="398">
        <v>90</v>
      </c>
      <c r="B98" s="322" t="s">
        <v>234</v>
      </c>
      <c r="C98" s="434" t="str">
        <f>Inn_08</f>
        <v>Inn 08 - Wst 02 Recycled aggregates</v>
      </c>
      <c r="D98" s="147">
        <f>Inn08_credits</f>
        <v>1</v>
      </c>
      <c r="E98" s="45"/>
      <c r="F98" s="148">
        <f>Inn08_cont</f>
        <v>0</v>
      </c>
      <c r="G98" s="156" t="str">
        <f>Inn08_minstd</f>
        <v>N/A</v>
      </c>
      <c r="H98" s="88"/>
      <c r="I98" s="339"/>
      <c r="J98" s="341"/>
      <c r="K98" s="412"/>
      <c r="L98" s="48"/>
      <c r="M98" s="89"/>
      <c r="N98" s="88"/>
      <c r="O98" s="512"/>
      <c r="P98" s="341"/>
      <c r="Q98" s="411"/>
      <c r="R98" s="91"/>
      <c r="S98" s="89"/>
      <c r="T98" s="88"/>
      <c r="U98" s="512"/>
      <c r="V98" s="341"/>
      <c r="W98" s="162"/>
      <c r="X98" s="819" t="s">
        <v>15</v>
      </c>
      <c r="Y98" s="122">
        <f t="shared" si="12"/>
        <v>1</v>
      </c>
      <c r="Z98" s="1" t="e">
        <f>VLOOKUP(I98,'Assessment Details'!$L$45:$M$48,2,FALSE)</f>
        <v>#N/A</v>
      </c>
      <c r="AA98" s="1" t="e">
        <f>VLOOKUP(N98,'Assessment Details'!$L$45:$M$48,2,FALSE)</f>
        <v>#N/A</v>
      </c>
      <c r="AB98" s="1" t="e">
        <f>VLOOKUP(T98,'Assessment Details'!$L$45:$M$48,2,FALSE)</f>
        <v>#N/A</v>
      </c>
      <c r="AE98" s="77"/>
      <c r="AF98" s="853" t="s">
        <v>522</v>
      </c>
      <c r="AG98" s="77"/>
      <c r="AH98" s="77"/>
      <c r="AI98" s="77"/>
      <c r="AJ98" s="77"/>
      <c r="AK98" s="77"/>
      <c r="AL98" s="77"/>
      <c r="AO98" s="24" t="str">
        <f t="shared" si="13"/>
        <v>N/A</v>
      </c>
      <c r="AP98" s="24" t="str">
        <f t="shared" si="14"/>
        <v>N/A</v>
      </c>
      <c r="AQ98" s="24" t="str">
        <f t="shared" si="15"/>
        <v>N/A</v>
      </c>
      <c r="AR98" s="24"/>
      <c r="AS98" s="24"/>
      <c r="AT98" s="24"/>
      <c r="AV98" s="819"/>
    </row>
    <row r="99" spans="1:48" x14ac:dyDescent="0.25">
      <c r="A99" s="398">
        <v>91</v>
      </c>
      <c r="B99" s="322" t="s">
        <v>234</v>
      </c>
      <c r="C99" s="409" t="str">
        <f>Inn_09</f>
        <v xml:space="preserve">Inn 09 - Approved innovation credits </v>
      </c>
      <c r="D99" s="147">
        <f>Inn09_credits</f>
        <v>10</v>
      </c>
      <c r="E99" s="45"/>
      <c r="F99" s="148">
        <f>Inn09_cont</f>
        <v>0</v>
      </c>
      <c r="G99" s="156" t="str">
        <f>Inn09_minstd</f>
        <v>N/A</v>
      </c>
      <c r="H99" s="88"/>
      <c r="I99" s="339"/>
      <c r="J99" s="341"/>
      <c r="K99" s="412"/>
      <c r="L99" s="48"/>
      <c r="M99" s="89"/>
      <c r="N99" s="88"/>
      <c r="O99" s="512"/>
      <c r="P99" s="341"/>
      <c r="Q99" s="411"/>
      <c r="R99" s="91"/>
      <c r="S99" s="89"/>
      <c r="T99" s="88"/>
      <c r="U99" s="512"/>
      <c r="V99" s="341"/>
      <c r="W99" s="162"/>
      <c r="X99" s="819" t="s">
        <v>15</v>
      </c>
      <c r="Y99" s="122">
        <f t="shared" si="12"/>
        <v>1</v>
      </c>
      <c r="Z99" s="1" t="e">
        <f>VLOOKUP(I99,'Assessment Details'!$L$45:$M$48,2,FALSE)</f>
        <v>#N/A</v>
      </c>
      <c r="AA99" s="1" t="e">
        <f>VLOOKUP(N99,'Assessment Details'!$L$45:$M$48,2,FALSE)</f>
        <v>#N/A</v>
      </c>
      <c r="AB99" s="1" t="e">
        <f>VLOOKUP(T99,'Assessment Details'!$L$45:$M$48,2,FALSE)</f>
        <v>#N/A</v>
      </c>
      <c r="AE99" s="77"/>
      <c r="AF99" s="853" t="s">
        <v>412</v>
      </c>
      <c r="AG99" s="77"/>
      <c r="AH99" s="77"/>
      <c r="AI99" s="77"/>
      <c r="AJ99" s="77"/>
      <c r="AK99" s="77"/>
      <c r="AL99" s="77"/>
      <c r="AO99" s="24" t="str">
        <f t="shared" si="13"/>
        <v>N/A</v>
      </c>
      <c r="AP99" s="24" t="str">
        <f t="shared" si="14"/>
        <v>N/A</v>
      </c>
      <c r="AQ99" s="24" t="str">
        <f t="shared" si="15"/>
        <v>N/A</v>
      </c>
      <c r="AR99" s="24"/>
      <c r="AS99" s="24"/>
      <c r="AT99" s="24"/>
      <c r="AV99" s="819"/>
    </row>
    <row r="100" spans="1:48" ht="30.75" thickBot="1" x14ac:dyDescent="0.3">
      <c r="A100" s="398">
        <v>92</v>
      </c>
      <c r="B100" s="322" t="s">
        <v>234</v>
      </c>
      <c r="C100" s="435" t="s">
        <v>88</v>
      </c>
      <c r="D100" s="151">
        <f>Inn_Credits</f>
        <v>10</v>
      </c>
      <c r="E100" s="160"/>
      <c r="F100" s="152">
        <f>Inn_cont_tot</f>
        <v>0</v>
      </c>
      <c r="G100" s="153" t="str">
        <f>"Credits achieved: "&amp;Inn_tot_user</f>
        <v>Credits achieved: 0</v>
      </c>
      <c r="H100" s="163"/>
      <c r="I100" s="340"/>
      <c r="J100" s="342"/>
      <c r="K100" s="412"/>
      <c r="L100" s="515"/>
      <c r="M100" s="510"/>
      <c r="N100" s="165"/>
      <c r="O100" s="165"/>
      <c r="P100" s="166"/>
      <c r="Q100" s="411"/>
      <c r="R100" s="516"/>
      <c r="S100" s="510"/>
      <c r="T100" s="165"/>
      <c r="U100" s="165"/>
      <c r="V100" s="166"/>
      <c r="W100" s="162"/>
      <c r="X100" s="820"/>
      <c r="Y100" s="122">
        <f t="shared" si="12"/>
        <v>1</v>
      </c>
      <c r="Z100" s="333">
        <v>0</v>
      </c>
      <c r="AA100" s="333">
        <v>0</v>
      </c>
      <c r="AB100" s="333">
        <v>0</v>
      </c>
      <c r="AE100" s="77"/>
      <c r="AF100" s="853" t="s">
        <v>88</v>
      </c>
      <c r="AG100" s="77"/>
      <c r="AH100" s="77"/>
      <c r="AI100" s="77"/>
      <c r="AJ100" s="77"/>
      <c r="AK100" s="77"/>
      <c r="AL100" s="77"/>
      <c r="AO100" s="24" t="str">
        <f t="shared" si="13"/>
        <v>N/A</v>
      </c>
      <c r="AP100" s="24" t="str">
        <f t="shared" si="14"/>
        <v>N/A</v>
      </c>
      <c r="AQ100" s="24" t="str">
        <f t="shared" si="15"/>
        <v>N/A</v>
      </c>
      <c r="AR100" s="24"/>
      <c r="AS100" s="24"/>
      <c r="AT100" s="24"/>
      <c r="AV100" s="820"/>
    </row>
    <row r="101" spans="1:48" x14ac:dyDescent="0.25">
      <c r="A101" s="43"/>
      <c r="B101" s="322" t="s">
        <v>234</v>
      </c>
      <c r="C101" s="49"/>
      <c r="D101" s="3"/>
      <c r="E101" s="3"/>
      <c r="F101" s="3"/>
      <c r="G101" s="3"/>
      <c r="H101" s="49"/>
      <c r="I101" s="3"/>
      <c r="J101" s="336"/>
      <c r="K101" s="332"/>
      <c r="L101" s="3"/>
      <c r="M101" s="337"/>
      <c r="N101" s="336"/>
      <c r="O101" s="336"/>
      <c r="P101" s="336"/>
      <c r="Q101" s="334"/>
      <c r="R101" s="336"/>
      <c r="S101" s="337"/>
      <c r="T101" s="336"/>
      <c r="U101" s="336"/>
      <c r="V101" s="336"/>
      <c r="W101" s="334"/>
      <c r="X101" s="334"/>
      <c r="Y101" s="122"/>
      <c r="Z101" s="335"/>
      <c r="AA101" s="335"/>
      <c r="AB101" s="335"/>
      <c r="AF101" s="3"/>
    </row>
    <row r="102" spans="1:48" x14ac:dyDescent="0.25">
      <c r="A102" s="43"/>
      <c r="B102" s="46"/>
      <c r="C102" s="32"/>
      <c r="J102" s="8"/>
      <c r="K102" s="122"/>
      <c r="L102" s="1"/>
      <c r="M102" s="8"/>
      <c r="N102" s="8"/>
      <c r="O102" s="8"/>
      <c r="P102" s="324"/>
      <c r="Q102" s="323"/>
      <c r="R102" s="8"/>
      <c r="S102" s="8"/>
      <c r="T102" s="8"/>
      <c r="U102" s="8"/>
      <c r="V102" s="324"/>
      <c r="W102" s="323"/>
      <c r="X102" s="323"/>
      <c r="Y102" s="122"/>
      <c r="Z102" s="1"/>
      <c r="AA102" s="1"/>
      <c r="AB102" s="1"/>
      <c r="AF102" s="3"/>
    </row>
    <row r="103" spans="1:48" x14ac:dyDescent="0.25">
      <c r="A103" s="46"/>
      <c r="B103" s="46"/>
      <c r="C103" s="348"/>
      <c r="D103" s="18"/>
      <c r="J103" s="8"/>
      <c r="K103" s="122"/>
      <c r="L103" s="1"/>
      <c r="M103" s="8"/>
      <c r="N103" s="8"/>
      <c r="O103" s="8"/>
      <c r="P103" s="325"/>
      <c r="Q103" s="323"/>
      <c r="R103" s="8"/>
      <c r="S103" s="8"/>
      <c r="T103" s="8"/>
      <c r="U103" s="8"/>
      <c r="V103" s="325"/>
      <c r="W103" s="323"/>
      <c r="X103" s="323"/>
      <c r="Y103" s="122"/>
      <c r="Z103" s="1"/>
      <c r="AA103" s="1"/>
      <c r="AB103" s="1"/>
      <c r="AF103" s="3"/>
    </row>
    <row r="104" spans="1:48" x14ac:dyDescent="0.25">
      <c r="A104" s="68"/>
      <c r="B104" s="68"/>
      <c r="C104" s="32"/>
      <c r="D104" s="27"/>
      <c r="J104" s="8"/>
      <c r="K104" s="122"/>
      <c r="L104" s="1"/>
      <c r="M104" s="8"/>
      <c r="N104" s="8"/>
      <c r="O104" s="8"/>
      <c r="P104" s="324"/>
      <c r="Q104" s="323"/>
      <c r="R104" s="8"/>
      <c r="S104" s="8"/>
      <c r="T104" s="8"/>
      <c r="U104" s="8"/>
      <c r="V104" s="324"/>
      <c r="W104" s="323"/>
      <c r="X104" s="323"/>
      <c r="Y104" s="122"/>
      <c r="Z104" s="1"/>
      <c r="AA104" s="1"/>
      <c r="AB104" s="1"/>
      <c r="AF104" s="3"/>
    </row>
    <row r="105" spans="1:48" x14ac:dyDescent="0.25">
      <c r="A105" s="68"/>
      <c r="B105" s="68"/>
      <c r="C105" s="33"/>
      <c r="D105" s="18"/>
      <c r="J105" s="8"/>
      <c r="K105" s="122"/>
      <c r="L105" s="1"/>
      <c r="M105" s="8"/>
      <c r="N105" s="8"/>
      <c r="O105" s="8"/>
      <c r="P105" s="325"/>
      <c r="Q105" s="323"/>
      <c r="R105" s="8"/>
      <c r="S105" s="8"/>
      <c r="T105" s="8"/>
      <c r="U105" s="8"/>
      <c r="V105" s="325"/>
      <c r="W105" s="323"/>
      <c r="X105" s="323"/>
      <c r="Y105" s="122"/>
      <c r="Z105" s="1"/>
      <c r="AA105" s="1"/>
      <c r="AB105" s="1"/>
      <c r="AF105" s="3"/>
    </row>
    <row r="106" spans="1:48" x14ac:dyDescent="0.25">
      <c r="A106" s="68"/>
      <c r="B106" s="68"/>
      <c r="C106" s="32"/>
      <c r="D106" s="27"/>
      <c r="J106" s="8"/>
      <c r="K106" s="122"/>
      <c r="L106" s="1"/>
      <c r="M106" s="8"/>
      <c r="N106" s="8"/>
      <c r="O106" s="8"/>
      <c r="P106" s="324"/>
      <c r="Q106" s="323"/>
      <c r="R106" s="8"/>
      <c r="S106" s="8"/>
      <c r="T106" s="8"/>
      <c r="U106" s="8"/>
      <c r="V106" s="324"/>
      <c r="W106" s="323"/>
      <c r="X106" s="323"/>
      <c r="Y106" s="122"/>
      <c r="Z106" s="28"/>
      <c r="AA106" s="28"/>
      <c r="AB106" s="28"/>
      <c r="AC106" s="28"/>
      <c r="AD106" s="28"/>
      <c r="AE106" s="28"/>
      <c r="AF106" s="3"/>
      <c r="AU106" s="28"/>
      <c r="AV106" s="28"/>
    </row>
    <row r="107" spans="1:48" x14ac:dyDescent="0.25">
      <c r="J107" s="8"/>
      <c r="K107" s="122"/>
      <c r="L107" s="1"/>
      <c r="M107" s="8"/>
      <c r="N107" s="8"/>
      <c r="O107" s="8"/>
      <c r="P107" s="8"/>
      <c r="Q107" s="323"/>
      <c r="R107" s="8"/>
      <c r="S107" s="8"/>
      <c r="T107" s="8"/>
      <c r="U107" s="8"/>
      <c r="V107" s="8"/>
      <c r="W107" s="323"/>
      <c r="X107" s="323"/>
      <c r="Y107" s="122"/>
      <c r="Z107" s="1"/>
      <c r="AA107" s="1"/>
      <c r="AB107" s="1"/>
      <c r="AF107" s="28"/>
      <c r="AG107" s="28"/>
      <c r="AH107" s="28"/>
      <c r="AI107" s="28"/>
      <c r="AJ107" s="28"/>
      <c r="AK107" s="28"/>
      <c r="AL107" s="28"/>
      <c r="AO107" s="28"/>
      <c r="AP107" s="28"/>
      <c r="AQ107" s="28"/>
      <c r="AR107" s="28"/>
      <c r="AS107" s="28"/>
      <c r="AT107" s="28"/>
    </row>
    <row r="108" spans="1:48" x14ac:dyDescent="0.25">
      <c r="J108" s="8"/>
      <c r="K108" s="122"/>
      <c r="L108" s="1"/>
      <c r="M108" s="8"/>
      <c r="N108" s="8"/>
      <c r="O108" s="8"/>
      <c r="P108" s="8"/>
      <c r="Q108" s="323"/>
      <c r="R108" s="8"/>
      <c r="S108" s="8"/>
      <c r="T108" s="8"/>
      <c r="U108" s="8"/>
      <c r="V108" s="8"/>
      <c r="W108" s="323"/>
      <c r="X108" s="323"/>
      <c r="Y108" s="122"/>
      <c r="Z108" s="1"/>
      <c r="AA108" s="1"/>
      <c r="AB108" s="1"/>
      <c r="AF108" s="3"/>
    </row>
    <row r="109" spans="1:48" x14ac:dyDescent="0.25">
      <c r="J109" s="8"/>
      <c r="K109" s="122"/>
      <c r="L109" s="1"/>
      <c r="M109" s="8"/>
      <c r="N109" s="8"/>
      <c r="O109" s="8"/>
      <c r="P109" s="8"/>
      <c r="Q109" s="323"/>
      <c r="R109" s="8"/>
      <c r="S109" s="8"/>
      <c r="T109" s="8"/>
      <c r="U109" s="8"/>
      <c r="V109" s="8"/>
      <c r="W109" s="323"/>
      <c r="X109" s="323"/>
      <c r="Y109" s="122"/>
      <c r="Z109" s="1"/>
      <c r="AA109" s="1"/>
      <c r="AB109" s="1"/>
      <c r="AF109" s="3"/>
    </row>
    <row r="110" spans="1:48" x14ac:dyDescent="0.25">
      <c r="J110" s="8"/>
      <c r="K110" s="122"/>
      <c r="L110" s="1"/>
      <c r="M110" s="8"/>
      <c r="N110" s="8"/>
      <c r="O110" s="8"/>
      <c r="P110" s="8"/>
      <c r="Q110" s="323"/>
      <c r="R110" s="8"/>
      <c r="S110" s="8"/>
      <c r="T110" s="8"/>
      <c r="U110" s="8"/>
      <c r="V110" s="8"/>
      <c r="W110" s="323"/>
      <c r="X110" s="323"/>
      <c r="Y110" s="122"/>
      <c r="Z110" s="1"/>
      <c r="AA110" s="1"/>
      <c r="AB110" s="1"/>
      <c r="AF110" s="3"/>
    </row>
    <row r="111" spans="1:48" x14ac:dyDescent="0.25">
      <c r="J111" s="8"/>
      <c r="K111" s="122"/>
      <c r="L111" s="1"/>
      <c r="M111" s="8"/>
      <c r="N111" s="8"/>
      <c r="O111" s="8"/>
      <c r="P111" s="8"/>
      <c r="Q111" s="323"/>
      <c r="R111" s="8"/>
      <c r="S111" s="8"/>
      <c r="T111" s="8"/>
      <c r="U111" s="8"/>
      <c r="V111" s="8"/>
      <c r="W111" s="323"/>
      <c r="X111" s="323"/>
      <c r="Y111" s="122"/>
      <c r="Z111" s="1"/>
      <c r="AA111" s="1"/>
      <c r="AB111" s="1"/>
      <c r="AF111" s="3"/>
    </row>
    <row r="112" spans="1:48" x14ac:dyDescent="0.25">
      <c r="J112" s="8"/>
      <c r="K112" s="122"/>
      <c r="L112" s="1"/>
      <c r="M112" s="8"/>
      <c r="N112" s="8"/>
      <c r="O112" s="8"/>
      <c r="P112" s="8"/>
      <c r="Q112" s="323"/>
      <c r="R112" s="8"/>
      <c r="S112" s="8"/>
      <c r="T112" s="8"/>
      <c r="U112" s="8"/>
      <c r="V112" s="8"/>
      <c r="W112" s="323"/>
      <c r="X112" s="323"/>
      <c r="Y112" s="122"/>
      <c r="Z112" s="1"/>
      <c r="AA112" s="1"/>
      <c r="AB112" s="1"/>
      <c r="AF112" s="3"/>
    </row>
    <row r="113" spans="10:32" x14ac:dyDescent="0.25">
      <c r="J113" s="8"/>
      <c r="K113" s="122"/>
      <c r="L113" s="1"/>
      <c r="M113" s="8"/>
      <c r="N113" s="8"/>
      <c r="O113" s="8"/>
      <c r="P113" s="8"/>
      <c r="Q113" s="323"/>
      <c r="R113" s="8"/>
      <c r="S113" s="8"/>
      <c r="T113" s="8"/>
      <c r="U113" s="8"/>
      <c r="V113" s="8"/>
      <c r="W113" s="323"/>
      <c r="X113" s="323"/>
      <c r="Y113" s="122"/>
      <c r="Z113" s="1"/>
      <c r="AA113" s="1"/>
      <c r="AB113" s="1"/>
      <c r="AF113" s="3"/>
    </row>
    <row r="114" spans="10:32" x14ac:dyDescent="0.25">
      <c r="J114" s="8"/>
      <c r="K114" s="122"/>
      <c r="L114" s="1"/>
      <c r="M114" s="8"/>
      <c r="N114" s="8"/>
      <c r="O114" s="8"/>
      <c r="P114" s="8"/>
      <c r="Q114" s="323"/>
      <c r="R114" s="8"/>
      <c r="S114" s="8"/>
      <c r="T114" s="8"/>
      <c r="U114" s="8"/>
      <c r="V114" s="8"/>
      <c r="W114" s="323"/>
      <c r="X114" s="323"/>
      <c r="Y114" s="122"/>
      <c r="Z114" s="1"/>
      <c r="AA114" s="1"/>
      <c r="AB114" s="1"/>
      <c r="AF114" s="3"/>
    </row>
    <row r="115" spans="10:32" x14ac:dyDescent="0.25">
      <c r="J115" s="8"/>
      <c r="K115" s="122"/>
      <c r="L115" s="1"/>
      <c r="M115" s="8"/>
      <c r="N115" s="8"/>
      <c r="O115" s="8"/>
      <c r="P115" s="8"/>
      <c r="Q115" s="323"/>
      <c r="R115" s="8"/>
      <c r="S115" s="8"/>
      <c r="T115" s="8"/>
      <c r="U115" s="8"/>
      <c r="V115" s="8"/>
      <c r="W115" s="323"/>
      <c r="X115" s="323"/>
      <c r="Y115" s="122"/>
      <c r="Z115" s="1"/>
      <c r="AA115" s="1"/>
      <c r="AB115" s="1"/>
      <c r="AF115" s="3"/>
    </row>
    <row r="116" spans="10:32" x14ac:dyDescent="0.25">
      <c r="J116" s="8"/>
      <c r="K116" s="122"/>
      <c r="L116" s="1"/>
      <c r="M116" s="8"/>
      <c r="N116" s="8"/>
      <c r="O116" s="8"/>
      <c r="P116" s="8"/>
      <c r="Q116" s="323"/>
      <c r="R116" s="8"/>
      <c r="S116" s="8"/>
      <c r="T116" s="8"/>
      <c r="U116" s="8"/>
      <c r="V116" s="8"/>
      <c r="W116" s="323"/>
      <c r="X116" s="323"/>
      <c r="Y116" s="122"/>
      <c r="Z116" s="1"/>
      <c r="AA116" s="1"/>
      <c r="AB116" s="1"/>
      <c r="AF116" s="3"/>
    </row>
    <row r="117" spans="10:32" x14ac:dyDescent="0.25">
      <c r="J117" s="8"/>
      <c r="K117" s="122"/>
      <c r="L117" s="1"/>
      <c r="M117" s="8"/>
      <c r="N117" s="8"/>
      <c r="O117" s="8"/>
      <c r="P117" s="8"/>
      <c r="Q117" s="323"/>
      <c r="R117" s="8"/>
      <c r="S117" s="8"/>
      <c r="T117" s="8"/>
      <c r="U117" s="8"/>
      <c r="V117" s="8"/>
      <c r="W117" s="323"/>
      <c r="X117" s="323"/>
      <c r="Y117" s="122"/>
      <c r="Z117" s="1"/>
      <c r="AA117" s="1"/>
      <c r="AB117" s="1"/>
      <c r="AF117" s="3"/>
    </row>
    <row r="118" spans="10:32" x14ac:dyDescent="0.25">
      <c r="J118" s="8"/>
      <c r="K118" s="122"/>
      <c r="L118" s="1"/>
      <c r="M118" s="8"/>
      <c r="N118" s="8"/>
      <c r="O118" s="8"/>
      <c r="P118" s="8"/>
      <c r="Q118" s="323"/>
      <c r="R118" s="8"/>
      <c r="S118" s="8"/>
      <c r="T118" s="8"/>
      <c r="U118" s="8"/>
      <c r="V118" s="8"/>
      <c r="W118" s="323"/>
      <c r="X118" s="323"/>
      <c r="Y118" s="122"/>
      <c r="Z118" s="1"/>
      <c r="AA118" s="1"/>
      <c r="AB118" s="1"/>
      <c r="AF118" s="3"/>
    </row>
    <row r="119" spans="10:32" x14ac:dyDescent="0.25">
      <c r="J119" s="8"/>
      <c r="K119" s="122"/>
      <c r="L119" s="1"/>
      <c r="M119" s="8"/>
      <c r="N119" s="8"/>
      <c r="O119" s="8"/>
      <c r="P119" s="8"/>
      <c r="Q119" s="323"/>
      <c r="R119" s="8"/>
      <c r="S119" s="8"/>
      <c r="T119" s="8"/>
      <c r="U119" s="8"/>
      <c r="V119" s="8"/>
      <c r="W119" s="323"/>
      <c r="X119" s="323"/>
      <c r="Y119" s="122"/>
      <c r="Z119" s="1"/>
      <c r="AA119" s="1"/>
      <c r="AB119" s="1"/>
      <c r="AF119" s="3"/>
    </row>
    <row r="120" spans="10:32" x14ac:dyDescent="0.25">
      <c r="J120" s="8"/>
      <c r="K120" s="122"/>
      <c r="L120" s="1"/>
      <c r="M120" s="8"/>
      <c r="N120" s="8"/>
      <c r="O120" s="8"/>
      <c r="P120" s="8"/>
      <c r="Q120" s="323"/>
      <c r="R120" s="8"/>
      <c r="S120" s="8"/>
      <c r="T120" s="8"/>
      <c r="U120" s="8"/>
      <c r="V120" s="8"/>
      <c r="W120" s="323"/>
      <c r="X120" s="323"/>
      <c r="Y120" s="122"/>
      <c r="Z120" s="1"/>
      <c r="AA120" s="1"/>
      <c r="AB120" s="1"/>
      <c r="AF120" s="3"/>
    </row>
    <row r="121" spans="10:32" x14ac:dyDescent="0.25">
      <c r="J121" s="8"/>
      <c r="K121" s="122"/>
      <c r="L121" s="1"/>
      <c r="M121" s="8"/>
      <c r="N121" s="8"/>
      <c r="O121" s="8"/>
      <c r="P121" s="8"/>
      <c r="Q121" s="323"/>
      <c r="R121" s="8"/>
      <c r="S121" s="8"/>
      <c r="T121" s="8"/>
      <c r="U121" s="8"/>
      <c r="V121" s="8"/>
      <c r="W121" s="323"/>
      <c r="X121" s="323"/>
      <c r="Y121" s="122"/>
      <c r="Z121" s="1"/>
      <c r="AA121" s="1"/>
      <c r="AB121" s="1"/>
      <c r="AF121" s="3"/>
    </row>
    <row r="122" spans="10:32" x14ac:dyDescent="0.25">
      <c r="J122" s="8"/>
      <c r="K122" s="122"/>
      <c r="L122" s="1"/>
      <c r="M122" s="8"/>
      <c r="N122" s="8"/>
      <c r="O122" s="8"/>
      <c r="P122" s="8"/>
      <c r="Q122" s="323"/>
      <c r="R122" s="8"/>
      <c r="S122" s="8"/>
      <c r="T122" s="8"/>
      <c r="U122" s="8"/>
      <c r="V122" s="8"/>
      <c r="W122" s="323"/>
      <c r="X122" s="323"/>
      <c r="Y122" s="122"/>
      <c r="Z122" s="1"/>
      <c r="AA122" s="1"/>
      <c r="AB122" s="1"/>
      <c r="AF122" s="3"/>
    </row>
    <row r="123" spans="10:32" x14ac:dyDescent="0.25">
      <c r="J123" s="8"/>
      <c r="M123" s="312"/>
      <c r="N123" s="312"/>
      <c r="O123" s="312"/>
      <c r="P123" s="312"/>
      <c r="Q123" s="162"/>
      <c r="R123" s="312"/>
      <c r="S123" s="312"/>
      <c r="T123" s="312"/>
      <c r="U123" s="312"/>
      <c r="V123" s="312"/>
      <c r="W123" s="90"/>
      <c r="X123" s="90"/>
      <c r="AF123" s="3"/>
    </row>
    <row r="124" spans="10:32" x14ac:dyDescent="0.25">
      <c r="J124" s="8"/>
      <c r="M124" s="312"/>
      <c r="N124" s="312"/>
      <c r="O124" s="312"/>
      <c r="P124" s="312"/>
      <c r="Q124" s="162"/>
      <c r="R124" s="312"/>
      <c r="S124" s="312"/>
      <c r="T124" s="312"/>
      <c r="U124" s="312"/>
      <c r="V124" s="312"/>
      <c r="W124" s="90"/>
      <c r="X124" s="90"/>
      <c r="AF124" s="3"/>
    </row>
    <row r="125" spans="10:32" x14ac:dyDescent="0.25">
      <c r="J125" s="8"/>
      <c r="M125" s="312"/>
      <c r="N125" s="312"/>
      <c r="O125" s="312"/>
      <c r="P125" s="312"/>
      <c r="Q125" s="162"/>
      <c r="R125" s="312"/>
      <c r="S125" s="312"/>
      <c r="T125" s="312"/>
      <c r="U125" s="312"/>
      <c r="V125" s="312"/>
      <c r="W125" s="90"/>
      <c r="X125" s="90"/>
      <c r="AF125" s="3"/>
    </row>
    <row r="126" spans="10:32" x14ac:dyDescent="0.25">
      <c r="J126" s="8"/>
      <c r="M126" s="312"/>
      <c r="N126" s="312"/>
      <c r="O126" s="312"/>
      <c r="P126" s="312"/>
      <c r="Q126" s="162"/>
      <c r="R126" s="312"/>
      <c r="S126" s="312"/>
      <c r="T126" s="312"/>
      <c r="U126" s="312"/>
      <c r="V126" s="312"/>
      <c r="W126" s="90"/>
      <c r="X126" s="90"/>
      <c r="AF126" s="3"/>
    </row>
    <row r="127" spans="10:32" x14ac:dyDescent="0.25">
      <c r="AF127" s="3"/>
    </row>
    <row r="128" spans="10:32" x14ac:dyDescent="0.25">
      <c r="AF128" s="3"/>
    </row>
    <row r="129" spans="32:32" x14ac:dyDescent="0.25">
      <c r="AF129" s="3"/>
    </row>
    <row r="130" spans="32:32" x14ac:dyDescent="0.25">
      <c r="AF130" s="3"/>
    </row>
    <row r="131" spans="32:32" x14ac:dyDescent="0.25">
      <c r="AF131" s="3"/>
    </row>
    <row r="132" spans="32:32" x14ac:dyDescent="0.25">
      <c r="AF132" s="3"/>
    </row>
    <row r="133" spans="32:32" x14ac:dyDescent="0.25">
      <c r="AF133" s="3"/>
    </row>
    <row r="134" spans="32:32" x14ac:dyDescent="0.25">
      <c r="AF134" s="3"/>
    </row>
    <row r="135" spans="32:32" x14ac:dyDescent="0.25">
      <c r="AF135" s="3"/>
    </row>
    <row r="136" spans="32:32" x14ac:dyDescent="0.25">
      <c r="AF136" s="3"/>
    </row>
    <row r="137" spans="32:32" x14ac:dyDescent="0.25">
      <c r="AF137" s="3"/>
    </row>
    <row r="138" spans="32:32" x14ac:dyDescent="0.25">
      <c r="AF138" s="3"/>
    </row>
    <row r="139" spans="32:32" x14ac:dyDescent="0.25">
      <c r="AF139" s="3"/>
    </row>
    <row r="140" spans="32:32" x14ac:dyDescent="0.25">
      <c r="AF140" s="3"/>
    </row>
    <row r="141" spans="32:32" x14ac:dyDescent="0.25">
      <c r="AF141" s="3"/>
    </row>
    <row r="142" spans="32:32" x14ac:dyDescent="0.25">
      <c r="AF142" s="3"/>
    </row>
    <row r="143" spans="32:32" x14ac:dyDescent="0.25">
      <c r="AF143" s="3"/>
    </row>
    <row r="144" spans="32:32" x14ac:dyDescent="0.25">
      <c r="AF144" s="3"/>
    </row>
    <row r="145" spans="32:32" x14ac:dyDescent="0.25">
      <c r="AF145" s="3"/>
    </row>
    <row r="146" spans="32:32" x14ac:dyDescent="0.25">
      <c r="AF146" s="3"/>
    </row>
    <row r="147" spans="32:32" x14ac:dyDescent="0.25">
      <c r="AF147" s="3"/>
    </row>
    <row r="148" spans="32:32" x14ac:dyDescent="0.25">
      <c r="AF148" s="3"/>
    </row>
    <row r="149" spans="32:32" x14ac:dyDescent="0.25">
      <c r="AF149" s="3"/>
    </row>
    <row r="150" spans="32:32" x14ac:dyDescent="0.25">
      <c r="AF150" s="3"/>
    </row>
    <row r="151" spans="32:32" x14ac:dyDescent="0.25">
      <c r="AF151" s="3"/>
    </row>
    <row r="152" spans="32:32" x14ac:dyDescent="0.25">
      <c r="AF152" s="3"/>
    </row>
    <row r="153" spans="32:32" x14ac:dyDescent="0.25">
      <c r="AF153" s="3"/>
    </row>
    <row r="154" spans="32:32" x14ac:dyDescent="0.25">
      <c r="AF154" s="3"/>
    </row>
    <row r="155" spans="32:32" x14ac:dyDescent="0.25">
      <c r="AF155" s="3"/>
    </row>
    <row r="156" spans="32:32" x14ac:dyDescent="0.25">
      <c r="AF156" s="3"/>
    </row>
    <row r="157" spans="32:32" x14ac:dyDescent="0.25">
      <c r="AF157" s="3"/>
    </row>
    <row r="158" spans="32:32" x14ac:dyDescent="0.25">
      <c r="AF158" s="3"/>
    </row>
    <row r="159" spans="32:32" x14ac:dyDescent="0.25">
      <c r="AF159" s="3"/>
    </row>
    <row r="160" spans="32:32" x14ac:dyDescent="0.25">
      <c r="AF160" s="3"/>
    </row>
    <row r="161" spans="32:32" x14ac:dyDescent="0.25">
      <c r="AF161" s="3"/>
    </row>
    <row r="162" spans="32:32" x14ac:dyDescent="0.25">
      <c r="AF162" s="3"/>
    </row>
    <row r="163" spans="32:32" x14ac:dyDescent="0.25">
      <c r="AF163" s="3"/>
    </row>
    <row r="164" spans="32:32" x14ac:dyDescent="0.25">
      <c r="AF164" s="3"/>
    </row>
    <row r="165" spans="32:32" x14ac:dyDescent="0.25">
      <c r="AF165" s="3"/>
    </row>
    <row r="166" spans="32:32" x14ac:dyDescent="0.25">
      <c r="AF166" s="3"/>
    </row>
    <row r="167" spans="32:32" x14ac:dyDescent="0.25">
      <c r="AF167" s="3"/>
    </row>
    <row r="168" spans="32:32" x14ac:dyDescent="0.25">
      <c r="AF168" s="3"/>
    </row>
    <row r="169" spans="32:32" x14ac:dyDescent="0.25">
      <c r="AF169" s="3"/>
    </row>
    <row r="170" spans="32:32" x14ac:dyDescent="0.25">
      <c r="AF170" s="3"/>
    </row>
    <row r="171" spans="32:32" x14ac:dyDescent="0.25">
      <c r="AF171" s="3"/>
    </row>
    <row r="172" spans="32:32" x14ac:dyDescent="0.25">
      <c r="AF172" s="3"/>
    </row>
    <row r="173" spans="32:32" x14ac:dyDescent="0.25">
      <c r="AF173" s="3"/>
    </row>
    <row r="174" spans="32:32" x14ac:dyDescent="0.25">
      <c r="AF174" s="3"/>
    </row>
    <row r="175" spans="32:32" x14ac:dyDescent="0.25">
      <c r="AF175" s="3"/>
    </row>
    <row r="176" spans="32:32" x14ac:dyDescent="0.25">
      <c r="AF176" s="3"/>
    </row>
    <row r="177" spans="32:32" x14ac:dyDescent="0.25">
      <c r="AF177" s="3"/>
    </row>
    <row r="178" spans="32:32" x14ac:dyDescent="0.25">
      <c r="AF178" s="3"/>
    </row>
    <row r="179" spans="32:32" x14ac:dyDescent="0.25">
      <c r="AF179" s="3"/>
    </row>
    <row r="180" spans="32:32" x14ac:dyDescent="0.25">
      <c r="AF180" s="3"/>
    </row>
    <row r="181" spans="32:32" x14ac:dyDescent="0.25">
      <c r="AF181" s="3"/>
    </row>
    <row r="182" spans="32:32" x14ac:dyDescent="0.25">
      <c r="AF182" s="3"/>
    </row>
    <row r="183" spans="32:32" x14ac:dyDescent="0.25">
      <c r="AF183" s="3"/>
    </row>
    <row r="184" spans="32:32" x14ac:dyDescent="0.25">
      <c r="AF184" s="3"/>
    </row>
    <row r="185" spans="32:32" x14ac:dyDescent="0.25">
      <c r="AF185" s="3"/>
    </row>
    <row r="186" spans="32:32" x14ac:dyDescent="0.25">
      <c r="AF186" s="3"/>
    </row>
    <row r="187" spans="32:32" x14ac:dyDescent="0.25">
      <c r="AF187" s="3"/>
    </row>
    <row r="188" spans="32:32" x14ac:dyDescent="0.25">
      <c r="AF188" s="3"/>
    </row>
    <row r="189" spans="32:32" x14ac:dyDescent="0.25">
      <c r="AF189" s="3"/>
    </row>
    <row r="190" spans="32:32" x14ac:dyDescent="0.25">
      <c r="AF190" s="3"/>
    </row>
    <row r="191" spans="32:32" x14ac:dyDescent="0.25">
      <c r="AF191" s="3"/>
    </row>
    <row r="192" spans="32:32" x14ac:dyDescent="0.25">
      <c r="AF192" s="7"/>
    </row>
    <row r="259" spans="3:22" ht="15.75" x14ac:dyDescent="0.25">
      <c r="C259" s="6"/>
      <c r="D259" s="6"/>
      <c r="E259" s="6"/>
      <c r="F259" s="6"/>
      <c r="G259" s="6"/>
      <c r="H259" s="6"/>
      <c r="I259" s="6"/>
      <c r="J259" s="26"/>
      <c r="L259" s="313"/>
      <c r="M259" s="313"/>
      <c r="N259" s="313"/>
      <c r="O259" s="313"/>
      <c r="P259" s="313"/>
      <c r="R259" s="313"/>
      <c r="S259" s="313"/>
      <c r="T259" s="313"/>
      <c r="U259" s="313"/>
      <c r="V259" s="313"/>
    </row>
  </sheetData>
  <sheetProtection algorithmName="SHA-512" hashValue="zCfWac8Ukvxk4M4ZRHCaJ2pccHkOYQXEDYICWykYfc8RIbP43H/b88FD3SqVHWNGMqbq75jnqbRjTY8WO0xIcw==" saltValue="brH4DkQaLvT/S7iyv7Smeg==" spinCount="100000" sheet="1" formatCells="0" formatRows="0" selectLockedCells="1" sort="0" autoFilter="0"/>
  <protectedRanges>
    <protectedRange sqref="A8:AB105" name="Sortering"/>
  </protectedRanges>
  <autoFilter ref="A8:AB101" xr:uid="{00000000-0009-0000-0000-000002000000}">
    <sortState xmlns:xlrd2="http://schemas.microsoft.com/office/spreadsheetml/2017/richdata2" ref="A9:AB101">
      <sortCondition ref="A8:A101"/>
    </sortState>
  </autoFilter>
  <mergeCells count="5">
    <mergeCell ref="Z7:AB7"/>
    <mergeCell ref="E3:I3"/>
    <mergeCell ref="L3:P3"/>
    <mergeCell ref="R3:V3"/>
    <mergeCell ref="X4:X7"/>
  </mergeCells>
  <phoneticPr fontId="22" type="noConversion"/>
  <conditionalFormatting sqref="H90:I99 H9:I87">
    <cfRule type="expression" dxfId="462" priority="199">
      <formula>$Z9=4</formula>
    </cfRule>
    <cfRule type="expression" dxfId="461" priority="200">
      <formula>$Z9=3</formula>
    </cfRule>
    <cfRule type="expression" dxfId="460" priority="201">
      <formula>$Z9=2</formula>
    </cfRule>
    <cfRule type="expression" dxfId="459" priority="202">
      <formula>$Z9=1</formula>
    </cfRule>
  </conditionalFormatting>
  <conditionalFormatting sqref="M90:N99 M9:N87">
    <cfRule type="expression" dxfId="458" priority="195">
      <formula>$AA9=4</formula>
    </cfRule>
    <cfRule type="expression" dxfId="457" priority="196">
      <formula>$AA9=3</formula>
    </cfRule>
    <cfRule type="expression" dxfId="456" priority="197">
      <formula>$AA9=2</formula>
    </cfRule>
    <cfRule type="expression" dxfId="455" priority="198">
      <formula>$AA9=1</formula>
    </cfRule>
  </conditionalFormatting>
  <conditionalFormatting sqref="S90:T99 S9:T87">
    <cfRule type="expression" dxfId="454" priority="191">
      <formula>$AB9=4</formula>
    </cfRule>
    <cfRule type="expression" dxfId="453" priority="192">
      <formula>$AB9=3</formula>
    </cfRule>
    <cfRule type="expression" dxfId="452" priority="193">
      <formula>$AB9=2</formula>
    </cfRule>
    <cfRule type="expression" dxfId="451" priority="194">
      <formula>$AB9=1</formula>
    </cfRule>
  </conditionalFormatting>
  <conditionalFormatting sqref="H88:I89">
    <cfRule type="expression" dxfId="450" priority="103">
      <formula>$Z88=4</formula>
    </cfRule>
    <cfRule type="expression" dxfId="449" priority="104">
      <formula>$Z88=3</formula>
    </cfRule>
    <cfRule type="expression" dxfId="448" priority="105">
      <formula>$Z88=2</formula>
    </cfRule>
    <cfRule type="expression" dxfId="447" priority="106">
      <formula>$Z88=1</formula>
    </cfRule>
  </conditionalFormatting>
  <conditionalFormatting sqref="M88:N89">
    <cfRule type="expression" dxfId="446" priority="99">
      <formula>$AA88=4</formula>
    </cfRule>
    <cfRule type="expression" dxfId="445" priority="100">
      <formula>$AA88=3</formula>
    </cfRule>
    <cfRule type="expression" dxfId="444" priority="101">
      <formula>$AA88=2</formula>
    </cfRule>
    <cfRule type="expression" dxfId="443" priority="102">
      <formula>$AA88=1</formula>
    </cfRule>
  </conditionalFormatting>
  <conditionalFormatting sqref="S88:T89">
    <cfRule type="expression" dxfId="442" priority="95">
      <formula>$AB88=4</formula>
    </cfRule>
    <cfRule type="expression" dxfId="441" priority="96">
      <formula>$AB88=3</formula>
    </cfRule>
    <cfRule type="expression" dxfId="440" priority="97">
      <formula>$AB88=2</formula>
    </cfRule>
    <cfRule type="expression" dxfId="439" priority="98">
      <formula>$AB88=1</formula>
    </cfRule>
  </conditionalFormatting>
  <conditionalFormatting sqref="H100:I101">
    <cfRule type="expression" dxfId="438" priority="91">
      <formula>$Z100=4</formula>
    </cfRule>
    <cfRule type="expression" dxfId="437" priority="92">
      <formula>$Z100=3</formula>
    </cfRule>
    <cfRule type="expression" dxfId="436" priority="93">
      <formula>$Z100=2</formula>
    </cfRule>
    <cfRule type="expression" dxfId="435" priority="94">
      <formula>$Z100=1</formula>
    </cfRule>
  </conditionalFormatting>
  <conditionalFormatting sqref="M100:N101">
    <cfRule type="expression" dxfId="434" priority="87">
      <formula>$AA100=4</formula>
    </cfRule>
    <cfRule type="expression" dxfId="433" priority="88">
      <formula>$AA100=3</formula>
    </cfRule>
    <cfRule type="expression" dxfId="432" priority="89">
      <formula>$AA100=2</formula>
    </cfRule>
    <cfRule type="expression" dxfId="431" priority="90">
      <formula>$AA100=1</formula>
    </cfRule>
  </conditionalFormatting>
  <conditionalFormatting sqref="S100:T101">
    <cfRule type="expression" dxfId="430" priority="83">
      <formula>$AB100=4</formula>
    </cfRule>
    <cfRule type="expression" dxfId="429" priority="84">
      <formula>$AB100=3</formula>
    </cfRule>
    <cfRule type="expression" dxfId="428" priority="85">
      <formula>$AB100=2</formula>
    </cfRule>
    <cfRule type="expression" dxfId="427" priority="86">
      <formula>$AB100=1</formula>
    </cfRule>
  </conditionalFormatting>
  <conditionalFormatting sqref="R9:V100 E9:J100 L9:P100 AV9:AV100">
    <cfRule type="expression" dxfId="426" priority="82">
      <formula>$Y9=2</formula>
    </cfRule>
  </conditionalFormatting>
  <conditionalFormatting sqref="E9:E100">
    <cfRule type="expression" dxfId="425" priority="79">
      <formula>E9&gt;D9</formula>
    </cfRule>
  </conditionalFormatting>
  <conditionalFormatting sqref="L9:L100">
    <cfRule type="expression" dxfId="424" priority="78">
      <formula>L9&gt;D9</formula>
    </cfRule>
  </conditionalFormatting>
  <conditionalFormatting sqref="R9:R100">
    <cfRule type="expression" dxfId="423" priority="77">
      <formula>R9&gt;D9</formula>
    </cfRule>
  </conditionalFormatting>
  <conditionalFormatting sqref="L4">
    <cfRule type="expression" dxfId="422" priority="71">
      <formula>$P$7="No"</formula>
    </cfRule>
  </conditionalFormatting>
  <conditionalFormatting sqref="R4">
    <cfRule type="expression" dxfId="421" priority="70">
      <formula>$V$7="No"</formula>
    </cfRule>
  </conditionalFormatting>
  <conditionalFormatting sqref="X9:X100">
    <cfRule type="expression" dxfId="420" priority="5">
      <formula>$AF$4="Nei"</formula>
    </cfRule>
    <cfRule type="expression" dxfId="419" priority="6">
      <formula>$Y9=2</formula>
    </cfRule>
  </conditionalFormatting>
  <conditionalFormatting sqref="X4">
    <cfRule type="expression" dxfId="418" priority="3">
      <formula>$AF$4=ais_no</formula>
    </cfRule>
  </conditionalFormatting>
  <dataValidations count="19">
    <dataValidation type="decimal" operator="lessThanOrEqual" allowBlank="1" showInputMessage="1" showErrorMessage="1" errorTitle="Invalid entry" error="Cannot award more credits than available" sqref="R10:R14 E10:E14 L10:L14 R91:R99 L91:L99 E91:E99 R64 R62 L62 E62 E83:E87 L83:L87 R83:R87 R75:R79 L75:L79 E75:E79 E68:E71 L68:L71 R68:R71 L64 E64 E60 L60 R60 R53:R56 L53:L56 E53:E56 E44:E49 L44:L49 R44:R49 R31:R40 L31:L40 E31:E40 E20:E27 L20:L27 R20:R27 R18 L18 E18" xr:uid="{00000000-0002-0000-0200-000000000000}">
      <formula1>$D10</formula1>
    </dataValidation>
    <dataValidation allowBlank="1" showInputMessage="1" showErrorMessage="1" promptTitle="Sorting" prompt="Sort from smallest to largest to get original sorting" sqref="A8" xr:uid="{00000000-0002-0000-0200-000001000000}"/>
    <dataValidation type="list" allowBlank="1" showInputMessage="1" showErrorMessage="1" sqref="P7 V7" xr:uid="{00000000-0002-0000-0200-000002000000}">
      <formula1>AD_YesNo</formula1>
    </dataValidation>
    <dataValidation type="list" allowBlank="1" showInputMessage="1" showErrorMessage="1" sqref="R61 E19 E61 L19 R19 L61" xr:uid="{00000000-0002-0000-0200-000003000000}">
      <formula1>janei</formula1>
    </dataValidation>
    <dataValidation type="list" operator="lessThanOrEqual" allowBlank="1" showInputMessage="1" showErrorMessage="1" errorTitle="Invalid entry" error="Cannot award more credits than available" sqref="L63 E63 R63" xr:uid="{00000000-0002-0000-0200-000004000000}">
      <formula1>janei</formula1>
    </dataValidation>
    <dataValidation type="list" allowBlank="1" showInputMessage="1" showErrorMessage="1" sqref="I10:I14 I18:I27 I31:I40 I44:I49 I53:I56 I60:I64 I68:I71 I75:I79 I83:I87 I91:I99 N10:N14 N18:N27 N31:N40 N44:N49 N53:N56 N60:N64 N68:N71 N75:N79 N83:N87 N91:N99 T10:T14 T18:T27 T31:T40 T44:T49 T53:T56 T60:T64 T68:T71 T75:T79 T83:T87 T91:T99" xr:uid="{00000000-0002-0000-0200-000009000000}">
      <formula1>status</formula1>
    </dataValidation>
    <dataValidation type="list" allowBlank="1" showInputMessage="1" showErrorMessage="1" sqref="X10" xr:uid="{DB3CADF3-8BC5-476F-81CA-6BDA2C5277F8}">
      <formula1>$AO$10:$AP$10</formula1>
    </dataValidation>
    <dataValidation type="list" allowBlank="1" showInputMessage="1" showErrorMessage="1" sqref="X11" xr:uid="{9350211D-61B2-4DA7-BE0E-7C11E1E6B433}">
      <formula1>AO10:AP10</formula1>
    </dataValidation>
    <dataValidation type="list" allowBlank="1" showInputMessage="1" showErrorMessage="1" sqref="X13 X21:X22 X86:X87 X35 X38:X39 X84 X64 X54 X33" xr:uid="{F0C1D095-7E66-46D9-A85F-66F520A2EB89}">
      <formula1>AN13:AQ13</formula1>
    </dataValidation>
    <dataValidation type="list" allowBlank="1" showInputMessage="1" showErrorMessage="1" sqref="X14 X31 X34 X36 X40 X53" xr:uid="{D98CD08E-0EE3-4406-9E21-0FBC679D511E}">
      <formula1>AN14:AP14</formula1>
    </dataValidation>
    <dataValidation type="list" allowBlank="1" showInputMessage="1" showErrorMessage="1" sqref="X23" xr:uid="{4C2207EF-568B-47C8-9151-2773F5E6F66A}">
      <formula1>$AO$23:$AP$23</formula1>
    </dataValidation>
    <dataValidation type="list" allowBlank="1" showInputMessage="1" showErrorMessage="1" sqref="X32" xr:uid="{1331576C-E601-4F1C-A204-89C25D50F13A}">
      <formula1>$AN$32:$AS$32</formula1>
    </dataValidation>
    <dataValidation type="list" allowBlank="1" showInputMessage="1" showErrorMessage="1" sqref="X70" xr:uid="{1D790340-B611-4D8C-807E-51EA2B2982E1}">
      <formula1>$AO$70:$AP$70</formula1>
    </dataValidation>
    <dataValidation type="list" allowBlank="1" showInputMessage="1" showErrorMessage="1" sqref="X71" xr:uid="{B6D98BD2-E44A-45F0-85A9-DD6C63C7B0A6}">
      <formula1>$AO$71:$AP$71</formula1>
    </dataValidation>
    <dataValidation type="list" allowBlank="1" showInputMessage="1" showErrorMessage="1" sqref="X18" xr:uid="{C3729FE3-E8D4-44CC-A21D-4515CC7AAB60}">
      <formula1>$AN$18:$AT$18</formula1>
    </dataValidation>
    <dataValidation type="list" allowBlank="1" showInputMessage="1" showErrorMessage="1" sqref="X83" xr:uid="{BB53C0A7-3B79-4BA3-8464-4D5B1B5FF110}">
      <formula1>$AN$83:$AR$83</formula1>
    </dataValidation>
    <dataValidation type="list" allowBlank="1" showInputMessage="1" showErrorMessage="1" sqref="X55" xr:uid="{75B977C5-2350-4159-ABB6-5AEF25C36DC6}">
      <formula1>$AN$55:$AR$55</formula1>
    </dataValidation>
    <dataValidation type="list" allowBlank="1" showInputMessage="1" showErrorMessage="1" sqref="X20" xr:uid="{392145BC-95C6-4582-97CF-A0374FD78752}">
      <formula1>$AN$20:$AS$20</formula1>
    </dataValidation>
    <dataValidation type="list" allowBlank="1" showInputMessage="1" showErrorMessage="1" sqref="X12 X19 X24:X27 X37 X44:X49 X56 X60:X63 X68:X69 X75:X79 X85 X91:X99" xr:uid="{023AEDB0-0A68-4401-A6A1-3F72B4EA8505}">
      <formula1>AIS_NA</formula1>
    </dataValidation>
  </dataValidations>
  <pageMargins left="0.25" right="0.25" top="0.75" bottom="0.75" header="0.3" footer="0.3"/>
  <pageSetup paperSize="9" scale="53" fitToHeight="0" orientation="landscape" r:id="rId1"/>
  <headerFooter>
    <oddFooter xml:space="preserve">&amp;L&amp;F&amp;C&amp;D&amp;RPage &amp;P of &amp;N  </oddFooter>
  </headerFooter>
  <ignoredErrors>
    <ignoredError sqref="V5" formula="1"/>
    <ignoredError sqref="X15:X17 X28:X30 X41:X43 X57:X59 X65:X67 X88:X90 X72:X74 X50:X52 X80:X82" unlockedFormula="1"/>
  </ignoredErrors>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76" id="{26E8AFB8-EB8E-4549-91E2-6F0B5A9F2377}">
            <xm:f>$P$7='Assessment Details'!$N$23</xm:f>
            <x14:dxf>
              <font>
                <color theme="0"/>
              </font>
              <fill>
                <patternFill>
                  <bgColor theme="0"/>
                </patternFill>
              </fill>
              <border>
                <vertical/>
                <horizontal/>
              </border>
            </x14:dxf>
          </x14:cfRule>
          <xm:sqref>L4:P6 L44:M47 O44:P47 L49:M49 O49:P49 L8:P43 L50:P100</xm:sqref>
        </x14:conditionalFormatting>
        <x14:conditionalFormatting xmlns:xm="http://schemas.microsoft.com/office/excel/2006/main">
          <x14:cfRule type="expression" priority="75" id="{F07B10D0-2688-4D2D-9352-51F0145E8B48}">
            <xm:f>$P$7='Assessment Details'!$N$23</xm:f>
            <x14:dxf>
              <border>
                <left style="thin">
                  <color theme="0"/>
                </left>
                <right style="thin">
                  <color theme="0"/>
                </right>
                <top style="thin">
                  <color theme="0"/>
                </top>
                <bottom style="thin">
                  <color theme="0"/>
                </bottom>
                <vertical/>
                <horizontal/>
              </border>
            </x14:dxf>
          </x14:cfRule>
          <xm:sqref>L44:M47 O44:P47 L49:M49 O49:P49 L8:P43 L50:P100</xm:sqref>
        </x14:conditionalFormatting>
        <x14:conditionalFormatting xmlns:xm="http://schemas.microsoft.com/office/excel/2006/main">
          <x14:cfRule type="expression" priority="74" id="{1A60305C-32B7-4D4F-9804-69A16324B9A7}">
            <xm:f>$P$7='Assessment Details'!$N$23</xm:f>
            <x14:dxf>
              <border>
                <vertical/>
                <horizontal/>
              </border>
            </x14:dxf>
          </x14:cfRule>
          <xm:sqref>L8:P8</xm:sqref>
        </x14:conditionalFormatting>
        <x14:conditionalFormatting xmlns:xm="http://schemas.microsoft.com/office/excel/2006/main">
          <x14:cfRule type="expression" priority="73" id="{1B653B29-3D42-40C1-932B-B69CCB31110E}">
            <xm:f>$V$7='Assessment Details'!$N$23</xm:f>
            <x14:dxf>
              <font>
                <color theme="0"/>
              </font>
              <fill>
                <patternFill>
                  <bgColor theme="0"/>
                </patternFill>
              </fill>
            </x14:dxf>
          </x14:cfRule>
          <xm:sqref>R4:V6 R44:S47 U44:V47 R49:S49 U49:V49 R8:V43 R50:V100</xm:sqref>
        </x14:conditionalFormatting>
        <x14:conditionalFormatting xmlns:xm="http://schemas.microsoft.com/office/excel/2006/main">
          <x14:cfRule type="expression" priority="72" id="{EF72BBD8-21BF-47F9-A216-8FDC90D5599B}">
            <xm:f>$V$7='Assessment Details'!$N$23</xm:f>
            <x14:dxf>
              <border>
                <left style="thin">
                  <color theme="0"/>
                </left>
                <right style="thin">
                  <color theme="0"/>
                </right>
                <top style="thin">
                  <color theme="0"/>
                </top>
                <bottom style="thin">
                  <color theme="0"/>
                </bottom>
                <vertical/>
                <horizontal/>
              </border>
            </x14:dxf>
          </x14:cfRule>
          <xm:sqref>R44:S47 U44:V47 R49:S49 U49:V49 R8:V43 R50:V100</xm:sqref>
        </x14:conditionalFormatting>
        <x14:conditionalFormatting xmlns:xm="http://schemas.microsoft.com/office/excel/2006/main">
          <x14:cfRule type="expression" priority="53" id="{F8280F47-8FC8-4A1A-9E5F-8B50489C029F}">
            <xm:f>$P$7='Assessment Details'!$N$23</xm:f>
            <x14:dxf>
              <font>
                <color theme="0"/>
              </font>
              <fill>
                <patternFill>
                  <bgColor theme="0"/>
                </patternFill>
              </fill>
              <border>
                <vertical/>
                <horizontal/>
              </border>
            </x14:dxf>
          </x14:cfRule>
          <xm:sqref>L48:M48 O48:P48</xm:sqref>
        </x14:conditionalFormatting>
        <x14:conditionalFormatting xmlns:xm="http://schemas.microsoft.com/office/excel/2006/main">
          <x14:cfRule type="expression" priority="52" id="{37E528B0-9684-41A1-BADB-747F1A6A3CCC}">
            <xm:f>$P$7='Assessment Details'!$N$23</xm:f>
            <x14:dxf>
              <border>
                <left style="thin">
                  <color theme="0"/>
                </left>
                <right style="thin">
                  <color theme="0"/>
                </right>
                <top style="thin">
                  <color theme="0"/>
                </top>
                <bottom style="thin">
                  <color theme="0"/>
                </bottom>
                <vertical/>
                <horizontal/>
              </border>
            </x14:dxf>
          </x14:cfRule>
          <xm:sqref>L48:M48 O48:P48</xm:sqref>
        </x14:conditionalFormatting>
        <x14:conditionalFormatting xmlns:xm="http://schemas.microsoft.com/office/excel/2006/main">
          <x14:cfRule type="expression" priority="51" id="{042C2617-1E62-4C2A-BA30-629223D4A0D9}">
            <xm:f>$V$7='Assessment Details'!$N$23</xm:f>
            <x14:dxf>
              <font>
                <color theme="0"/>
              </font>
              <fill>
                <patternFill>
                  <bgColor theme="0"/>
                </patternFill>
              </fill>
            </x14:dxf>
          </x14:cfRule>
          <xm:sqref>R48:S48 U48:V48</xm:sqref>
        </x14:conditionalFormatting>
        <x14:conditionalFormatting xmlns:xm="http://schemas.microsoft.com/office/excel/2006/main">
          <x14:cfRule type="expression" priority="50" id="{12F59400-B995-47DD-9390-A2FE94D5B978}">
            <xm:f>$V$7='Assessment Details'!$N$23</xm:f>
            <x14:dxf>
              <border>
                <left style="thin">
                  <color theme="0"/>
                </left>
                <right style="thin">
                  <color theme="0"/>
                </right>
                <top style="thin">
                  <color theme="0"/>
                </top>
                <bottom style="thin">
                  <color theme="0"/>
                </bottom>
                <vertical/>
                <horizontal/>
              </border>
            </x14:dxf>
          </x14:cfRule>
          <xm:sqref>R48:S48 U48:V48</xm:sqref>
        </x14:conditionalFormatting>
        <x14:conditionalFormatting xmlns:xm="http://schemas.microsoft.com/office/excel/2006/main">
          <x14:cfRule type="expression" priority="20" id="{44A3DE4A-E7C1-432D-B1C5-43E156FE2EEC}">
            <xm:f>$P$7='Assessment Details'!$N$23</xm:f>
            <x14:dxf>
              <font>
                <color theme="0"/>
              </font>
              <fill>
                <patternFill>
                  <bgColor theme="0"/>
                </patternFill>
              </fill>
              <border>
                <vertical/>
                <horizontal/>
              </border>
            </x14:dxf>
          </x14:cfRule>
          <xm:sqref>N44:N49</xm:sqref>
        </x14:conditionalFormatting>
        <x14:conditionalFormatting xmlns:xm="http://schemas.microsoft.com/office/excel/2006/main">
          <x14:cfRule type="expression" priority="19" id="{B9E880E0-A1F5-49C6-A0AB-0E0C77DE1DB5}">
            <xm:f>$P$7='Assessment Details'!$N$23</xm:f>
            <x14:dxf>
              <border>
                <left style="thin">
                  <color theme="0"/>
                </left>
                <right style="thin">
                  <color theme="0"/>
                </right>
                <top style="thin">
                  <color theme="0"/>
                </top>
                <bottom style="thin">
                  <color theme="0"/>
                </bottom>
                <vertical/>
                <horizontal/>
              </border>
            </x14:dxf>
          </x14:cfRule>
          <xm:sqref>N44:N49</xm:sqref>
        </x14:conditionalFormatting>
        <x14:conditionalFormatting xmlns:xm="http://schemas.microsoft.com/office/excel/2006/main">
          <x14:cfRule type="expression" priority="13" id="{298FF334-4DB7-4037-AC51-CCBD53BC371E}">
            <xm:f>$V$7='Assessment Details'!$N$23</xm:f>
            <x14:dxf>
              <font>
                <color theme="0"/>
              </font>
              <fill>
                <patternFill>
                  <bgColor theme="0"/>
                </patternFill>
              </fill>
            </x14:dxf>
          </x14:cfRule>
          <xm:sqref>T44:T49</xm:sqref>
        </x14:conditionalFormatting>
        <x14:conditionalFormatting xmlns:xm="http://schemas.microsoft.com/office/excel/2006/main">
          <x14:cfRule type="expression" priority="12" id="{138C7480-E586-47BB-852D-AF06A9873F8E}">
            <xm:f>$V$7='Assessment Details'!$N$23</xm:f>
            <x14:dxf>
              <border>
                <left style="thin">
                  <color theme="0"/>
                </left>
                <right style="thin">
                  <color theme="0"/>
                </right>
                <top style="thin">
                  <color theme="0"/>
                </top>
                <bottom style="thin">
                  <color theme="0"/>
                </bottom>
                <vertical/>
                <horizontal/>
              </border>
            </x14:dxf>
          </x14:cfRule>
          <xm:sqref>T44:T49</xm:sqref>
        </x14:conditionalFormatting>
        <x14:conditionalFormatting xmlns:xm="http://schemas.microsoft.com/office/excel/2006/main">
          <x14:cfRule type="expression" priority="2" id="{3B48386A-6E88-435D-96E3-7ECE48307FC5}">
            <xm:f>$V$7='Assessment Details'!$N$23</xm:f>
            <x14:dxf>
              <font>
                <color theme="0"/>
              </font>
              <fill>
                <patternFill>
                  <bgColor theme="0"/>
                </patternFill>
              </fill>
            </x14:dxf>
          </x14:cfRule>
          <xm:sqref>X8</xm:sqref>
        </x14:conditionalFormatting>
        <x14:conditionalFormatting xmlns:xm="http://schemas.microsoft.com/office/excel/2006/main">
          <x14:cfRule type="expression" priority="1" id="{DD02E5C0-2556-4DD5-BD85-B262FB3B1D1C}">
            <xm:f>$V$7='Assessment Details'!$N$23</xm:f>
            <x14:dxf>
              <border>
                <left style="thin">
                  <color theme="0"/>
                </left>
                <right style="thin">
                  <color theme="0"/>
                </right>
                <top style="thin">
                  <color theme="0"/>
                </top>
                <bottom style="thin">
                  <color theme="0"/>
                </bottom>
                <vertical/>
                <horizontal/>
              </border>
            </x14:dxf>
          </x14:cfRule>
          <xm:sqref>X8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173"/>
  <sheetViews>
    <sheetView zoomScale="85" zoomScaleNormal="85" workbookViewId="0">
      <pane xSplit="3" topLeftCell="D1" activePane="topRight" state="frozen"/>
      <selection pane="topRight" activeCell="D45" sqref="D45"/>
    </sheetView>
  </sheetViews>
  <sheetFormatPr defaultColWidth="9.140625" defaultRowHeight="15" x14ac:dyDescent="0.25"/>
  <cols>
    <col min="1" max="1" width="4.140625" style="106" customWidth="1"/>
    <col min="2" max="2" width="4.28515625" style="106" customWidth="1"/>
    <col min="3" max="3" width="7.28515625" style="106" bestFit="1" customWidth="1"/>
    <col min="4" max="4" width="60.28515625" style="106" bestFit="1" customWidth="1"/>
    <col min="5" max="9" width="11.28515625" style="106" customWidth="1"/>
    <col min="10" max="10" width="5.7109375" style="106" customWidth="1"/>
    <col min="11" max="11" width="15.7109375" style="106" customWidth="1"/>
    <col min="12" max="12" width="7" style="106" customWidth="1"/>
    <col min="13" max="13" width="5.5703125" style="106" customWidth="1"/>
    <col min="14" max="14" width="6.5703125" style="106" customWidth="1"/>
    <col min="15" max="15" width="6.85546875" style="106" customWidth="1"/>
    <col min="16" max="16" width="9" style="106" bestFit="1" customWidth="1"/>
    <col min="17" max="17" width="5.7109375" style="106" customWidth="1"/>
    <col min="18" max="18" width="14" style="106" customWidth="1"/>
    <col min="19" max="19" width="6.85546875" style="106" customWidth="1"/>
    <col min="20" max="20" width="14.5703125" style="106" customWidth="1"/>
    <col min="21" max="21" width="17.5703125" style="106" customWidth="1"/>
    <col min="22" max="22" width="8.42578125" style="106" customWidth="1"/>
    <col min="23" max="23" width="14.42578125" style="106" customWidth="1"/>
    <col min="24" max="24" width="10.42578125" style="106" customWidth="1"/>
    <col min="25" max="25" width="9.5703125" style="106" customWidth="1"/>
    <col min="26" max="26" width="9.42578125" style="106" customWidth="1"/>
    <col min="27" max="31" width="4.28515625" style="106" customWidth="1"/>
    <col min="32" max="32" width="3.7109375" style="106" customWidth="1"/>
    <col min="33" max="37" width="4.28515625" style="106" customWidth="1"/>
    <col min="38" max="38" width="3.140625" style="106" customWidth="1"/>
    <col min="39" max="42" width="4" style="106" customWidth="1"/>
    <col min="43" max="43" width="4.28515625" style="106" customWidth="1"/>
    <col min="44" max="44" width="10.85546875" style="106" customWidth="1"/>
    <col min="45" max="45" width="26.7109375" style="106" customWidth="1"/>
    <col min="46" max="46" width="5.85546875" style="106" customWidth="1"/>
    <col min="47" max="47" width="6.7109375" style="106" customWidth="1"/>
    <col min="48" max="48" width="26.7109375" style="106" customWidth="1"/>
    <col min="49" max="49" width="6.5703125" style="106" customWidth="1"/>
    <col min="50" max="50" width="6.7109375" style="106" customWidth="1"/>
    <col min="51" max="51" width="26.7109375" style="106" customWidth="1"/>
    <col min="52" max="52" width="5.7109375" style="106" customWidth="1"/>
    <col min="53" max="54" width="9.140625" style="106" customWidth="1"/>
    <col min="55" max="55" width="12.7109375" style="106" customWidth="1"/>
    <col min="56" max="56" width="9.140625" style="106" customWidth="1"/>
    <col min="57" max="57" width="12.7109375" style="106" customWidth="1"/>
    <col min="58" max="58" width="7.5703125" style="106" customWidth="1"/>
    <col min="59" max="59" width="12.5703125" style="106" customWidth="1"/>
    <col min="60" max="61" width="9.140625" style="106" customWidth="1"/>
    <col min="62" max="62" width="17.140625" style="106" customWidth="1"/>
    <col min="63" max="63" width="9.140625" style="106"/>
    <col min="64" max="64" width="30.7109375" style="106" bestFit="1" customWidth="1"/>
    <col min="65" max="65" width="14.7109375" style="106" bestFit="1" customWidth="1"/>
    <col min="66" max="67" width="9.140625" style="106"/>
    <col min="68" max="68" width="20.85546875" style="106" bestFit="1" customWidth="1"/>
    <col min="69" max="69" width="11.28515625" style="106" bestFit="1" customWidth="1"/>
    <col min="70" max="70" width="8.7109375" style="106" bestFit="1" customWidth="1"/>
    <col min="71" max="71" width="12.7109375" style="106" bestFit="1" customWidth="1"/>
    <col min="72" max="72" width="9.140625" style="106"/>
    <col min="73" max="73" width="14.28515625" style="106" bestFit="1" customWidth="1"/>
    <col min="74" max="74" width="9.140625" style="106"/>
    <col min="75" max="75" width="12.28515625" style="106" customWidth="1"/>
    <col min="76" max="16384" width="9.140625" style="106"/>
  </cols>
  <sheetData>
    <row r="1" spans="1:78" x14ac:dyDescent="0.25">
      <c r="C1" s="106">
        <v>1</v>
      </c>
      <c r="D1" s="106">
        <v>2</v>
      </c>
      <c r="E1" s="106">
        <v>3</v>
      </c>
      <c r="F1" s="106">
        <v>4</v>
      </c>
      <c r="G1" s="106">
        <v>5</v>
      </c>
      <c r="H1" s="106">
        <v>6</v>
      </c>
      <c r="I1" s="106">
        <v>7</v>
      </c>
      <c r="J1" s="106">
        <v>8</v>
      </c>
      <c r="K1" s="106">
        <v>9</v>
      </c>
      <c r="L1" s="106">
        <v>10</v>
      </c>
      <c r="M1" s="106">
        <v>11</v>
      </c>
      <c r="N1" s="106">
        <v>12</v>
      </c>
      <c r="O1" s="106">
        <v>13</v>
      </c>
      <c r="P1" s="106">
        <v>14</v>
      </c>
      <c r="Q1" s="106">
        <v>15</v>
      </c>
      <c r="R1" s="106">
        <v>16</v>
      </c>
      <c r="S1" s="106">
        <v>17</v>
      </c>
      <c r="T1" s="106">
        <v>18</v>
      </c>
      <c r="U1" s="106">
        <v>19</v>
      </c>
      <c r="V1" s="106">
        <v>20</v>
      </c>
      <c r="W1" s="106">
        <v>21</v>
      </c>
      <c r="X1" s="106">
        <v>22</v>
      </c>
      <c r="Y1" s="106">
        <v>23</v>
      </c>
      <c r="Z1" s="106">
        <v>24</v>
      </c>
      <c r="AA1" s="106">
        <v>25</v>
      </c>
      <c r="AB1" s="106">
        <v>26</v>
      </c>
      <c r="AC1" s="106">
        <v>27</v>
      </c>
      <c r="AD1" s="106">
        <v>28</v>
      </c>
      <c r="AE1" s="106">
        <v>29</v>
      </c>
      <c r="AF1" s="106">
        <v>30</v>
      </c>
      <c r="AG1" s="106">
        <v>31</v>
      </c>
      <c r="AH1" s="106">
        <v>32</v>
      </c>
      <c r="AI1" s="106">
        <v>33</v>
      </c>
      <c r="AJ1" s="106">
        <v>34</v>
      </c>
      <c r="AK1" s="106">
        <v>35</v>
      </c>
      <c r="AL1" s="106">
        <v>36</v>
      </c>
      <c r="AM1" s="106">
        <v>37</v>
      </c>
      <c r="AN1" s="106">
        <v>38</v>
      </c>
      <c r="AO1" s="106">
        <v>39</v>
      </c>
      <c r="AP1" s="106">
        <v>40</v>
      </c>
      <c r="AQ1" s="106">
        <v>41</v>
      </c>
      <c r="AR1" s="106">
        <v>42</v>
      </c>
      <c r="AS1" s="106">
        <v>43</v>
      </c>
      <c r="AT1" s="106">
        <v>44</v>
      </c>
      <c r="AU1" s="106">
        <v>45</v>
      </c>
      <c r="AV1" s="106">
        <v>46</v>
      </c>
      <c r="AW1" s="106">
        <v>47</v>
      </c>
      <c r="AX1" s="106">
        <v>48</v>
      </c>
      <c r="AY1" s="106">
        <v>49</v>
      </c>
      <c r="AZ1" s="106">
        <v>50</v>
      </c>
    </row>
    <row r="2" spans="1:78" ht="15.75" thickBot="1" x14ac:dyDescent="0.3">
      <c r="A2" s="167" t="s">
        <v>91</v>
      </c>
      <c r="B2" s="167"/>
      <c r="C2" s="167"/>
      <c r="D2" s="167"/>
      <c r="E2" s="167"/>
      <c r="F2" s="167"/>
      <c r="G2" s="167"/>
      <c r="H2" s="167"/>
      <c r="I2" s="167"/>
    </row>
    <row r="3" spans="1:78" ht="15.75" thickBot="1" x14ac:dyDescent="0.3">
      <c r="F3" s="106" t="s">
        <v>524</v>
      </c>
      <c r="BL3" s="860" t="s">
        <v>543</v>
      </c>
      <c r="BM3" s="861" t="s">
        <v>529</v>
      </c>
      <c r="BO3" s="855" t="s">
        <v>549</v>
      </c>
      <c r="BP3" s="106">
        <v>0</v>
      </c>
      <c r="BQ3" s="106" t="s">
        <v>14</v>
      </c>
    </row>
    <row r="4" spans="1:78" ht="15.75" thickBot="1" x14ac:dyDescent="0.3">
      <c r="D4" s="168" t="s">
        <v>104</v>
      </c>
      <c r="F4" s="106" t="s">
        <v>525</v>
      </c>
      <c r="G4" s="169"/>
      <c r="I4" s="170"/>
      <c r="R4" s="442" t="s">
        <v>405</v>
      </c>
      <c r="S4" s="443" t="str">
        <f>'Manuell filtrering og justering'!H2</f>
        <v>No</v>
      </c>
      <c r="BL4" s="306" t="str">
        <f>'Pre-Assessment Estimator'!AF4</f>
        <v>Nei</v>
      </c>
      <c r="BM4" s="291" t="str">
        <f>'Pre-Assessment Estimator'!AF7</f>
        <v>Ja</v>
      </c>
      <c r="BO4" s="862" t="s">
        <v>551</v>
      </c>
      <c r="BP4" s="106">
        <v>1</v>
      </c>
    </row>
    <row r="5" spans="1:78" ht="15.75" thickBot="1" x14ac:dyDescent="0.3">
      <c r="D5" s="171" t="str">
        <f>ADBT0</f>
        <v>Office</v>
      </c>
      <c r="F5" s="106" t="s">
        <v>15</v>
      </c>
      <c r="AQ5" s="172"/>
    </row>
    <row r="6" spans="1:78" ht="15.75" thickBot="1" x14ac:dyDescent="0.3">
      <c r="AQ6" s="172"/>
    </row>
    <row r="7" spans="1:78" ht="51" customHeight="1" thickBot="1" x14ac:dyDescent="0.3">
      <c r="C7" s="173" t="s">
        <v>103</v>
      </c>
      <c r="D7" s="174" t="s">
        <v>90</v>
      </c>
      <c r="E7" s="915" t="s">
        <v>241</v>
      </c>
      <c r="F7" s="916"/>
      <c r="G7" s="916"/>
      <c r="H7" s="916"/>
      <c r="I7" s="916"/>
      <c r="K7" s="61" t="s">
        <v>246</v>
      </c>
      <c r="L7" s="917" t="s">
        <v>247</v>
      </c>
      <c r="M7" s="918"/>
      <c r="N7" s="918"/>
      <c r="O7" s="918"/>
      <c r="P7" s="919"/>
      <c r="Q7" s="175" t="s">
        <v>230</v>
      </c>
      <c r="R7" s="63" t="s">
        <v>16</v>
      </c>
      <c r="T7" s="63" t="s">
        <v>85</v>
      </c>
      <c r="U7" s="63" t="s">
        <v>86</v>
      </c>
      <c r="W7" s="63" t="s">
        <v>248</v>
      </c>
      <c r="X7" s="63" t="s">
        <v>249</v>
      </c>
      <c r="Y7" s="63" t="s">
        <v>250</v>
      </c>
      <c r="AA7" s="920" t="s">
        <v>255</v>
      </c>
      <c r="AB7" s="921"/>
      <c r="AC7" s="921"/>
      <c r="AD7" s="921"/>
      <c r="AE7" s="922"/>
      <c r="AG7" s="920" t="s">
        <v>10</v>
      </c>
      <c r="AH7" s="921"/>
      <c r="AI7" s="921"/>
      <c r="AJ7" s="921"/>
      <c r="AK7" s="922"/>
      <c r="AM7" s="920" t="str">
        <f>"Chosen "&amp;D5</f>
        <v>Chosen Office</v>
      </c>
      <c r="AN7" s="921"/>
      <c r="AO7" s="921"/>
      <c r="AP7" s="921"/>
      <c r="AQ7" s="921"/>
      <c r="AR7" s="903" t="s">
        <v>248</v>
      </c>
      <c r="AS7" s="904"/>
      <c r="AT7" s="904"/>
      <c r="AU7" s="905" t="s">
        <v>249</v>
      </c>
      <c r="AV7" s="901"/>
      <c r="AW7" s="902"/>
      <c r="AX7" s="900" t="s">
        <v>250</v>
      </c>
      <c r="AY7" s="901"/>
      <c r="AZ7" s="902"/>
      <c r="BK7" s="301" t="s">
        <v>544</v>
      </c>
      <c r="BL7" s="301"/>
      <c r="BM7" s="301"/>
      <c r="BN7" s="301"/>
      <c r="BO7" s="301"/>
      <c r="BP7" s="301"/>
      <c r="BQ7" s="864" t="s">
        <v>554</v>
      </c>
      <c r="BR7" s="864" t="s">
        <v>556</v>
      </c>
      <c r="BS7" s="301" t="s">
        <v>553</v>
      </c>
      <c r="BT7" s="301"/>
      <c r="BU7" s="301"/>
      <c r="BV7" s="301"/>
      <c r="BW7" s="869" t="s">
        <v>579</v>
      </c>
      <c r="BX7" s="301"/>
      <c r="BY7" s="301"/>
      <c r="BZ7" s="301"/>
    </row>
    <row r="8" spans="1:78" ht="15.75" thickBot="1" x14ac:dyDescent="0.3">
      <c r="A8" s="106">
        <v>1</v>
      </c>
      <c r="C8" s="176"/>
      <c r="D8" s="177" t="s">
        <v>66</v>
      </c>
      <c r="E8" s="178" t="str">
        <f>ADBT2</f>
        <v>Office</v>
      </c>
      <c r="F8" s="178" t="str">
        <f>ADBT3</f>
        <v>Retail</v>
      </c>
      <c r="G8" s="178" t="str">
        <f>ADBT12</f>
        <v>Residential</v>
      </c>
      <c r="H8" s="178" t="str">
        <f>ADBT1</f>
        <v>Industrial</v>
      </c>
      <c r="I8" s="179" t="str">
        <f>ADBT8</f>
        <v>Education</v>
      </c>
      <c r="K8" s="180" t="str">
        <f>$D$5</f>
        <v>Office</v>
      </c>
      <c r="L8" s="181"/>
      <c r="M8" s="182"/>
      <c r="N8" s="182"/>
      <c r="O8" s="182"/>
      <c r="P8" s="444" t="s">
        <v>405</v>
      </c>
      <c r="Q8" s="183" t="s">
        <v>230</v>
      </c>
      <c r="R8" s="184"/>
      <c r="W8" s="85"/>
      <c r="X8" s="64"/>
      <c r="Y8" s="64"/>
      <c r="AA8" s="185" t="s">
        <v>92</v>
      </c>
      <c r="AB8" s="186" t="s">
        <v>93</v>
      </c>
      <c r="AC8" s="186" t="s">
        <v>94</v>
      </c>
      <c r="AD8" s="186" t="s">
        <v>254</v>
      </c>
      <c r="AE8" s="187" t="s">
        <v>95</v>
      </c>
      <c r="AG8" s="176" t="s">
        <v>92</v>
      </c>
      <c r="AH8" s="177" t="s">
        <v>93</v>
      </c>
      <c r="AI8" s="177" t="s">
        <v>94</v>
      </c>
      <c r="AJ8" s="177" t="s">
        <v>254</v>
      </c>
      <c r="AK8" s="188" t="s">
        <v>95</v>
      </c>
      <c r="AM8" s="176" t="s">
        <v>92</v>
      </c>
      <c r="AN8" s="177" t="s">
        <v>93</v>
      </c>
      <c r="AO8" s="177" t="s">
        <v>94</v>
      </c>
      <c r="AP8" s="177" t="s">
        <v>254</v>
      </c>
      <c r="AQ8" s="189" t="s">
        <v>95</v>
      </c>
      <c r="AR8" s="190" t="s">
        <v>256</v>
      </c>
      <c r="AS8" s="191" t="s">
        <v>55</v>
      </c>
      <c r="AT8" s="191"/>
      <c r="AU8" s="192" t="s">
        <v>256</v>
      </c>
      <c r="AV8" s="193" t="s">
        <v>55</v>
      </c>
      <c r="AW8" s="194"/>
      <c r="AX8" s="195" t="s">
        <v>256</v>
      </c>
      <c r="AY8" s="193" t="s">
        <v>55</v>
      </c>
      <c r="AZ8" s="196"/>
      <c r="BB8" s="106">
        <v>5</v>
      </c>
      <c r="BC8" s="106" t="s">
        <v>83</v>
      </c>
      <c r="BK8" s="177"/>
      <c r="BL8" s="177" t="str">
        <f>D8</f>
        <v>Management</v>
      </c>
      <c r="BM8" s="177" t="s">
        <v>547</v>
      </c>
      <c r="BN8" s="177" t="s">
        <v>545</v>
      </c>
      <c r="BO8" s="177" t="s">
        <v>555</v>
      </c>
      <c r="BP8" s="177" t="s">
        <v>552</v>
      </c>
      <c r="BU8" s="106" t="s">
        <v>548</v>
      </c>
    </row>
    <row r="9" spans="1:78" x14ac:dyDescent="0.25">
      <c r="A9" s="106">
        <v>2</v>
      </c>
      <c r="C9" s="197" t="s">
        <v>96</v>
      </c>
      <c r="D9" s="356" t="s">
        <v>341</v>
      </c>
      <c r="E9" s="351">
        <v>4</v>
      </c>
      <c r="F9" s="351">
        <v>4</v>
      </c>
      <c r="G9" s="351">
        <v>4</v>
      </c>
      <c r="H9" s="351">
        <v>4</v>
      </c>
      <c r="I9" s="352">
        <v>4</v>
      </c>
      <c r="K9" s="201">
        <f>HLOOKUP($D$5,$E$8:$I$99,$A9,FALSE)</f>
        <v>4</v>
      </c>
      <c r="L9" s="202"/>
      <c r="M9" s="203"/>
      <c r="N9" s="203"/>
      <c r="O9" s="203">
        <f>'Manuell filtrering og justering'!D7</f>
        <v>0</v>
      </c>
      <c r="P9" s="204">
        <f>VLOOKUP(C9,'Manuell filtrering og justering'!$A$7:$G$97,'Manuell filtrering og justering'!$G$1,FALSE)</f>
        <v>4</v>
      </c>
      <c r="Q9" s="205">
        <f>IF(SUM(L9:O9)&gt;K9,K9,SUM(L9:O9))</f>
        <v>0</v>
      </c>
      <c r="R9" s="206">
        <f>IF($S$4='Manuell filtrering og justering'!$I$2,P9,(K9-Q9))</f>
        <v>4</v>
      </c>
      <c r="T9" s="207">
        <f>(BP_32/Man_Credits)*Man01_credits</f>
        <v>2.4E-2</v>
      </c>
      <c r="U9" s="207">
        <f>IF(R9=0,0,(Man01_38/Man01_credits)*W9)</f>
        <v>0</v>
      </c>
      <c r="W9" s="208">
        <f>IF(VLOOKUP(D9,'Pre-Assessment Estimator'!$C$10:$W$100,'Pre-Assessment Estimator'!$E$2,FALSE)&gt;R9,R9,VLOOKUP(D9,'Pre-Assessment Estimator'!$C$10:$W$100,'Pre-Assessment Estimator'!$E$2,FALSE))</f>
        <v>0</v>
      </c>
      <c r="X9" s="208">
        <f>IF(VLOOKUP(D9,'Pre-Assessment Estimator'!$C$10:$W$100,'Pre-Assessment Estimator'!$L$2,FALSE)&gt;R9,R9,VLOOKUP(D9,'Pre-Assessment Estimator'!$C$10:$W$100,'Pre-Assessment Estimator'!$L$2,FALSE))</f>
        <v>0</v>
      </c>
      <c r="Y9" s="208">
        <f>IF(VLOOKUP(D9,'Pre-Assessment Estimator'!$C$10:$W$100,'Pre-Assessment Estimator'!$R$2,FALSE)&gt;R9,R9,VLOOKUP(D9,'Pre-Assessment Estimator'!$C$10:$W$100,'Pre-Assessment Estimator'!$R$2,FALSE))</f>
        <v>0</v>
      </c>
      <c r="AA9" s="209"/>
      <c r="AB9" s="358"/>
      <c r="AC9" s="358"/>
      <c r="AD9" s="358"/>
      <c r="AE9" s="210"/>
      <c r="AF9" s="359"/>
      <c r="AG9" s="209"/>
      <c r="AH9" s="358"/>
      <c r="AI9" s="358"/>
      <c r="AJ9" s="358"/>
      <c r="AK9" s="210"/>
      <c r="AL9" s="172"/>
      <c r="AM9" s="211"/>
      <c r="AN9" s="212"/>
      <c r="AO9" s="212"/>
      <c r="AP9" s="212"/>
      <c r="AQ9" s="213">
        <f t="shared" ref="AQ9:AQ69" si="0">IF($D$5=$G$8,AK9,AE9)</f>
        <v>0</v>
      </c>
      <c r="AR9" s="211">
        <f>IF(AQ9=0,9,IF(W9&gt;=AQ9,5,IF(W9&gt;=AP9,4,IF(W9&gt;=AO9,3,IF(W9&gt;=AN9,2,IF(W9&lt;AM9,0,1))))))</f>
        <v>9</v>
      </c>
      <c r="AS9" s="214" t="str">
        <f t="shared" ref="AS9:AS15" si="1">VLOOKUP(AR9,$BB$8:$BC$14,2,FALSE)</f>
        <v>N/A</v>
      </c>
      <c r="AT9" s="215"/>
      <c r="AU9" s="211">
        <f t="shared" ref="AU9:AU15" si="2">IF(AQ9=0,9,IF(X9&gt;=AQ9,5,IF(X9&gt;=AP9,4,IF(X9&gt;=AO9,3,IF(X9&gt;=AN9,2,IF(X9&lt;AM9,0,1))))))</f>
        <v>9</v>
      </c>
      <c r="AV9" s="214" t="str">
        <f t="shared" ref="AV9:AV15" si="3">VLOOKUP(AU9,$BB$8:$BC$14,2,FALSE)</f>
        <v>N/A</v>
      </c>
      <c r="AW9" s="215"/>
      <c r="AX9" s="211">
        <f>IF(AQ9=0,9,IF(Y9&gt;=AQ9,5,IF(Y9&gt;=AP9,4,IF(Y9&gt;=AO9,3,IF(Y9&gt;=AN9,2,IF(Y9&lt;AM9,0,1))))))</f>
        <v>9</v>
      </c>
      <c r="AY9" s="214" t="str">
        <f t="shared" ref="AY9:AY15" si="4">VLOOKUP(AX9,$BB$8:$BC$14,2,FALSE)</f>
        <v>N/A</v>
      </c>
      <c r="AZ9" s="215"/>
      <c r="BB9" s="106">
        <v>4</v>
      </c>
      <c r="BC9" s="106" t="s">
        <v>82</v>
      </c>
      <c r="BK9" s="858" t="str">
        <f>C9</f>
        <v>Man 01</v>
      </c>
      <c r="BL9" s="858" t="str">
        <f>IFERROR(VLOOKUP($D9,'Pre-Assessment Estimator'!$C$10:$X$100,'Pre-Assessment Estimator'!X$2,FALSE),"")</f>
        <v>No</v>
      </c>
      <c r="BM9" s="356">
        <f>IFERROR(VLOOKUP($D9,'Pre-Assessment Estimator'!$C$10:$AE$100,'Pre-Assessment Estimator'!AE$2,FALSE),"")</f>
        <v>0</v>
      </c>
      <c r="BN9" s="356">
        <f>IFERROR(VLOOKUP($BL9,$D$140:$G$173,E$138,FALSE),"")</f>
        <v>1</v>
      </c>
      <c r="BO9" s="356">
        <f t="shared" ref="BO9:BQ9" si="5">IFERROR(VLOOKUP($BL9,$D$140:$G$173,F$138,FALSE),"")</f>
        <v>0</v>
      </c>
      <c r="BP9" s="356"/>
      <c r="BQ9" s="106" t="str">
        <f t="shared" si="5"/>
        <v/>
      </c>
    </row>
    <row r="10" spans="1:78" x14ac:dyDescent="0.25">
      <c r="A10" s="106">
        <v>3</v>
      </c>
      <c r="C10" s="202" t="s">
        <v>97</v>
      </c>
      <c r="D10" s="354" t="s">
        <v>342</v>
      </c>
      <c r="E10" s="350">
        <v>4</v>
      </c>
      <c r="F10" s="350">
        <v>4</v>
      </c>
      <c r="G10" s="350">
        <v>4</v>
      </c>
      <c r="H10" s="350">
        <v>4</v>
      </c>
      <c r="I10" s="355">
        <v>4</v>
      </c>
      <c r="K10" s="218">
        <f t="shared" ref="K10:K16" si="6">HLOOKUP($D$5,$E$8:$I$99,$A10,FALSE)</f>
        <v>4</v>
      </c>
      <c r="L10" s="202"/>
      <c r="M10" s="203"/>
      <c r="N10" s="203"/>
      <c r="O10" s="203">
        <f>'Manuell filtrering og justering'!D8</f>
        <v>0</v>
      </c>
      <c r="P10" s="204">
        <f>VLOOKUP(C10,'Manuell filtrering og justering'!$A$7:$G$97,'Manuell filtrering og justering'!$G$1,FALSE)</f>
        <v>4</v>
      </c>
      <c r="Q10" s="205">
        <f t="shared" ref="Q10:Q15" si="7">IF(SUM(L10:O10)&gt;K10,K10,SUM(L10:O10))</f>
        <v>0</v>
      </c>
      <c r="R10" s="206">
        <f>IF($S$4='Manuell filtrering og justering'!$I$2,P10,(K10-Q10))</f>
        <v>4</v>
      </c>
      <c r="T10" s="207">
        <f>(BP_32/Man_Credits)*Man02_credits</f>
        <v>2.4E-2</v>
      </c>
      <c r="U10" s="207">
        <f>IF(R10=0,0,(Man02_11/Man02_credits)*Man02_user)</f>
        <v>0</v>
      </c>
      <c r="W10" s="208">
        <f>IF(VLOOKUP(D10,'Pre-Assessment Estimator'!$C$10:$W$100,'Pre-Assessment Estimator'!$E$2,FALSE)&gt;R10,R10,VLOOKUP(D10,'Pre-Assessment Estimator'!$C$10:$W$100,'Pre-Assessment Estimator'!$E$2,FALSE))</f>
        <v>0</v>
      </c>
      <c r="X10" s="208">
        <f>IF(VLOOKUP(D10,'Pre-Assessment Estimator'!$C$10:$W$100,'Pre-Assessment Estimator'!$L$2,FALSE)&gt;R10,R10,VLOOKUP(D10,'Pre-Assessment Estimator'!$C$10:$W$100,'Pre-Assessment Estimator'!$L$2,FALSE))</f>
        <v>0</v>
      </c>
      <c r="Y10" s="208">
        <f>IF(VLOOKUP(D10,'Pre-Assessment Estimator'!$C$10:$W$100,'Pre-Assessment Estimator'!$R$2,FALSE)&gt;R10,R10,VLOOKUP(D10,'Pre-Assessment Estimator'!$C$10:$W$100,'Pre-Assessment Estimator'!$R$2,FALSE))</f>
        <v>0</v>
      </c>
      <c r="AA10" s="360"/>
      <c r="AB10" s="219"/>
      <c r="AC10" s="219"/>
      <c r="AD10" s="219"/>
      <c r="AE10" s="224"/>
      <c r="AF10" s="359"/>
      <c r="AG10" s="360"/>
      <c r="AH10" s="219"/>
      <c r="AI10" s="219"/>
      <c r="AJ10" s="219"/>
      <c r="AK10" s="224"/>
      <c r="AL10" s="172"/>
      <c r="AM10" s="220"/>
      <c r="AN10" s="221"/>
      <c r="AO10" s="221"/>
      <c r="AP10" s="221"/>
      <c r="AQ10" s="222">
        <f t="shared" si="0"/>
        <v>0</v>
      </c>
      <c r="AR10" s="220">
        <f>IF(AQ10=0,9,IF(W10&gt;=AQ10,5,IF(W10&gt;=AP10,4,IF(W10&gt;=AO10,3,IF(W10&gt;=AN10,2,IF(W10&lt;AM10,0,1))))))</f>
        <v>9</v>
      </c>
      <c r="AS10" s="203" t="str">
        <f t="shared" si="1"/>
        <v>N/A</v>
      </c>
      <c r="AT10" s="223"/>
      <c r="AU10" s="220">
        <f t="shared" si="2"/>
        <v>9</v>
      </c>
      <c r="AV10" s="203" t="str">
        <f t="shared" si="3"/>
        <v>N/A</v>
      </c>
      <c r="AW10" s="223"/>
      <c r="AX10" s="220">
        <f t="shared" ref="AX10:AX70" si="8">IF(AQ10=0,9,IF(Y10&gt;=AQ10,5,IF(Y10&gt;=AP10,4,IF(Y10&gt;=AO10,3,IF(Y10&gt;=AN10,2,IF(Y10&lt;AM10,0,1))))))</f>
        <v>9</v>
      </c>
      <c r="AY10" s="203" t="str">
        <f t="shared" si="4"/>
        <v>N/A</v>
      </c>
      <c r="AZ10" s="223"/>
      <c r="BB10" s="106">
        <v>3</v>
      </c>
      <c r="BC10" s="106" t="s">
        <v>81</v>
      </c>
      <c r="BK10" s="859" t="str">
        <f t="shared" ref="BK10:BK13" si="9">C10</f>
        <v>Man 02</v>
      </c>
      <c r="BL10" s="859" t="str">
        <f>IFERROR(VLOOKUP($D10,'Pre-Assessment Estimator'!$C$10:$X$100,'Pre-Assessment Estimator'!X$2,FALSE),"")</f>
        <v>No</v>
      </c>
      <c r="BM10" s="354">
        <f>IFERROR(VLOOKUP($D10,'Pre-Assessment Estimator'!$C$10:$AE$100,'Pre-Assessment Estimator'!AE$2,FALSE),"")</f>
        <v>0</v>
      </c>
      <c r="BN10" s="354">
        <f t="shared" ref="BN10:BN73" si="10">IFERROR(VLOOKUP($BL10,$D$140:$G$173,E$138,FALSE),"")</f>
        <v>1</v>
      </c>
      <c r="BO10" s="354">
        <f t="shared" ref="BO10:BO73" si="11">IFERROR(VLOOKUP($BL10,$D$140:$G$173,F$138,FALSE),"")</f>
        <v>0</v>
      </c>
      <c r="BP10" s="354"/>
      <c r="BQ10" s="106" t="str">
        <f t="shared" ref="BQ10:BQ73" si="12">IFERROR(VLOOKUP($BL10,$D$140:$G$173,H$138,FALSE),"")</f>
        <v/>
      </c>
    </row>
    <row r="11" spans="1:78" x14ac:dyDescent="0.25">
      <c r="A11" s="106">
        <v>4</v>
      </c>
      <c r="C11" s="202" t="s">
        <v>98</v>
      </c>
      <c r="D11" s="354" t="s">
        <v>343</v>
      </c>
      <c r="E11" s="350">
        <v>6</v>
      </c>
      <c r="F11" s="350">
        <v>6</v>
      </c>
      <c r="G11" s="350">
        <v>6</v>
      </c>
      <c r="H11" s="350">
        <v>6</v>
      </c>
      <c r="I11" s="355">
        <v>6</v>
      </c>
      <c r="K11" s="218">
        <f t="shared" si="6"/>
        <v>6</v>
      </c>
      <c r="L11" s="202"/>
      <c r="M11" s="203"/>
      <c r="N11" s="203"/>
      <c r="O11" s="203">
        <f>'Manuell filtrering og justering'!D9</f>
        <v>0</v>
      </c>
      <c r="P11" s="204">
        <f>VLOOKUP(C11,'Manuell filtrering og justering'!$A$7:$G$97,'Manuell filtrering og justering'!$G$1,FALSE)</f>
        <v>6</v>
      </c>
      <c r="Q11" s="205">
        <f t="shared" si="7"/>
        <v>0</v>
      </c>
      <c r="R11" s="206">
        <f>IF($S$4='Manuell filtrering og justering'!$I$2,P11,(K11-Q11))</f>
        <v>6</v>
      </c>
      <c r="T11" s="207">
        <f>(BP_32/Man_Credits)*Man03_credits</f>
        <v>3.6000000000000004E-2</v>
      </c>
      <c r="U11" s="207">
        <f>IF(R11=0,0,(Man03_12/Man03_credits)*Man03_user)</f>
        <v>0</v>
      </c>
      <c r="W11" s="208">
        <f>IF(VLOOKUP(D11,'Pre-Assessment Estimator'!$C$10:$W$100,'Pre-Assessment Estimator'!$E$2,FALSE)&gt;R11,R11,VLOOKUP(D11,'Pre-Assessment Estimator'!$C$10:$W$100,'Pre-Assessment Estimator'!$E$2,FALSE))</f>
        <v>0</v>
      </c>
      <c r="X11" s="208">
        <f>IF(VLOOKUP(D11,'Pre-Assessment Estimator'!$C$10:$W$100,'Pre-Assessment Estimator'!$L$2,FALSE)&gt;R11,R11,VLOOKUP(D11,'Pre-Assessment Estimator'!$C$10:$W$100,'Pre-Assessment Estimator'!$L$2,FALSE))</f>
        <v>0</v>
      </c>
      <c r="Y11" s="208">
        <f>IF(VLOOKUP(D11,'Pre-Assessment Estimator'!$C$10:$W$100,'Pre-Assessment Estimator'!$R$2,FALSE)&gt;R11,R11,VLOOKUP(D11,'Pre-Assessment Estimator'!$C$10:$W$100,'Pre-Assessment Estimator'!$R$2,FALSE))</f>
        <v>0</v>
      </c>
      <c r="AA11" s="373"/>
      <c r="AB11" s="374"/>
      <c r="AC11" s="374"/>
      <c r="AD11" s="374">
        <v>1</v>
      </c>
      <c r="AE11" s="375">
        <v>2</v>
      </c>
      <c r="AF11" s="359"/>
      <c r="AG11" s="373"/>
      <c r="AH11" s="374"/>
      <c r="AI11" s="374"/>
      <c r="AJ11" s="374">
        <v>1</v>
      </c>
      <c r="AK11" s="375">
        <v>2</v>
      </c>
      <c r="AL11" s="172"/>
      <c r="AM11" s="220"/>
      <c r="AN11" s="221"/>
      <c r="AO11" s="221"/>
      <c r="AP11" s="221">
        <f t="shared" ref="AP11:AP12" si="13">IF($D$5=$G$8,AJ11,AD11)</f>
        <v>1</v>
      </c>
      <c r="AQ11" s="222">
        <f t="shared" si="0"/>
        <v>2</v>
      </c>
      <c r="AR11" s="220">
        <f t="shared" ref="AR11:AR74" si="14">IF(AQ11=0,9,IF(W11&gt;=AQ11,5,IF(W11&gt;=AP11,4,IF(W11&gt;=AO11,3,IF(W11&gt;=AN11,2,IF(W11&lt;AM11,0,1))))))</f>
        <v>3</v>
      </c>
      <c r="AS11" s="203" t="str">
        <f t="shared" si="1"/>
        <v>Very Good</v>
      </c>
      <c r="AT11" s="223"/>
      <c r="AU11" s="220">
        <f t="shared" si="2"/>
        <v>3</v>
      </c>
      <c r="AV11" s="203" t="str">
        <f t="shared" si="3"/>
        <v>Very Good</v>
      </c>
      <c r="AW11" s="223"/>
      <c r="AX11" s="220">
        <f t="shared" si="8"/>
        <v>3</v>
      </c>
      <c r="AY11" s="203" t="str">
        <f t="shared" si="4"/>
        <v>Very Good</v>
      </c>
      <c r="AZ11" s="223"/>
      <c r="BB11" s="106">
        <v>2</v>
      </c>
      <c r="BC11" s="106" t="s">
        <v>80</v>
      </c>
      <c r="BK11" s="859" t="str">
        <f t="shared" si="9"/>
        <v>Man 03</v>
      </c>
      <c r="BL11" s="859" t="str">
        <f>IFERROR(VLOOKUP($D11,'Pre-Assessment Estimator'!$C$10:$X$100,'Pre-Assessment Estimator'!X$2,FALSE),"")</f>
        <v>N/A</v>
      </c>
      <c r="BM11" s="354">
        <f>IFERROR(VLOOKUP($D11,'Pre-Assessment Estimator'!$C$10:$AE$100,'Pre-Assessment Estimator'!AE$2,FALSE),"")</f>
        <v>0</v>
      </c>
      <c r="BN11" s="354">
        <f t="shared" si="10"/>
        <v>1</v>
      </c>
      <c r="BO11" s="354">
        <f t="shared" si="11"/>
        <v>0</v>
      </c>
      <c r="BP11" s="354"/>
      <c r="BQ11" s="106" t="str">
        <f t="shared" si="12"/>
        <v/>
      </c>
    </row>
    <row r="12" spans="1:78" x14ac:dyDescent="0.25">
      <c r="A12" s="106">
        <v>5</v>
      </c>
      <c r="C12" s="202" t="s">
        <v>99</v>
      </c>
      <c r="D12" s="354" t="s">
        <v>505</v>
      </c>
      <c r="E12" s="350">
        <v>3</v>
      </c>
      <c r="F12" s="350">
        <v>3</v>
      </c>
      <c r="G12" s="350">
        <v>3</v>
      </c>
      <c r="H12" s="350">
        <v>3</v>
      </c>
      <c r="I12" s="355">
        <v>3</v>
      </c>
      <c r="K12" s="218">
        <f t="shared" si="6"/>
        <v>3</v>
      </c>
      <c r="L12" s="202"/>
      <c r="M12" s="203"/>
      <c r="N12" s="203"/>
      <c r="O12" s="203">
        <f>'Manuell filtrering og justering'!D10</f>
        <v>0</v>
      </c>
      <c r="P12" s="204">
        <f>VLOOKUP(C12,'Manuell filtrering og justering'!$A$7:$G$97,'Manuell filtrering og justering'!$G$1,FALSE)</f>
        <v>3</v>
      </c>
      <c r="Q12" s="205">
        <f t="shared" si="7"/>
        <v>0</v>
      </c>
      <c r="R12" s="206">
        <f>IF($S$4='Manuell filtrering og justering'!$I$2,P12,(K12-Q12))</f>
        <v>3</v>
      </c>
      <c r="T12" s="207">
        <f>(BP_32/Man_Credits)*Man04_credits</f>
        <v>1.8000000000000002E-2</v>
      </c>
      <c r="U12" s="207">
        <f>IF(R12=0,0,(Man04_17/Man04_credits)*Man04_user)</f>
        <v>0</v>
      </c>
      <c r="W12" s="208">
        <f>IF(VLOOKUP(D12,'Pre-Assessment Estimator'!$C$10:$W$100,'Pre-Assessment Estimator'!$E$2,FALSE)&gt;R12,R12,VLOOKUP(D12,'Pre-Assessment Estimator'!$C$10:$W$100,'Pre-Assessment Estimator'!$E$2,FALSE))</f>
        <v>0</v>
      </c>
      <c r="X12" s="208">
        <f>IF(VLOOKUP(D12,'Pre-Assessment Estimator'!$C$10:$W$100,'Pre-Assessment Estimator'!$L$2,FALSE)&gt;R12,R12,VLOOKUP(D12,'Pre-Assessment Estimator'!$C$10:$W$100,'Pre-Assessment Estimator'!$L$2,FALSE))</f>
        <v>0</v>
      </c>
      <c r="Y12" s="208">
        <f>IF(VLOOKUP(D12,'Pre-Assessment Estimator'!$C$10:$W$100,'Pre-Assessment Estimator'!$R$2,FALSE)&gt;R12,R12,VLOOKUP(D12,'Pre-Assessment Estimator'!$C$10:$W$100,'Pre-Assessment Estimator'!$R$2,FALSE))</f>
        <v>0</v>
      </c>
      <c r="AA12" s="373">
        <v>1</v>
      </c>
      <c r="AB12" s="374">
        <v>1</v>
      </c>
      <c r="AC12" s="374">
        <v>2</v>
      </c>
      <c r="AD12" s="374">
        <v>2</v>
      </c>
      <c r="AE12" s="375">
        <v>3</v>
      </c>
      <c r="AF12" s="359"/>
      <c r="AG12" s="373">
        <v>1</v>
      </c>
      <c r="AH12" s="374">
        <v>1</v>
      </c>
      <c r="AI12" s="374">
        <v>2</v>
      </c>
      <c r="AJ12" s="374">
        <v>2</v>
      </c>
      <c r="AK12" s="375">
        <v>3</v>
      </c>
      <c r="AL12" s="172"/>
      <c r="AM12" s="220">
        <f>IF($D$5=$G$8,AG12,AA12)</f>
        <v>1</v>
      </c>
      <c r="AN12" s="221">
        <f>IF($D$5=$G$8,AH12,AB12)</f>
        <v>1</v>
      </c>
      <c r="AO12" s="221">
        <f t="shared" ref="AO12" si="15">IF($D$5=$G$8,AI12,AC12)</f>
        <v>2</v>
      </c>
      <c r="AP12" s="221">
        <f t="shared" si="13"/>
        <v>2</v>
      </c>
      <c r="AQ12" s="225">
        <f t="shared" si="0"/>
        <v>3</v>
      </c>
      <c r="AR12" s="220">
        <f t="shared" si="14"/>
        <v>0</v>
      </c>
      <c r="AS12" s="203" t="str">
        <f t="shared" si="1"/>
        <v>Unclassified</v>
      </c>
      <c r="AT12" s="223"/>
      <c r="AU12" s="220">
        <f t="shared" si="2"/>
        <v>0</v>
      </c>
      <c r="AV12" s="203" t="str">
        <f t="shared" si="3"/>
        <v>Unclassified</v>
      </c>
      <c r="AW12" s="223"/>
      <c r="AX12" s="220">
        <f t="shared" si="8"/>
        <v>0</v>
      </c>
      <c r="AY12" s="203" t="str">
        <f t="shared" si="4"/>
        <v>Unclassified</v>
      </c>
      <c r="AZ12" s="223"/>
      <c r="BB12" s="106">
        <v>1</v>
      </c>
      <c r="BC12" s="106" t="s">
        <v>79</v>
      </c>
      <c r="BK12" s="859" t="str">
        <f t="shared" si="9"/>
        <v>Man 04</v>
      </c>
      <c r="BL12" s="859" t="str">
        <f>IFERROR(VLOOKUP($D12,'Pre-Assessment Estimator'!$C$10:$X$100,'Pre-Assessment Estimator'!X$2,FALSE),"")</f>
        <v>No</v>
      </c>
      <c r="BM12" s="354">
        <f>IFERROR(VLOOKUP($D12,'Pre-Assessment Estimator'!$C$10:$AE$100,'Pre-Assessment Estimator'!AE$2,FALSE),"")</f>
        <v>0</v>
      </c>
      <c r="BN12" s="354">
        <f t="shared" si="10"/>
        <v>1</v>
      </c>
      <c r="BO12" s="354">
        <f t="shared" si="11"/>
        <v>0</v>
      </c>
      <c r="BP12" s="354"/>
      <c r="BQ12" s="106" t="str">
        <f t="shared" si="12"/>
        <v/>
      </c>
    </row>
    <row r="13" spans="1:78" x14ac:dyDescent="0.25">
      <c r="A13" s="106">
        <v>6</v>
      </c>
      <c r="C13" s="202" t="s">
        <v>100</v>
      </c>
      <c r="D13" s="354" t="s">
        <v>345</v>
      </c>
      <c r="E13" s="350">
        <v>3</v>
      </c>
      <c r="F13" s="350">
        <v>3</v>
      </c>
      <c r="G13" s="350">
        <v>3</v>
      </c>
      <c r="H13" s="350">
        <v>3</v>
      </c>
      <c r="I13" s="355">
        <v>3</v>
      </c>
      <c r="K13" s="218">
        <f t="shared" si="6"/>
        <v>3</v>
      </c>
      <c r="L13" s="202"/>
      <c r="M13" s="203"/>
      <c r="N13" s="203"/>
      <c r="O13" s="203">
        <f>'Manuell filtrering og justering'!D11</f>
        <v>0</v>
      </c>
      <c r="P13" s="204">
        <f>VLOOKUP(C13,'Manuell filtrering og justering'!$A$7:$G$97,'Manuell filtrering og justering'!$G$1,FALSE)</f>
        <v>3</v>
      </c>
      <c r="Q13" s="205">
        <f t="shared" si="7"/>
        <v>0</v>
      </c>
      <c r="R13" s="206">
        <f>IF($S$4='Manuell filtrering og justering'!$I$2,P13,(K13-Q13))</f>
        <v>3</v>
      </c>
      <c r="T13" s="207">
        <f>(BP_32/Man_Credits)*Man05_credits</f>
        <v>1.8000000000000002E-2</v>
      </c>
      <c r="U13" s="207">
        <f>IF(R13=0,0,(Man05_10/Man05_credits)*Man05_user)</f>
        <v>0</v>
      </c>
      <c r="W13" s="208">
        <f>IF(VLOOKUP(D13,'Pre-Assessment Estimator'!$C$10:$W$100,'Pre-Assessment Estimator'!$E$2,FALSE)&gt;R13,R13,VLOOKUP(D13,'Pre-Assessment Estimator'!$C$10:$W$100,'Pre-Assessment Estimator'!$E$2,FALSE))</f>
        <v>0</v>
      </c>
      <c r="X13" s="208">
        <f>IF(VLOOKUP(D13,'Pre-Assessment Estimator'!$C$10:$W$100,'Pre-Assessment Estimator'!$L$2,FALSE)&gt;R13,R13,VLOOKUP(D13,'Pre-Assessment Estimator'!$C$10:$W$100,'Pre-Assessment Estimator'!$L$2,FALSE))</f>
        <v>0</v>
      </c>
      <c r="Y13" s="208">
        <f>IF(VLOOKUP(D13,'Pre-Assessment Estimator'!$C$10:$W$100,'Pre-Assessment Estimator'!$R$2,FALSE)&gt;R13,R13,VLOOKUP(D13,'Pre-Assessment Estimator'!$C$10:$W$100,'Pre-Assessment Estimator'!$R$2,FALSE))</f>
        <v>0</v>
      </c>
      <c r="AA13" s="376"/>
      <c r="AB13" s="377"/>
      <c r="AC13" s="377"/>
      <c r="AD13" s="377">
        <v>1</v>
      </c>
      <c r="AE13" s="378">
        <v>1</v>
      </c>
      <c r="AF13" s="169"/>
      <c r="AG13" s="376"/>
      <c r="AH13" s="377"/>
      <c r="AI13" s="377"/>
      <c r="AJ13" s="377">
        <v>1</v>
      </c>
      <c r="AK13" s="378">
        <v>1</v>
      </c>
      <c r="AM13" s="226"/>
      <c r="AN13" s="227"/>
      <c r="AO13" s="227"/>
      <c r="AP13" s="227">
        <f>IF($D$5=$G$8,AJ13,AD13)</f>
        <v>1</v>
      </c>
      <c r="AQ13" s="228">
        <f>IF($D$5=$G$8,AK13,AE13)</f>
        <v>1</v>
      </c>
      <c r="AR13" s="220">
        <f t="shared" si="14"/>
        <v>3</v>
      </c>
      <c r="AS13" s="203" t="str">
        <f t="shared" si="1"/>
        <v>Very Good</v>
      </c>
      <c r="AT13" s="223"/>
      <c r="AU13" s="220">
        <f t="shared" si="2"/>
        <v>3</v>
      </c>
      <c r="AV13" s="203" t="str">
        <f t="shared" si="3"/>
        <v>Very Good</v>
      </c>
      <c r="AW13" s="223"/>
      <c r="AX13" s="220">
        <f t="shared" si="8"/>
        <v>3</v>
      </c>
      <c r="AY13" s="203" t="str">
        <f t="shared" si="4"/>
        <v>Very Good</v>
      </c>
      <c r="AZ13" s="223"/>
      <c r="BB13" s="106">
        <v>0</v>
      </c>
      <c r="BC13" s="106" t="s">
        <v>77</v>
      </c>
      <c r="BK13" s="859" t="str">
        <f t="shared" si="9"/>
        <v>Man 05</v>
      </c>
      <c r="BL13" s="859" t="str">
        <f>IFERROR(VLOOKUP($D13,'Pre-Assessment Estimator'!$C$10:$X$100,'Pre-Assessment Estimator'!X$2,FALSE),"")</f>
        <v>No</v>
      </c>
      <c r="BM13" s="354">
        <f>IFERROR(VLOOKUP($D13,'Pre-Assessment Estimator'!$C$10:$AE$100,'Pre-Assessment Estimator'!AE$2,FALSE),"")</f>
        <v>0</v>
      </c>
      <c r="BN13" s="354">
        <f t="shared" si="10"/>
        <v>1</v>
      </c>
      <c r="BO13" s="354">
        <f t="shared" si="11"/>
        <v>0</v>
      </c>
      <c r="BP13" s="354"/>
      <c r="BQ13" s="106" t="s">
        <v>550</v>
      </c>
    </row>
    <row r="14" spans="1:78" x14ac:dyDescent="0.25">
      <c r="A14" s="106">
        <v>7</v>
      </c>
      <c r="C14" s="202" t="s">
        <v>101</v>
      </c>
      <c r="D14" s="203"/>
      <c r="E14" s="216"/>
      <c r="F14" s="216"/>
      <c r="G14" s="216"/>
      <c r="H14" s="216"/>
      <c r="I14" s="217"/>
      <c r="K14" s="218">
        <f t="shared" si="6"/>
        <v>0</v>
      </c>
      <c r="L14" s="202"/>
      <c r="M14" s="203"/>
      <c r="N14" s="203"/>
      <c r="O14" s="203">
        <f>'Manuell filtrering og justering'!D12</f>
        <v>0</v>
      </c>
      <c r="P14" s="204"/>
      <c r="Q14" s="205">
        <f t="shared" si="7"/>
        <v>0</v>
      </c>
      <c r="R14" s="206">
        <f>IF($S$4='Manuell filtrering og justering'!$I$2,P14,(K14-Q14))</f>
        <v>0</v>
      </c>
      <c r="T14" s="207">
        <f>(BP_32/Man_Credits)*Man06_credits</f>
        <v>0</v>
      </c>
      <c r="U14" s="207">
        <f>IF(R14=0,0,(T14/Man06_credits)*Man06_user)</f>
        <v>0</v>
      </c>
      <c r="W14" s="208"/>
      <c r="X14" s="208"/>
      <c r="Y14" s="208"/>
      <c r="AA14" s="361"/>
      <c r="AB14" s="362"/>
      <c r="AC14" s="362"/>
      <c r="AD14" s="362"/>
      <c r="AE14" s="363"/>
      <c r="AF14" s="169"/>
      <c r="AG14" s="361"/>
      <c r="AH14" s="362"/>
      <c r="AI14" s="362"/>
      <c r="AJ14" s="362"/>
      <c r="AK14" s="363"/>
      <c r="AM14" s="226"/>
      <c r="AN14" s="229"/>
      <c r="AO14" s="227"/>
      <c r="AP14" s="227"/>
      <c r="AQ14" s="222">
        <f t="shared" si="0"/>
        <v>0</v>
      </c>
      <c r="AR14" s="220">
        <f t="shared" si="14"/>
        <v>9</v>
      </c>
      <c r="AS14" s="203" t="str">
        <f t="shared" si="1"/>
        <v>N/A</v>
      </c>
      <c r="AT14" s="223"/>
      <c r="AU14" s="220">
        <f t="shared" si="2"/>
        <v>9</v>
      </c>
      <c r="AV14" s="203" t="str">
        <f t="shared" si="3"/>
        <v>N/A</v>
      </c>
      <c r="AW14" s="223"/>
      <c r="AX14" s="220">
        <f t="shared" si="8"/>
        <v>9</v>
      </c>
      <c r="AY14" s="203" t="str">
        <f t="shared" si="4"/>
        <v>N/A</v>
      </c>
      <c r="AZ14" s="223"/>
      <c r="BB14" s="106">
        <v>9</v>
      </c>
      <c r="BC14" s="106" t="s">
        <v>15</v>
      </c>
      <c r="BK14" s="203"/>
      <c r="BL14" s="203" t="str">
        <f>IFERROR(VLOOKUP($D14,'Pre-Assessment Estimator'!$C$10:$X$100,'Pre-Assessment Estimator'!X$2,FALSE),"")</f>
        <v/>
      </c>
      <c r="BM14" s="203" t="str">
        <f>IFERROR(VLOOKUP($D14,'Pre-Assessment Estimator'!$C$10:$AE$100,'Pre-Assessment Estimator'!AE$2,FALSE),"")</f>
        <v/>
      </c>
      <c r="BN14" s="203" t="str">
        <f t="shared" si="10"/>
        <v/>
      </c>
      <c r="BO14" s="203" t="str">
        <f t="shared" si="11"/>
        <v/>
      </c>
      <c r="BP14" s="203"/>
      <c r="BQ14" s="106" t="str">
        <f t="shared" si="12"/>
        <v/>
      </c>
    </row>
    <row r="15" spans="1:78" ht="15.75" thickBot="1" x14ac:dyDescent="0.3">
      <c r="A15" s="106">
        <v>8</v>
      </c>
      <c r="C15" s="230" t="s">
        <v>102</v>
      </c>
      <c r="D15" s="231"/>
      <c r="E15" s="232"/>
      <c r="F15" s="232"/>
      <c r="G15" s="232"/>
      <c r="H15" s="232"/>
      <c r="I15" s="233"/>
      <c r="K15" s="234">
        <f t="shared" si="6"/>
        <v>0</v>
      </c>
      <c r="L15" s="202"/>
      <c r="M15" s="203"/>
      <c r="N15" s="203"/>
      <c r="O15" s="203">
        <f>'Manuell filtrering og justering'!D13</f>
        <v>0</v>
      </c>
      <c r="P15" s="204"/>
      <c r="Q15" s="205">
        <f t="shared" si="7"/>
        <v>0</v>
      </c>
      <c r="R15" s="206">
        <f>IF($S$4='Manuell filtrering og justering'!$I$2,P15,(K15-Q15))</f>
        <v>0</v>
      </c>
      <c r="T15" s="207">
        <f>(BP_32/Man_Credits)*Man07_credits</f>
        <v>0</v>
      </c>
      <c r="U15" s="207">
        <f>IF(R15=0,0,(T15/Man07_credits)*Man07_user)</f>
        <v>0</v>
      </c>
      <c r="W15" s="208"/>
      <c r="X15" s="208"/>
      <c r="Y15" s="208"/>
      <c r="AA15" s="364"/>
      <c r="AB15" s="365"/>
      <c r="AC15" s="365"/>
      <c r="AD15" s="365"/>
      <c r="AE15" s="366"/>
      <c r="AF15" s="169"/>
      <c r="AG15" s="364"/>
      <c r="AH15" s="365"/>
      <c r="AI15" s="365"/>
      <c r="AJ15" s="365"/>
      <c r="AK15" s="366"/>
      <c r="AM15" s="237"/>
      <c r="AN15" s="238"/>
      <c r="AO15" s="239"/>
      <c r="AP15" s="239"/>
      <c r="AQ15" s="240">
        <f t="shared" si="0"/>
        <v>0</v>
      </c>
      <c r="AR15" s="241">
        <f t="shared" si="14"/>
        <v>9</v>
      </c>
      <c r="AS15" s="242" t="str">
        <f t="shared" si="1"/>
        <v>N/A</v>
      </c>
      <c r="AT15" s="243"/>
      <c r="AU15" s="241">
        <f t="shared" si="2"/>
        <v>9</v>
      </c>
      <c r="AV15" s="242" t="str">
        <f t="shared" si="3"/>
        <v>N/A</v>
      </c>
      <c r="AW15" s="243"/>
      <c r="AX15" s="241">
        <f t="shared" si="8"/>
        <v>9</v>
      </c>
      <c r="AY15" s="242" t="str">
        <f t="shared" si="4"/>
        <v>N/A</v>
      </c>
      <c r="AZ15" s="243"/>
      <c r="BK15" s="231"/>
      <c r="BL15" s="231" t="str">
        <f>IFERROR(VLOOKUP($D15,'Pre-Assessment Estimator'!$C$10:$X$100,'Pre-Assessment Estimator'!X$2,FALSE),"")</f>
        <v/>
      </c>
      <c r="BM15" s="231" t="str">
        <f>IFERROR(VLOOKUP($D15,'Pre-Assessment Estimator'!$C$10:$AE$100,'Pre-Assessment Estimator'!AE$2,FALSE),"")</f>
        <v/>
      </c>
      <c r="BN15" s="231" t="str">
        <f t="shared" si="10"/>
        <v/>
      </c>
      <c r="BO15" s="231" t="str">
        <f t="shared" si="11"/>
        <v/>
      </c>
      <c r="BP15" s="231"/>
      <c r="BQ15" s="106" t="str">
        <f t="shared" si="12"/>
        <v/>
      </c>
    </row>
    <row r="16" spans="1:78" ht="15.75" thickBot="1" x14ac:dyDescent="0.3">
      <c r="A16" s="106">
        <v>9</v>
      </c>
      <c r="C16" s="244"/>
      <c r="D16" s="245" t="s">
        <v>230</v>
      </c>
      <c r="E16" s="245">
        <f>SUM(E9:E15)</f>
        <v>20</v>
      </c>
      <c r="F16" s="245">
        <f>SUM(F9:F15)</f>
        <v>20</v>
      </c>
      <c r="G16" s="245">
        <f>SUM(G9:G15)</f>
        <v>20</v>
      </c>
      <c r="H16" s="245">
        <f>SUM(H9:H15)</f>
        <v>20</v>
      </c>
      <c r="I16" s="246">
        <f>SUM(I9:I15)</f>
        <v>20</v>
      </c>
      <c r="K16" s="247">
        <f t="shared" si="6"/>
        <v>20</v>
      </c>
      <c r="L16" s="248"/>
      <c r="M16" s="249"/>
      <c r="N16" s="249"/>
      <c r="O16" s="249"/>
      <c r="P16" s="250"/>
      <c r="Q16" s="251">
        <f>SUM(Q9:Q15)</f>
        <v>0</v>
      </c>
      <c r="R16" s="252">
        <f>SUM(R9:R15)</f>
        <v>20</v>
      </c>
      <c r="T16" s="253">
        <f>SUM(T9:T15)</f>
        <v>0.12000000000000001</v>
      </c>
      <c r="U16" s="253">
        <f>SUM(U9:U15)</f>
        <v>0</v>
      </c>
      <c r="W16" s="86">
        <f>SUM(W9:W15)</f>
        <v>0</v>
      </c>
      <c r="X16" s="86">
        <f>SUM(X9:X15)</f>
        <v>0</v>
      </c>
      <c r="Y16" s="86">
        <f>SUM(Y9:Y15)</f>
        <v>0</v>
      </c>
      <c r="AA16" s="169"/>
      <c r="AB16" s="169"/>
      <c r="AC16" s="169"/>
      <c r="AD16" s="169"/>
      <c r="AE16" s="169"/>
      <c r="AF16" s="169"/>
      <c r="AG16" s="169"/>
      <c r="AH16" s="169"/>
      <c r="AI16" s="169"/>
      <c r="AJ16" s="169"/>
      <c r="AK16" s="169"/>
      <c r="AM16" s="107"/>
      <c r="AN16" s="254"/>
      <c r="AO16" s="107"/>
      <c r="AP16" s="107"/>
      <c r="AQ16" s="107"/>
      <c r="BK16" s="245"/>
      <c r="BL16" s="245" t="str">
        <f>IFERROR(VLOOKUP($D16,'Pre-Assessment Estimator'!$C$10:$X$100,'Pre-Assessment Estimator'!X$2,FALSE),"")</f>
        <v/>
      </c>
      <c r="BM16" s="245" t="str">
        <f>IFERROR(VLOOKUP($D16,'Pre-Assessment Estimator'!$C$10:$AE$100,'Pre-Assessment Estimator'!AE$2,FALSE),"")</f>
        <v/>
      </c>
      <c r="BN16" s="245" t="str">
        <f t="shared" si="10"/>
        <v/>
      </c>
      <c r="BO16" s="245" t="str">
        <f t="shared" si="11"/>
        <v/>
      </c>
      <c r="BP16" s="245"/>
      <c r="BQ16" s="106" t="str">
        <f t="shared" si="12"/>
        <v/>
      </c>
    </row>
    <row r="17" spans="1:75" ht="15.75" thickBot="1" x14ac:dyDescent="0.3">
      <c r="A17" s="106">
        <v>10</v>
      </c>
      <c r="W17" s="1"/>
      <c r="X17" s="1"/>
      <c r="Y17" s="1"/>
      <c r="AA17" s="169"/>
      <c r="AB17" s="169"/>
      <c r="AC17" s="169"/>
      <c r="AD17" s="169"/>
      <c r="AE17" s="169"/>
      <c r="AF17" s="169"/>
      <c r="AG17" s="169"/>
      <c r="AH17" s="169"/>
      <c r="AI17" s="169"/>
      <c r="AJ17" s="169"/>
      <c r="AK17" s="169"/>
      <c r="AM17" s="107"/>
      <c r="AN17" s="254"/>
      <c r="AO17" s="107"/>
      <c r="AP17" s="107"/>
      <c r="AQ17" s="107"/>
      <c r="BL17" s="106" t="str">
        <f>IFERROR(VLOOKUP($D17,'Pre-Assessment Estimator'!$C$10:$X$100,'Pre-Assessment Estimator'!X$2,FALSE),"")</f>
        <v/>
      </c>
      <c r="BM17" s="106" t="str">
        <f>IFERROR(VLOOKUP($D17,'Pre-Assessment Estimator'!$C$10:$AE$100,'Pre-Assessment Estimator'!AE$2,FALSE),"")</f>
        <v/>
      </c>
      <c r="BN17" s="106" t="str">
        <f t="shared" si="10"/>
        <v/>
      </c>
      <c r="BO17" s="106" t="str">
        <f t="shared" si="11"/>
        <v/>
      </c>
      <c r="BQ17" s="106" t="str">
        <f t="shared" si="12"/>
        <v/>
      </c>
    </row>
    <row r="18" spans="1:75" ht="15.75" thickBot="1" x14ac:dyDescent="0.3">
      <c r="A18" s="106">
        <v>11</v>
      </c>
      <c r="C18" s="176"/>
      <c r="D18" s="177" t="s">
        <v>69</v>
      </c>
      <c r="E18" s="178" t="str">
        <f>$E$8</f>
        <v>Office</v>
      </c>
      <c r="F18" s="178" t="str">
        <f>$F$8</f>
        <v>Retail</v>
      </c>
      <c r="G18" s="178" t="str">
        <f>$G$8</f>
        <v>Residential</v>
      </c>
      <c r="H18" s="178" t="str">
        <f>$H$8</f>
        <v>Industrial</v>
      </c>
      <c r="I18" s="179" t="str">
        <f>$I$8</f>
        <v>Education</v>
      </c>
      <c r="K18" s="168" t="str">
        <f>$D$5</f>
        <v>Office</v>
      </c>
      <c r="L18" s="255"/>
      <c r="M18" s="256"/>
      <c r="N18" s="848"/>
      <c r="O18" s="256"/>
      <c r="P18" s="444" t="s">
        <v>405</v>
      </c>
      <c r="Q18" s="183" t="s">
        <v>230</v>
      </c>
      <c r="R18" s="168"/>
      <c r="W18" s="44"/>
      <c r="X18" s="64"/>
      <c r="Y18" s="64"/>
      <c r="AA18" s="169"/>
      <c r="AB18" s="169"/>
      <c r="AC18" s="169"/>
      <c r="AD18" s="169"/>
      <c r="AE18" s="169"/>
      <c r="AF18" s="169"/>
      <c r="AG18" s="169"/>
      <c r="AH18" s="169"/>
      <c r="AI18" s="169"/>
      <c r="AJ18" s="169"/>
      <c r="AK18" s="169"/>
      <c r="AM18" s="107"/>
      <c r="AN18" s="254"/>
      <c r="AO18" s="107"/>
      <c r="AP18" s="107"/>
      <c r="AQ18" s="107"/>
      <c r="BD18" s="185" t="s">
        <v>304</v>
      </c>
      <c r="BE18" s="186" t="s">
        <v>90</v>
      </c>
      <c r="BF18" s="186" t="s">
        <v>302</v>
      </c>
      <c r="BG18" s="186" t="s">
        <v>303</v>
      </c>
      <c r="BH18" s="187" t="s">
        <v>1</v>
      </c>
      <c r="BK18" s="177"/>
      <c r="BL18" s="177" t="str">
        <f>D18</f>
        <v>Health &amp; Wellbeing</v>
      </c>
      <c r="BM18" s="177">
        <f>IFERROR(VLOOKUP($D18,'Pre-Assessment Estimator'!$C$10:$AE$100,'Pre-Assessment Estimator'!AE$2,FALSE),"")</f>
        <v>0</v>
      </c>
      <c r="BN18" s="177" t="str">
        <f t="shared" si="10"/>
        <v/>
      </c>
      <c r="BO18" s="177" t="str">
        <f t="shared" si="11"/>
        <v/>
      </c>
      <c r="BP18" s="177"/>
      <c r="BQ18" s="106" t="str">
        <f t="shared" si="12"/>
        <v/>
      </c>
    </row>
    <row r="19" spans="1:75" x14ac:dyDescent="0.25">
      <c r="A19" s="106">
        <v>12</v>
      </c>
      <c r="C19" s="197" t="s">
        <v>124</v>
      </c>
      <c r="D19" s="198" t="s">
        <v>122</v>
      </c>
      <c r="E19" s="199">
        <v>4</v>
      </c>
      <c r="F19" s="199">
        <v>4</v>
      </c>
      <c r="G19" s="199">
        <v>4</v>
      </c>
      <c r="H19" s="199">
        <v>4</v>
      </c>
      <c r="I19" s="200">
        <v>4</v>
      </c>
      <c r="K19" s="257">
        <f t="shared" ref="K19:K28" si="16">HLOOKUP($D$5,$E$8:$I$99,$A19,FALSE)</f>
        <v>4</v>
      </c>
      <c r="L19" s="202"/>
      <c r="M19" s="203"/>
      <c r="N19" s="203"/>
      <c r="O19" s="203">
        <f>'Manuell filtrering og justering'!D17</f>
        <v>0</v>
      </c>
      <c r="P19" s="204">
        <f>VLOOKUP(C19,'Manuell filtrering og justering'!$A$7:$G$97,'Manuell filtrering og justering'!$G$1,FALSE)</f>
        <v>4</v>
      </c>
      <c r="Q19" s="205">
        <f>IF(SUM(L19:O19)&gt;K19,K19,SUM(L19:O19))</f>
        <v>0</v>
      </c>
      <c r="R19" s="206">
        <f>IF($S$4='Manuell filtrering og justering'!$I$2,P19,(K19-Q19))</f>
        <v>4</v>
      </c>
      <c r="T19" s="207">
        <f>(Hea_Weight/Hea_Credits)*Hea01_credits</f>
        <v>0.03</v>
      </c>
      <c r="U19" s="207">
        <f>IF(R19=0,0,(Hea01_26/Hea01_credits)*Hea01_user)</f>
        <v>0</v>
      </c>
      <c r="W19" s="259">
        <f>IF(VLOOKUP(D19,'Pre-Assessment Estimator'!$C$10:$W$100,'Pre-Assessment Estimator'!$E$2,FALSE)=0,0,IF((IF(VLOOKUP(D19,'Pre-Assessment Estimator'!$C$10:$W$100,'Pre-Assessment Estimator'!$E$2,FALSE)&gt;R19,R19,VLOOKUP(D19,'Pre-Assessment Estimator'!$C$10:$W$100,'Pre-Assessment Estimator'!$E$2,FALSE))+BU19)&lt;0,0,(IF(VLOOKUP(D19,'Pre-Assessment Estimator'!$C$10:$W$100,'Pre-Assessment Estimator'!$E$2,FALSE)&gt;R19,R19,VLOOKUP(D19,'Pre-Assessment Estimator'!$C$10:$W$100,'Pre-Assessment Estimator'!$E$2,FALSE))+BU19)))</f>
        <v>0</v>
      </c>
      <c r="X19" s="208">
        <f>IF(VLOOKUP(D19,'Pre-Assessment Estimator'!$C$10:$W$100,'Pre-Assessment Estimator'!$L$2,FALSE)=0,0,IF((IF(VLOOKUP(D19,'Pre-Assessment Estimator'!$C$10:$W$100,'Pre-Assessment Estimator'!$L$2,FALSE)&gt;R19,R19,VLOOKUP(D19,'Pre-Assessment Estimator'!$C$10:$W$100,'Pre-Assessment Estimator'!$L$2,FALSE))+BU19)&lt;0,0,(IF(VLOOKUP(D19,'Pre-Assessment Estimator'!$C$10:$W$100,'Pre-Assessment Estimator'!$L$2,FALSE)&gt;R19,R19,VLOOKUP(D19,'Pre-Assessment Estimator'!$C$10:$W$100,'Pre-Assessment Estimator'!$L$2,FALSE))+BU19)))</f>
        <v>0</v>
      </c>
      <c r="Y19" s="208">
        <f>IF(VLOOKUP(D19,'Pre-Assessment Estimator'!$C$10:$W$100,'Pre-Assessment Estimator'!$R$2,FALSE)=0,0,IF((IF(VLOOKUP(D19,'Pre-Assessment Estimator'!$C$10:$W$100,'Pre-Assessment Estimator'!$R$2,FALSE)&gt;R19,R19,VLOOKUP(D19,'Pre-Assessment Estimator'!$C$10:$W$100,'Pre-Assessment Estimator'!$R$2,FALSE))+BU19)&lt;0,0,(IF(VLOOKUP(D19,'Pre-Assessment Estimator'!$C$10:$W$100,'Pre-Assessment Estimator'!$R$2,FALSE)&gt;R19,R19,VLOOKUP(D19,'Pre-Assessment Estimator'!$C$10:$W$100,'Pre-Assessment Estimator'!$R$2,FALSE))+BU19)))</f>
        <v>0</v>
      </c>
      <c r="Z19" s="106" t="s">
        <v>546</v>
      </c>
      <c r="AA19" s="367"/>
      <c r="AB19" s="368"/>
      <c r="AC19" s="368"/>
      <c r="AD19" s="368"/>
      <c r="AE19" s="369"/>
      <c r="AF19" s="169"/>
      <c r="AG19" s="367"/>
      <c r="AH19" s="368"/>
      <c r="AI19" s="368"/>
      <c r="AJ19" s="368"/>
      <c r="AK19" s="369"/>
      <c r="AM19" s="263"/>
      <c r="AN19" s="264"/>
      <c r="AO19" s="264"/>
      <c r="AP19" s="264"/>
      <c r="AQ19" s="265">
        <f t="shared" si="0"/>
        <v>0</v>
      </c>
      <c r="AR19" s="211">
        <f t="shared" si="14"/>
        <v>9</v>
      </c>
      <c r="AS19" s="214" t="str">
        <f t="shared" ref="AS19:AS27" si="17">VLOOKUP(AR19,$BB$8:$BC$14,2,FALSE)</f>
        <v>N/A</v>
      </c>
      <c r="AT19" s="215"/>
      <c r="AU19" s="211">
        <f t="shared" ref="AU19:AU27" si="18">IF(AQ19=0,9,IF(X19&gt;=AQ19,5,IF(X19&gt;=AP19,4,IF(X19&gt;=AO19,3,IF(X19&gt;=AN19,2,IF(X19&lt;AM19,0,1))))))</f>
        <v>9</v>
      </c>
      <c r="AV19" s="214" t="str">
        <f t="shared" ref="AV19:AV27" si="19">VLOOKUP(AU19,$BB$8:$BC$14,2,FALSE)</f>
        <v>N/A</v>
      </c>
      <c r="AW19" s="215"/>
      <c r="AX19" s="211">
        <f t="shared" si="8"/>
        <v>9</v>
      </c>
      <c r="AY19" s="214" t="str">
        <f t="shared" ref="AY19:AY27" si="20">VLOOKUP(AX19,$BB$8:$BC$14,2,FALSE)</f>
        <v>N/A</v>
      </c>
      <c r="AZ19" s="215"/>
      <c r="BD19" s="394" t="s">
        <v>98</v>
      </c>
      <c r="BE19" s="214" t="s">
        <v>98</v>
      </c>
      <c r="BF19" s="214">
        <f>VLOOKUP($BD19,$C$9:$AY$104,AR$1,FALSE)</f>
        <v>3</v>
      </c>
      <c r="BG19" s="214">
        <f>VLOOKUP($BD19,$C$9:$AY$104,AU$1,FALSE)</f>
        <v>3</v>
      </c>
      <c r="BH19" s="215">
        <f>VLOOKUP($BD19,$C$9:$AY$104,AX$1,FALSE)</f>
        <v>3</v>
      </c>
      <c r="BK19" s="856" t="str">
        <f>C19</f>
        <v>Hea 01</v>
      </c>
      <c r="BL19" s="198" t="str">
        <f>IFERROR(VLOOKUP($D19,'Pre-Assessment Estimator'!$C$10:$X$100,'Pre-Assessment Estimator'!X$2,FALSE),"")</f>
        <v>No</v>
      </c>
      <c r="BM19" s="856" t="str">
        <f>IFERROR(VLOOKUP($D19,'Pre-Assessment Estimator'!$C$10:$AE$100,'Pre-Assessment Estimator'!AE$2,FALSE),"")</f>
        <v>Ja</v>
      </c>
      <c r="BN19" s="198">
        <f t="shared" si="10"/>
        <v>1</v>
      </c>
      <c r="BO19" s="854" t="s">
        <v>549</v>
      </c>
      <c r="BP19" s="198">
        <f>G145</f>
        <v>2</v>
      </c>
      <c r="BQ19" s="106" t="str">
        <f t="shared" si="12"/>
        <v/>
      </c>
      <c r="BR19" s="863" t="s">
        <v>524</v>
      </c>
      <c r="BS19" s="203">
        <f t="shared" ref="BS19:BS22" si="21">VLOOKUP(BO19,$BO$3:$BP$4,2,FALSE)</f>
        <v>0</v>
      </c>
      <c r="BU19" s="863">
        <f>IF($BL$4=ais_no,BS19,IF(BR19=$BM$4,IF(AND(BO19=$BO$3,BL19=$BQ$3),0,BN19),BS19))</f>
        <v>0</v>
      </c>
    </row>
    <row r="20" spans="1:75" x14ac:dyDescent="0.25">
      <c r="A20" s="106">
        <v>13</v>
      </c>
      <c r="C20" s="202" t="s">
        <v>125</v>
      </c>
      <c r="D20" s="203" t="s">
        <v>116</v>
      </c>
      <c r="E20" s="216">
        <v>7</v>
      </c>
      <c r="F20" s="216">
        <v>7</v>
      </c>
      <c r="G20" s="350">
        <v>5</v>
      </c>
      <c r="H20" s="216">
        <v>7</v>
      </c>
      <c r="I20" s="217">
        <v>7</v>
      </c>
      <c r="K20" s="266">
        <f t="shared" si="16"/>
        <v>7</v>
      </c>
      <c r="L20" s="267">
        <f>IF(ADBT0=ADBT12,0,IF(AD_Labsize=AD_Labsize03,2,IF(AD_catlevel=AD_catlevel01,1,0)))</f>
        <v>2</v>
      </c>
      <c r="M20" s="203"/>
      <c r="N20" s="203"/>
      <c r="O20" s="203">
        <f>'Manuell filtrering og justering'!D18</f>
        <v>0</v>
      </c>
      <c r="P20" s="204">
        <f>VLOOKUP(C20,'Manuell filtrering og justering'!$A$7:$G$97,'Manuell filtrering og justering'!$G$1,FALSE)</f>
        <v>5</v>
      </c>
      <c r="Q20" s="205">
        <f t="shared" ref="Q20:Q27" si="22">IF(SUM(L20:O20)&gt;K20,K20,SUM(L20:O20))</f>
        <v>2</v>
      </c>
      <c r="R20" s="206">
        <f>IF($S$4='Manuell filtrering og justering'!$I$2,P20,(K20-Q20))</f>
        <v>5</v>
      </c>
      <c r="T20" s="207">
        <f>(Hea_Weight/Hea_Credits)*Hea02_credits</f>
        <v>3.7499999999999999E-2</v>
      </c>
      <c r="U20" s="207">
        <f>IF(R20=0,0,(Hea02_25/Hea02_credits)*Hea02_user)</f>
        <v>0</v>
      </c>
      <c r="W20" s="259">
        <f>IF((IF(VLOOKUP(D20,'Pre-Assessment Estimator'!$C$10:$W$100,'Pre-Assessment Estimator'!$E$2,FALSE)&gt;R20,R20,VLOOKUP(D20,'Pre-Assessment Estimator'!$C$10:$W$100,'Pre-Assessment Estimator'!$E$2,FALSE))+BU20)&lt;0,0,(IF(VLOOKUP(D20,'Pre-Assessment Estimator'!$C$10:$W$100,'Pre-Assessment Estimator'!$E$2,FALSE)&gt;R20,R20,VLOOKUP(D20,'Pre-Assessment Estimator'!$C$10:$W$100,'Pre-Assessment Estimator'!$E$2,FALSE))+BU20))</f>
        <v>0</v>
      </c>
      <c r="X20" s="208">
        <f>IF((IF(VLOOKUP(D20,'Pre-Assessment Estimator'!$C$10:$W$100,'Pre-Assessment Estimator'!$L$2,FALSE)&gt;R20,R20,VLOOKUP(D20,'Pre-Assessment Estimator'!$C$10:$W$100,'Pre-Assessment Estimator'!$L$2,FALSE))+BU20)&lt;0,0,(IF(VLOOKUP(D20,'Pre-Assessment Estimator'!$C$10:$W$100,'Pre-Assessment Estimator'!$L$2,FALSE)&gt;R20,R20,VLOOKUP(D20,'Pre-Assessment Estimator'!$C$10:$W$100,'Pre-Assessment Estimator'!$L$2,FALSE))+BU20))</f>
        <v>0</v>
      </c>
      <c r="Y20" s="208">
        <f>IF((IF(VLOOKUP(D20,'Pre-Assessment Estimator'!$C$10:$W$100,'Pre-Assessment Estimator'!$R$2,FALSE)&gt;R20,R20,VLOOKUP(D20,'Pre-Assessment Estimator'!$C$10:$W$100,'Pre-Assessment Estimator'!$R$2,FALSE))+BU20)&lt;0,0,(IF(VLOOKUP(D20,'Pre-Assessment Estimator'!$C$10:$W$100,'Pre-Assessment Estimator'!$R$2,FALSE)&gt;R20,R20,VLOOKUP(D20,'Pre-Assessment Estimator'!$C$10:$W$100,'Pre-Assessment Estimator'!$R$2,FALSE))+BU20))</f>
        <v>0</v>
      </c>
      <c r="Z20" s="106" t="s">
        <v>546</v>
      </c>
      <c r="AA20" s="360"/>
      <c r="AB20" s="219"/>
      <c r="AC20" s="374">
        <v>2</v>
      </c>
      <c r="AD20" s="219">
        <v>3</v>
      </c>
      <c r="AE20" s="224">
        <v>3</v>
      </c>
      <c r="AF20" s="169"/>
      <c r="AG20" s="360"/>
      <c r="AH20" s="219"/>
      <c r="AI20" s="374">
        <v>2</v>
      </c>
      <c r="AJ20" s="219">
        <v>3</v>
      </c>
      <c r="AK20" s="224">
        <v>3</v>
      </c>
      <c r="AM20" s="220"/>
      <c r="AN20" s="221"/>
      <c r="AO20" s="221">
        <f>IF($D$5=$G$8,AI20,AC20)</f>
        <v>2</v>
      </c>
      <c r="AP20" s="221">
        <f>IF($D$5=$G$8,AJ20,AD20)</f>
        <v>3</v>
      </c>
      <c r="AQ20" s="213">
        <f>IF($D$5=$G$8,AK20,AE20)</f>
        <v>3</v>
      </c>
      <c r="AR20" s="870">
        <f>IF(AQ20=0,9,IF((W20-BU20)&gt;=AQ20,5,IF((W20-BU20)&gt;=AP20,4,IF((W20-BU20)&gt;=AO20,3,IF((W20-BU20)&gt;=AN20,2,IF((W20-BU20)&lt;AM20,0,1))))))</f>
        <v>2</v>
      </c>
      <c r="AS20" s="203" t="str">
        <f t="shared" si="17"/>
        <v>Good</v>
      </c>
      <c r="AT20" s="223"/>
      <c r="AU20" s="220">
        <f>IF(AQ20=0,9,IF((X20-BU20)&gt;=AQ20,5,IF((X20-BU20)&gt;=AP20,4,IF((X20-BU20)&gt;=AO20,3,IF((X20-BU20)&gt;=AN20,2,IF((X20-BU20)&lt;AM20,0,1))))))</f>
        <v>2</v>
      </c>
      <c r="AV20" s="203" t="str">
        <f t="shared" si="19"/>
        <v>Good</v>
      </c>
      <c r="AW20" s="223"/>
      <c r="AX20" s="220">
        <f>IF(AQ20=0,9,IF((Y20-BU20)&gt;=AQ20,5,IF((Y20-BU20)&gt;=AP20,4,IF((Y20-BU20)&gt;=AO20,3,IF((Y20-BU20)&gt;=AN20,2,IF((Y20-BU20)&lt;AM20,0,1))))))</f>
        <v>2</v>
      </c>
      <c r="AY20" s="203" t="str">
        <f t="shared" si="20"/>
        <v>Good</v>
      </c>
      <c r="AZ20" s="223"/>
      <c r="BA20" s="106" t="s">
        <v>580</v>
      </c>
      <c r="BD20" s="202" t="s">
        <v>99</v>
      </c>
      <c r="BE20" s="203" t="s">
        <v>99</v>
      </c>
      <c r="BF20" s="203">
        <f>VLOOKUP($BD20,$C$9:$AY$104,AR$1,FALSE)</f>
        <v>0</v>
      </c>
      <c r="BG20" s="203">
        <f>VLOOKUP($BD20,$C$9:$AY$104,AU$1,FALSE)</f>
        <v>0</v>
      </c>
      <c r="BH20" s="223">
        <f>VLOOKUP($BD20,$C$9:$AY$104,AX$1,FALSE)</f>
        <v>0</v>
      </c>
      <c r="BK20" s="203" t="str">
        <f t="shared" ref="BK20:BK27" si="23">C20</f>
        <v>Hea 02</v>
      </c>
      <c r="BL20" s="203" t="str">
        <f>IFERROR(VLOOKUP($D20,'Pre-Assessment Estimator'!$C$10:$X$100,'Pre-Assessment Estimator'!X$2,FALSE),"")</f>
        <v>O2: VOC (AC 8-9: -1,0 c)</v>
      </c>
      <c r="BM20" s="278" t="str">
        <f>IFERROR(VLOOKUP($D20,'Pre-Assessment Estimator'!$C$10:$AE$100,'Pre-Assessment Estimator'!AE$2,FALSE),"")</f>
        <v>Ja</v>
      </c>
      <c r="BN20" s="203">
        <f t="shared" si="10"/>
        <v>-1</v>
      </c>
      <c r="BO20" s="854" t="s">
        <v>549</v>
      </c>
      <c r="BP20" s="203">
        <f>G150</f>
        <v>5</v>
      </c>
      <c r="BQ20" s="106" t="s">
        <v>550</v>
      </c>
      <c r="BR20" s="106" t="s">
        <v>557</v>
      </c>
      <c r="BS20" s="203">
        <f t="shared" si="21"/>
        <v>0</v>
      </c>
      <c r="BU20" s="863">
        <f>IF($BL$4=ais_no,BS20,IF(AND(BO20=$BO$3,BL20=$BQ$3),0,BN20))</f>
        <v>0</v>
      </c>
      <c r="BW20" s="106" t="s">
        <v>524</v>
      </c>
    </row>
    <row r="21" spans="1:75" x14ac:dyDescent="0.25">
      <c r="A21" s="106">
        <v>14</v>
      </c>
      <c r="C21" s="202" t="s">
        <v>126</v>
      </c>
      <c r="D21" s="203" t="s">
        <v>117</v>
      </c>
      <c r="E21" s="216">
        <v>2</v>
      </c>
      <c r="F21" s="216">
        <v>2</v>
      </c>
      <c r="G21" s="216">
        <v>2</v>
      </c>
      <c r="H21" s="216">
        <v>2</v>
      </c>
      <c r="I21" s="217">
        <v>2</v>
      </c>
      <c r="K21" s="266">
        <f t="shared" si="16"/>
        <v>2</v>
      </c>
      <c r="L21" s="267">
        <f>IF(AND(ADBT0=ADBT1,ADIND_option03=AD_no),Poeng!K21,0)</f>
        <v>0</v>
      </c>
      <c r="M21" s="203"/>
      <c r="N21" s="203"/>
      <c r="O21" s="203">
        <f>'Manuell filtrering og justering'!D19</f>
        <v>0</v>
      </c>
      <c r="P21" s="204">
        <f>VLOOKUP(C21,'Manuell filtrering og justering'!$A$7:$G$97,'Manuell filtrering og justering'!$G$1,FALSE)</f>
        <v>2</v>
      </c>
      <c r="Q21" s="205">
        <f t="shared" si="22"/>
        <v>0</v>
      </c>
      <c r="R21" s="206">
        <f>IF($S$4='Manuell filtrering og justering'!$I$2,P21,(K21-Q21))</f>
        <v>2</v>
      </c>
      <c r="T21" s="207">
        <f>(Hea_Weight/Hea_Credits)*Hea03_credits</f>
        <v>1.4999999999999999E-2</v>
      </c>
      <c r="U21" s="207">
        <f>IF(R21=0,0,(Hea03_09/Hea03_credits)*Hea03_user)</f>
        <v>0</v>
      </c>
      <c r="W21" s="259">
        <f>IF(VLOOKUP(D21,'Pre-Assessment Estimator'!$C$10:$W$100,'Pre-Assessment Estimator'!$E$2,FALSE)&gt;R21,R21,VLOOKUP(D21,'Pre-Assessment Estimator'!$C$10:$W$100,'Pre-Assessment Estimator'!$E$2,FALSE))*BU21</f>
        <v>0</v>
      </c>
      <c r="X21" s="208">
        <f>IF(VLOOKUP(D21,'Pre-Assessment Estimator'!$C$10:$W$100,'Pre-Assessment Estimator'!$L$2,FALSE)&gt;R21,R21,VLOOKUP(D21,'Pre-Assessment Estimator'!$C$10:$W$100,'Pre-Assessment Estimator'!$L$2,FALSE))*BU21</f>
        <v>0</v>
      </c>
      <c r="Y21" s="208">
        <f>IF(VLOOKUP(D21,'Pre-Assessment Estimator'!$C$10:$W$100,'Pre-Assessment Estimator'!$R$2,FALSE)&gt;R21,R21,VLOOKUP(D21,'Pre-Assessment Estimator'!$C$10:$W$100,'Pre-Assessment Estimator'!$R$2,FALSE))*BU21</f>
        <v>0</v>
      </c>
      <c r="Z21" s="106" t="s">
        <v>546</v>
      </c>
      <c r="AA21" s="361"/>
      <c r="AB21" s="362"/>
      <c r="AC21" s="362"/>
      <c r="AD21" s="362"/>
      <c r="AE21" s="363"/>
      <c r="AF21" s="169"/>
      <c r="AG21" s="361"/>
      <c r="AH21" s="362"/>
      <c r="AI21" s="362"/>
      <c r="AJ21" s="362"/>
      <c r="AK21" s="363"/>
      <c r="AM21" s="226"/>
      <c r="AN21" s="227"/>
      <c r="AO21" s="227"/>
      <c r="AP21" s="227"/>
      <c r="AQ21" s="228">
        <f>IF($D$5=$G$8,AK21,AE21)</f>
        <v>0</v>
      </c>
      <c r="AR21" s="220">
        <f t="shared" si="14"/>
        <v>9</v>
      </c>
      <c r="AS21" s="203" t="str">
        <f t="shared" si="17"/>
        <v>N/A</v>
      </c>
      <c r="AT21" s="223"/>
      <c r="AU21" s="220">
        <f t="shared" si="18"/>
        <v>9</v>
      </c>
      <c r="AV21" s="203" t="str">
        <f t="shared" si="19"/>
        <v>N/A</v>
      </c>
      <c r="AW21" s="223"/>
      <c r="AX21" s="220">
        <f t="shared" si="8"/>
        <v>9</v>
      </c>
      <c r="AY21" s="203" t="str">
        <f t="shared" si="20"/>
        <v>N/A</v>
      </c>
      <c r="AZ21" s="223"/>
      <c r="BD21" s="202" t="s">
        <v>100</v>
      </c>
      <c r="BE21" s="203" t="s">
        <v>100</v>
      </c>
      <c r="BF21" s="203">
        <f>VLOOKUP($BD21,$C$9:$AY$104,AR$1,FALSE)</f>
        <v>3</v>
      </c>
      <c r="BG21" s="203">
        <f>VLOOKUP($BD21,$C$9:$AY$104,AU$1,FALSE)</f>
        <v>3</v>
      </c>
      <c r="BH21" s="223">
        <f>VLOOKUP($BD21,$C$9:$AY$104,AX$1,FALSE)</f>
        <v>3</v>
      </c>
      <c r="BK21" s="203" t="str">
        <f t="shared" si="23"/>
        <v>Hea 03</v>
      </c>
      <c r="BL21" s="203" t="str">
        <f>IFERROR(VLOOKUP($D21,'Pre-Assessment Estimator'!$C$10:$X$100,'Pre-Assessment Estimator'!X$2,FALSE),"")</f>
        <v>No</v>
      </c>
      <c r="BM21" s="278" t="str">
        <f>IFERROR(VLOOKUP($D21,'Pre-Assessment Estimator'!$C$10:$AE$100,'Pre-Assessment Estimator'!AE$2,FALSE),"")</f>
        <v>Ja</v>
      </c>
      <c r="BN21" s="203">
        <f t="shared" si="10"/>
        <v>1</v>
      </c>
      <c r="BO21" s="862" t="s">
        <v>551</v>
      </c>
      <c r="BP21" s="203"/>
      <c r="BQ21" s="106" t="str">
        <f t="shared" si="12"/>
        <v/>
      </c>
      <c r="BR21" s="106" t="s">
        <v>557</v>
      </c>
      <c r="BS21" s="203">
        <f t="shared" si="21"/>
        <v>1</v>
      </c>
      <c r="BU21" s="863">
        <f>IF($BL$4=ais_no,BS21,IF(AND(BO21=$BO$3,BL21=$BQ$3),0,BN21))</f>
        <v>1</v>
      </c>
    </row>
    <row r="22" spans="1:75" x14ac:dyDescent="0.25">
      <c r="A22" s="106">
        <v>15</v>
      </c>
      <c r="C22" s="202" t="s">
        <v>127</v>
      </c>
      <c r="D22" s="203" t="s">
        <v>118</v>
      </c>
      <c r="E22" s="216">
        <v>1</v>
      </c>
      <c r="F22" s="216">
        <v>1</v>
      </c>
      <c r="G22" s="216">
        <v>1</v>
      </c>
      <c r="H22" s="216">
        <v>1</v>
      </c>
      <c r="I22" s="217">
        <v>1</v>
      </c>
      <c r="K22" s="266">
        <f t="shared" si="16"/>
        <v>1</v>
      </c>
      <c r="L22" s="202"/>
      <c r="M22" s="203"/>
      <c r="N22" s="203"/>
      <c r="O22" s="203">
        <f>'Manuell filtrering og justering'!D20</f>
        <v>0</v>
      </c>
      <c r="P22" s="204">
        <f>VLOOKUP(C22,'Manuell filtrering og justering'!$A$7:$G$97,'Manuell filtrering og justering'!$G$1,FALSE)</f>
        <v>1</v>
      </c>
      <c r="Q22" s="205">
        <f t="shared" si="22"/>
        <v>0</v>
      </c>
      <c r="R22" s="206">
        <f>IF($S$4='Manuell filtrering og justering'!$I$2,P22,(K22-Q22))</f>
        <v>1</v>
      </c>
      <c r="T22" s="207">
        <f>(Hea_Weight/Hea_Credits)*Hea04_credits</f>
        <v>7.4999999999999997E-3</v>
      </c>
      <c r="U22" s="207">
        <f>IF(R22=0,0,(Hea04_12/Hea04_credits)*Hea04_user)</f>
        <v>0</v>
      </c>
      <c r="W22" s="259">
        <f>IF(VLOOKUP(D22,'Pre-Assessment Estimator'!$C$10:$W$100,'Pre-Assessment Estimator'!$E$2,FALSE)&gt;R22,R22,VLOOKUP(D22,'Pre-Assessment Estimator'!$C$10:$W$100,'Pre-Assessment Estimator'!$E$2,FALSE))*BU22</f>
        <v>0</v>
      </c>
      <c r="X22" s="208">
        <f>IF(VLOOKUP(D22,'Pre-Assessment Estimator'!$C$10:$W$100,'Pre-Assessment Estimator'!$L$2,FALSE)&gt;R22,R22,VLOOKUP(D22,'Pre-Assessment Estimator'!$C$10:$W$100,'Pre-Assessment Estimator'!$L$2,FALSE))*BU22</f>
        <v>0</v>
      </c>
      <c r="Y22" s="208">
        <f>IF(VLOOKUP(D22,'Pre-Assessment Estimator'!$C$10:$W$100,'Pre-Assessment Estimator'!$R$2,FALSE)&gt;R22,R22,VLOOKUP(D22,'Pre-Assessment Estimator'!$C$10:$W$100,'Pre-Assessment Estimator'!$R$2,FALSE))*BU22</f>
        <v>0</v>
      </c>
      <c r="Z22" s="106" t="s">
        <v>546</v>
      </c>
      <c r="AA22" s="361"/>
      <c r="AB22" s="362"/>
      <c r="AC22" s="362"/>
      <c r="AD22" s="362"/>
      <c r="AE22" s="363"/>
      <c r="AF22" s="169"/>
      <c r="AG22" s="361"/>
      <c r="AH22" s="362"/>
      <c r="AI22" s="362"/>
      <c r="AJ22" s="362"/>
      <c r="AK22" s="363"/>
      <c r="AM22" s="226"/>
      <c r="AN22" s="227"/>
      <c r="AO22" s="227"/>
      <c r="AP22" s="227"/>
      <c r="AQ22" s="228">
        <f>IF($D$5=$G$8,AK22,AE22)</f>
        <v>0</v>
      </c>
      <c r="AR22" s="220">
        <f t="shared" si="14"/>
        <v>9</v>
      </c>
      <c r="AS22" s="203" t="str">
        <f t="shared" si="17"/>
        <v>N/A</v>
      </c>
      <c r="AT22" s="223"/>
      <c r="AU22" s="220">
        <f t="shared" si="18"/>
        <v>9</v>
      </c>
      <c r="AV22" s="203" t="str">
        <f t="shared" si="19"/>
        <v>N/A</v>
      </c>
      <c r="AW22" s="223"/>
      <c r="AX22" s="220">
        <f t="shared" si="8"/>
        <v>9</v>
      </c>
      <c r="AY22" s="203" t="str">
        <f t="shared" si="20"/>
        <v>N/A</v>
      </c>
      <c r="AZ22" s="223"/>
      <c r="BC22" s="292"/>
      <c r="BD22" s="202" t="s">
        <v>47</v>
      </c>
      <c r="BE22" s="203" t="s">
        <v>124</v>
      </c>
      <c r="BF22" s="203">
        <f>VLOOKUP($BD22,$C$9:$AY$104,AR$1,FALSE)</f>
        <v>0</v>
      </c>
      <c r="BG22" s="203">
        <f>VLOOKUP($BD22,$C$9:$AY$104,AU$1,FALSE)</f>
        <v>0</v>
      </c>
      <c r="BH22" s="223">
        <f>VLOOKUP($BD22,$C$9:$AY$104,AX$1,FALSE)</f>
        <v>0</v>
      </c>
      <c r="BK22" s="203" t="str">
        <f t="shared" si="23"/>
        <v>Hea 04</v>
      </c>
      <c r="BL22" s="203" t="str">
        <f>IFERROR(VLOOKUP($D22,'Pre-Assessment Estimator'!$C$10:$X$100,'Pre-Assessment Estimator'!X$2,FALSE),"")</f>
        <v>No</v>
      </c>
      <c r="BM22" s="278" t="str">
        <f>IFERROR(VLOOKUP($D22,'Pre-Assessment Estimator'!$C$10:$AE$100,'Pre-Assessment Estimator'!AE$2,FALSE),"")</f>
        <v>Ja</v>
      </c>
      <c r="BN22" s="203">
        <f t="shared" si="10"/>
        <v>1</v>
      </c>
      <c r="BO22" s="862" t="s">
        <v>551</v>
      </c>
      <c r="BP22" s="203"/>
      <c r="BQ22" s="106" t="str">
        <f t="shared" si="12"/>
        <v/>
      </c>
      <c r="BR22" s="106" t="s">
        <v>557</v>
      </c>
      <c r="BS22" s="203">
        <f t="shared" si="21"/>
        <v>1</v>
      </c>
      <c r="BU22" s="863">
        <f>IF($BL$4=ais_no,BS22,IF(AND(BO22=$BO$3,BL22=$BQ$3),0,BN22))</f>
        <v>1</v>
      </c>
    </row>
    <row r="23" spans="1:75" x14ac:dyDescent="0.25">
      <c r="A23" s="106">
        <v>16</v>
      </c>
      <c r="C23" s="202" t="s">
        <v>128</v>
      </c>
      <c r="D23" s="203" t="s">
        <v>134</v>
      </c>
      <c r="E23" s="216">
        <v>2</v>
      </c>
      <c r="F23" s="216">
        <v>2</v>
      </c>
      <c r="G23" s="216">
        <v>4</v>
      </c>
      <c r="H23" s="216">
        <v>2</v>
      </c>
      <c r="I23" s="217">
        <v>2</v>
      </c>
      <c r="K23" s="266">
        <f t="shared" si="16"/>
        <v>2</v>
      </c>
      <c r="L23" s="202"/>
      <c r="M23" s="203"/>
      <c r="N23" s="203"/>
      <c r="O23" s="203">
        <f>'Manuell filtrering og justering'!D21</f>
        <v>0</v>
      </c>
      <c r="P23" s="204">
        <f>VLOOKUP(C23,'Manuell filtrering og justering'!$A$7:$G$97,'Manuell filtrering og justering'!$G$1,FALSE)</f>
        <v>2</v>
      </c>
      <c r="Q23" s="205">
        <f t="shared" si="22"/>
        <v>0</v>
      </c>
      <c r="R23" s="206">
        <f>IF($S$4='Manuell filtrering og justering'!$I$2,P23,(K23-Q23))</f>
        <v>2</v>
      </c>
      <c r="T23" s="207">
        <f>(Hea_Weight/Hea_Credits)*Hea05_credits</f>
        <v>1.4999999999999999E-2</v>
      </c>
      <c r="U23" s="207">
        <f>IF(R23=0,0,(Hea05_07/Hea05_credits)*Hea05_user)</f>
        <v>0</v>
      </c>
      <c r="W23" s="259">
        <f>IF(VLOOKUP(D23,'Pre-Assessment Estimator'!$C$10:$W$100,'Pre-Assessment Estimator'!$E$2,FALSE)&gt;R23,R23,VLOOKUP(D23,'Pre-Assessment Estimator'!$C$10:$W$100,'Pre-Assessment Estimator'!$E$2,FALSE))</f>
        <v>0</v>
      </c>
      <c r="X23" s="208">
        <f>IF(VLOOKUP(D23,'Pre-Assessment Estimator'!$C$10:$W$100,'Pre-Assessment Estimator'!$L$2,FALSE)&gt;R23,R23,VLOOKUP(D23,'Pre-Assessment Estimator'!$C$10:$W$100,'Pre-Assessment Estimator'!$L$2,FALSE))</f>
        <v>0</v>
      </c>
      <c r="Y23" s="208">
        <f>IF(VLOOKUP(D23,'Pre-Assessment Estimator'!$C$10:$W$100,'Pre-Assessment Estimator'!$R$2,FALSE)&gt;R23,R23,VLOOKUP(D23,'Pre-Assessment Estimator'!$C$10:$W$100,'Pre-Assessment Estimator'!$R$2,FALSE))</f>
        <v>0</v>
      </c>
      <c r="AA23" s="361"/>
      <c r="AB23" s="362"/>
      <c r="AC23" s="362"/>
      <c r="AD23" s="362"/>
      <c r="AE23" s="363"/>
      <c r="AF23" s="169"/>
      <c r="AG23" s="361"/>
      <c r="AH23" s="362"/>
      <c r="AI23" s="362"/>
      <c r="AJ23" s="362"/>
      <c r="AK23" s="363"/>
      <c r="AM23" s="226"/>
      <c r="AN23" s="227"/>
      <c r="AO23" s="227"/>
      <c r="AP23" s="227"/>
      <c r="AQ23" s="228">
        <f t="shared" si="0"/>
        <v>0</v>
      </c>
      <c r="AR23" s="220">
        <f t="shared" si="14"/>
        <v>9</v>
      </c>
      <c r="AS23" s="203" t="str">
        <f t="shared" si="17"/>
        <v>N/A</v>
      </c>
      <c r="AT23" s="223"/>
      <c r="AU23" s="220">
        <f t="shared" si="18"/>
        <v>9</v>
      </c>
      <c r="AV23" s="203" t="str">
        <f t="shared" si="19"/>
        <v>N/A</v>
      </c>
      <c r="AW23" s="223"/>
      <c r="AX23" s="220">
        <f t="shared" si="8"/>
        <v>9</v>
      </c>
      <c r="AY23" s="203" t="str">
        <f t="shared" si="20"/>
        <v>N/A</v>
      </c>
      <c r="AZ23" s="223"/>
      <c r="BC23" s="292"/>
      <c r="BD23" s="202" t="s">
        <v>125</v>
      </c>
      <c r="BE23" s="203" t="s">
        <v>125</v>
      </c>
      <c r="BF23" s="203">
        <f>VLOOKUP($BD23,$C$9:$AY$104,AR$1,FALSE)</f>
        <v>2</v>
      </c>
      <c r="BG23" s="203">
        <f>VLOOKUP($BD23,$C$9:$AY$104,AU$1,FALSE)</f>
        <v>2</v>
      </c>
      <c r="BH23" s="223">
        <f>VLOOKUP($BD23,$C$9:$AY$104,AX$1,FALSE)</f>
        <v>2</v>
      </c>
      <c r="BK23" s="203" t="str">
        <f t="shared" si="23"/>
        <v>Hea 05</v>
      </c>
      <c r="BL23" s="203" t="str">
        <f>IFERROR(VLOOKUP($D23,'Pre-Assessment Estimator'!$C$10:$X$100,'Pre-Assessment Estimator'!X$2,FALSE),"")</f>
        <v>No</v>
      </c>
      <c r="BM23" s="203">
        <f>IFERROR(VLOOKUP($D23,'Pre-Assessment Estimator'!$C$10:$AE$100,'Pre-Assessment Estimator'!AE$2,FALSE),"")</f>
        <v>0</v>
      </c>
      <c r="BN23" s="203">
        <f t="shared" si="10"/>
        <v>1</v>
      </c>
      <c r="BO23" s="203">
        <f t="shared" si="11"/>
        <v>0</v>
      </c>
      <c r="BP23" s="203"/>
      <c r="BQ23" s="106" t="str">
        <f t="shared" si="12"/>
        <v/>
      </c>
    </row>
    <row r="24" spans="1:75" x14ac:dyDescent="0.25">
      <c r="A24" s="106">
        <v>17</v>
      </c>
      <c r="C24" s="202" t="s">
        <v>129</v>
      </c>
      <c r="D24" s="203" t="s">
        <v>119</v>
      </c>
      <c r="E24" s="216">
        <v>2</v>
      </c>
      <c r="F24" s="216">
        <v>2</v>
      </c>
      <c r="G24" s="216">
        <v>3</v>
      </c>
      <c r="H24" s="216">
        <v>2</v>
      </c>
      <c r="I24" s="217">
        <v>2</v>
      </c>
      <c r="K24" s="266">
        <f t="shared" si="16"/>
        <v>2</v>
      </c>
      <c r="L24" s="267">
        <f>IF(AD_SiteAccess=AD_no,K24,0)</f>
        <v>0</v>
      </c>
      <c r="M24" s="203"/>
      <c r="N24" s="203"/>
      <c r="O24" s="203">
        <f>'Manuell filtrering og justering'!D22</f>
        <v>0</v>
      </c>
      <c r="P24" s="204">
        <f>VLOOKUP(C24,'Manuell filtrering og justering'!$A$7:$G$97,'Manuell filtrering og justering'!$G$1,FALSE)</f>
        <v>2</v>
      </c>
      <c r="Q24" s="205">
        <f t="shared" si="22"/>
        <v>0</v>
      </c>
      <c r="R24" s="206">
        <f>IF($S$4='Manuell filtrering og justering'!$I$2,P24,(K24-Q24))</f>
        <v>2</v>
      </c>
      <c r="T24" s="207">
        <f>(Hea_Weight/Hea_Credits)*Hea06_credits</f>
        <v>1.4999999999999999E-2</v>
      </c>
      <c r="U24" s="207">
        <f>IF(R24=0,0,(Hea06_07/Hea06_credits)*Hea06_user)</f>
        <v>0</v>
      </c>
      <c r="W24" s="259">
        <f>IF(VLOOKUP(D24,'Pre-Assessment Estimator'!$C$10:$W$100,'Pre-Assessment Estimator'!$E$2,FALSE)&gt;R24,R24,VLOOKUP(D24,'Pre-Assessment Estimator'!$C$10:$W$100,'Pre-Assessment Estimator'!$E$2,FALSE))</f>
        <v>0</v>
      </c>
      <c r="X24" s="208">
        <f>IF(VLOOKUP(D24,'Pre-Assessment Estimator'!$C$10:$W$100,'Pre-Assessment Estimator'!$L$2,FALSE)&gt;R24,R24,VLOOKUP(D24,'Pre-Assessment Estimator'!$C$10:$W$100,'Pre-Assessment Estimator'!$L$2,FALSE))</f>
        <v>0</v>
      </c>
      <c r="Y24" s="208">
        <f>IF(VLOOKUP(D24,'Pre-Assessment Estimator'!$C$10:$W$100,'Pre-Assessment Estimator'!$R$2,FALSE)&gt;R24,R24,VLOOKUP(D24,'Pre-Assessment Estimator'!$C$10:$W$100,'Pre-Assessment Estimator'!$R$2,FALSE))</f>
        <v>0</v>
      </c>
      <c r="AA24" s="361"/>
      <c r="AB24" s="362"/>
      <c r="AC24" s="362"/>
      <c r="AD24" s="362"/>
      <c r="AE24" s="363"/>
      <c r="AF24" s="169"/>
      <c r="AG24" s="361"/>
      <c r="AH24" s="362"/>
      <c r="AI24" s="362"/>
      <c r="AJ24" s="362"/>
      <c r="AK24" s="363"/>
      <c r="AM24" s="226"/>
      <c r="AN24" s="227"/>
      <c r="AO24" s="227"/>
      <c r="AP24" s="227"/>
      <c r="AQ24" s="228">
        <f t="shared" si="0"/>
        <v>0</v>
      </c>
      <c r="AR24" s="220">
        <f t="shared" si="14"/>
        <v>9</v>
      </c>
      <c r="AS24" s="203" t="str">
        <f t="shared" si="17"/>
        <v>N/A</v>
      </c>
      <c r="AT24" s="223"/>
      <c r="AU24" s="220">
        <f t="shared" si="18"/>
        <v>9</v>
      </c>
      <c r="AV24" s="203" t="str">
        <f t="shared" si="19"/>
        <v>N/A</v>
      </c>
      <c r="AW24" s="223"/>
      <c r="AX24" s="220">
        <f t="shared" si="8"/>
        <v>9</v>
      </c>
      <c r="AY24" s="203" t="str">
        <f t="shared" si="20"/>
        <v>N/A</v>
      </c>
      <c r="AZ24" s="223"/>
      <c r="BC24" s="292"/>
      <c r="BD24" s="202" t="s">
        <v>131</v>
      </c>
      <c r="BE24" s="203" t="str">
        <f>IF(D5&lt;&gt;G8,"","Hea 08")</f>
        <v/>
      </c>
      <c r="BF24" s="203" t="str">
        <f>IF(D5&lt;&gt;G8,"",VLOOKUP($BD24,$C$9:$AY$104,AR$1,FALSE))</f>
        <v/>
      </c>
      <c r="BG24" s="203" t="str">
        <f>IF(D5&lt;&gt;G8,"",VLOOKUP($BD24,$C$9:$AY$104,AR$1,FALSE))</f>
        <v/>
      </c>
      <c r="BH24" s="223" t="str">
        <f>IF(D5&lt;&gt;G8,"",VLOOKUP($BD24,$C$9:$AY$104,AR$1,FALSE))</f>
        <v/>
      </c>
      <c r="BI24" s="268" t="s">
        <v>347</v>
      </c>
      <c r="BK24" s="203" t="str">
        <f>C24</f>
        <v>Hea 06</v>
      </c>
      <c r="BL24" s="203" t="str">
        <f>IFERROR(VLOOKUP($D24,'Pre-Assessment Estimator'!$C$10:$X$100,'Pre-Assessment Estimator'!X$2,FALSE),"")</f>
        <v>N/A</v>
      </c>
      <c r="BM24" s="203">
        <f>IFERROR(VLOOKUP($D24,'Pre-Assessment Estimator'!$C$10:$AE$100,'Pre-Assessment Estimator'!AE$2,FALSE),"")</f>
        <v>0</v>
      </c>
      <c r="BN24" s="203">
        <f t="shared" si="10"/>
        <v>1</v>
      </c>
      <c r="BO24" s="203">
        <f t="shared" si="11"/>
        <v>0</v>
      </c>
      <c r="BP24" s="203"/>
      <c r="BQ24" s="106" t="str">
        <f t="shared" si="12"/>
        <v/>
      </c>
    </row>
    <row r="25" spans="1:75" x14ac:dyDescent="0.25">
      <c r="A25" s="106">
        <v>18</v>
      </c>
      <c r="C25" s="202" t="s">
        <v>130</v>
      </c>
      <c r="D25" s="203" t="s">
        <v>120</v>
      </c>
      <c r="E25" s="216">
        <v>1</v>
      </c>
      <c r="F25" s="216">
        <v>1</v>
      </c>
      <c r="G25" s="216">
        <v>1</v>
      </c>
      <c r="H25" s="216">
        <v>1</v>
      </c>
      <c r="I25" s="217">
        <v>1</v>
      </c>
      <c r="K25" s="266">
        <f t="shared" si="16"/>
        <v>1</v>
      </c>
      <c r="L25" s="267">
        <f>IF(AD_NaturalHazards='Assessment Details'!L58,Poeng!K25,0)</f>
        <v>0</v>
      </c>
      <c r="M25" s="203"/>
      <c r="N25" s="203"/>
      <c r="O25" s="203">
        <f>'Manuell filtrering og justering'!D23</f>
        <v>0</v>
      </c>
      <c r="P25" s="204">
        <f>VLOOKUP(C25,'Manuell filtrering og justering'!$A$7:$G$97,'Manuell filtrering og justering'!$G$1,FALSE)</f>
        <v>1</v>
      </c>
      <c r="Q25" s="205">
        <f t="shared" si="22"/>
        <v>0</v>
      </c>
      <c r="R25" s="206">
        <f>IF($S$4='Manuell filtrering og justering'!$I$2,(P25-Q25),(K25-Q25))</f>
        <v>1</v>
      </c>
      <c r="T25" s="207">
        <f>(Hea_Weight/Hea_Credits)*Hea07_Credits</f>
        <v>7.4999999999999997E-3</v>
      </c>
      <c r="U25" s="207">
        <f>IF(R25=0,0,(Hea07_07/Hea07_Credits)*Hea07_user)</f>
        <v>0</v>
      </c>
      <c r="W25" s="259">
        <f>IF(VLOOKUP(D25,'Pre-Assessment Estimator'!$C$10:$W$100,'Pre-Assessment Estimator'!$E$2,FALSE)&gt;R25,R25,VLOOKUP(D25,'Pre-Assessment Estimator'!$C$10:$W$100,'Pre-Assessment Estimator'!$E$2,FALSE))</f>
        <v>0</v>
      </c>
      <c r="X25" s="208">
        <f>IF(VLOOKUP(D25,'Pre-Assessment Estimator'!$C$10:$W$100,'Pre-Assessment Estimator'!$L$2,FALSE)&gt;R25,R25,VLOOKUP(D25,'Pre-Assessment Estimator'!$C$10:$W$100,'Pre-Assessment Estimator'!$L$2,FALSE))</f>
        <v>0</v>
      </c>
      <c r="Y25" s="208">
        <f>IF(VLOOKUP(D25,'Pre-Assessment Estimator'!$C$10:$W$100,'Pre-Assessment Estimator'!$R$2,FALSE)&gt;R25,R25,VLOOKUP(D25,'Pre-Assessment Estimator'!$C$10:$W$100,'Pre-Assessment Estimator'!$R$2,FALSE))</f>
        <v>0</v>
      </c>
      <c r="AA25" s="361"/>
      <c r="AB25" s="362"/>
      <c r="AC25" s="362"/>
      <c r="AD25" s="362"/>
      <c r="AE25" s="363"/>
      <c r="AF25" s="169"/>
      <c r="AG25" s="361"/>
      <c r="AH25" s="362"/>
      <c r="AI25" s="362"/>
      <c r="AJ25" s="362"/>
      <c r="AK25" s="363"/>
      <c r="AM25" s="226"/>
      <c r="AN25" s="227"/>
      <c r="AO25" s="227"/>
      <c r="AP25" s="227"/>
      <c r="AQ25" s="228">
        <f t="shared" si="0"/>
        <v>0</v>
      </c>
      <c r="AR25" s="220">
        <f t="shared" si="14"/>
        <v>9</v>
      </c>
      <c r="AS25" s="203" t="str">
        <f t="shared" si="17"/>
        <v>N/A</v>
      </c>
      <c r="AT25" s="223"/>
      <c r="AU25" s="220">
        <f t="shared" si="18"/>
        <v>9</v>
      </c>
      <c r="AV25" s="203" t="str">
        <f t="shared" si="19"/>
        <v>N/A</v>
      </c>
      <c r="AW25" s="223"/>
      <c r="AX25" s="220">
        <f t="shared" si="8"/>
        <v>9</v>
      </c>
      <c r="AY25" s="203" t="str">
        <f t="shared" si="20"/>
        <v>N/A</v>
      </c>
      <c r="AZ25" s="223"/>
      <c r="BC25" s="292"/>
      <c r="BD25" s="226" t="s">
        <v>132</v>
      </c>
      <c r="BE25" s="203" t="s">
        <v>132</v>
      </c>
      <c r="BF25" s="203">
        <f>VLOOKUP($BD25,$C$9:$AY$104,AR$1,FALSE)</f>
        <v>2</v>
      </c>
      <c r="BG25" s="203">
        <f>VLOOKUP($BD25,$C$9:$AY$104,AU$1,FALSE)</f>
        <v>2</v>
      </c>
      <c r="BH25" s="223">
        <f>VLOOKUP($BD25,$C$9:$AY$104,AX$1,FALSE)</f>
        <v>2</v>
      </c>
      <c r="BK25" s="203" t="str">
        <f t="shared" si="23"/>
        <v>Hea 07</v>
      </c>
      <c r="BL25" s="203" t="str">
        <f>IFERROR(VLOOKUP($D25,'Pre-Assessment Estimator'!$C$10:$X$100,'Pre-Assessment Estimator'!X$2,FALSE),"")</f>
        <v>N/A</v>
      </c>
      <c r="BM25" s="203">
        <f>IFERROR(VLOOKUP($D25,'Pre-Assessment Estimator'!$C$10:$AE$100,'Pre-Assessment Estimator'!AE$2,FALSE),"")</f>
        <v>0</v>
      </c>
      <c r="BN25" s="203">
        <f t="shared" si="10"/>
        <v>1</v>
      </c>
      <c r="BO25" s="203">
        <f t="shared" si="11"/>
        <v>0</v>
      </c>
      <c r="BP25" s="203"/>
      <c r="BQ25" s="106" t="str">
        <f t="shared" si="12"/>
        <v/>
      </c>
    </row>
    <row r="26" spans="1:75" x14ac:dyDescent="0.25">
      <c r="A26" s="106">
        <v>19</v>
      </c>
      <c r="C26" s="202" t="s">
        <v>131</v>
      </c>
      <c r="D26" s="203" t="s">
        <v>123</v>
      </c>
      <c r="E26" s="216"/>
      <c r="F26" s="216"/>
      <c r="G26" s="216">
        <v>1</v>
      </c>
      <c r="H26" s="216"/>
      <c r="I26" s="217"/>
      <c r="K26" s="266">
        <f t="shared" si="16"/>
        <v>0</v>
      </c>
      <c r="L26" s="202"/>
      <c r="M26" s="203"/>
      <c r="N26" s="203"/>
      <c r="O26" s="203">
        <f>'Manuell filtrering og justering'!D24</f>
        <v>0</v>
      </c>
      <c r="P26" s="204">
        <f>VLOOKUP(C26,'Manuell filtrering og justering'!$A$7:$G$97,'Manuell filtrering og justering'!$G$1,FALSE)</f>
        <v>0</v>
      </c>
      <c r="Q26" s="205">
        <f t="shared" si="22"/>
        <v>0</v>
      </c>
      <c r="R26" s="206">
        <f>IF($S$4='Manuell filtrering og justering'!$I$2,P26,(K26-Q26))</f>
        <v>0</v>
      </c>
      <c r="T26" s="207">
        <f>(Hea_Weight/Hea_Credits)*Hea08_Credits</f>
        <v>0</v>
      </c>
      <c r="U26" s="207">
        <f>IFERROR((Hea08_07/Hea08_Credits)*Hea08_user,0)</f>
        <v>0</v>
      </c>
      <c r="W26" s="259">
        <f>IF(VLOOKUP(D26,'Pre-Assessment Estimator'!$C$10:$W$100,'Pre-Assessment Estimator'!$E$2,FALSE)&gt;R26,R26,VLOOKUP(D26,'Pre-Assessment Estimator'!$C$10:$W$100,'Pre-Assessment Estimator'!$E$2,FALSE))</f>
        <v>0</v>
      </c>
      <c r="X26" s="208">
        <f>IF(VLOOKUP(D26,'Pre-Assessment Estimator'!$C$10:$W$100,'Pre-Assessment Estimator'!$L$2,FALSE)&gt;R26,R26,VLOOKUP(D26,'Pre-Assessment Estimator'!$C$10:$W$100,'Pre-Assessment Estimator'!$L$2,FALSE))</f>
        <v>0</v>
      </c>
      <c r="Y26" s="208">
        <f>IF(VLOOKUP(D26,'Pre-Assessment Estimator'!$C$10:$W$100,'Pre-Assessment Estimator'!$R$2,FALSE)&gt;R26,R26,VLOOKUP(D26,'Pre-Assessment Estimator'!$C$10:$W$100,'Pre-Assessment Estimator'!$R$2,FALSE))</f>
        <v>0</v>
      </c>
      <c r="AA26" s="360"/>
      <c r="AB26" s="219"/>
      <c r="AC26" s="219"/>
      <c r="AD26" s="219"/>
      <c r="AE26" s="224"/>
      <c r="AF26" s="169"/>
      <c r="AG26" s="360"/>
      <c r="AH26" s="219"/>
      <c r="AI26" s="219"/>
      <c r="AJ26" s="219"/>
      <c r="AK26" s="224">
        <v>1</v>
      </c>
      <c r="AM26" s="220"/>
      <c r="AN26" s="221"/>
      <c r="AO26" s="221"/>
      <c r="AP26" s="221"/>
      <c r="AQ26" s="225">
        <f t="shared" si="0"/>
        <v>0</v>
      </c>
      <c r="AR26" s="220">
        <f t="shared" si="14"/>
        <v>9</v>
      </c>
      <c r="AS26" s="203" t="str">
        <f t="shared" si="17"/>
        <v>N/A</v>
      </c>
      <c r="AT26" s="223"/>
      <c r="AU26" s="220">
        <f t="shared" si="18"/>
        <v>9</v>
      </c>
      <c r="AV26" s="203" t="str">
        <f t="shared" si="19"/>
        <v>N/A</v>
      </c>
      <c r="AW26" s="223"/>
      <c r="AX26" s="220">
        <f t="shared" si="8"/>
        <v>9</v>
      </c>
      <c r="AY26" s="203" t="str">
        <f t="shared" si="20"/>
        <v>N/A</v>
      </c>
      <c r="AZ26" s="223"/>
      <c r="BC26" s="292"/>
      <c r="BD26" s="202" t="s">
        <v>145</v>
      </c>
      <c r="BE26" s="203" t="s">
        <v>145</v>
      </c>
      <c r="BF26" s="203">
        <f>VLOOKUP($BD26,$C$9:$AY$104,AR$1,FALSE)</f>
        <v>3</v>
      </c>
      <c r="BG26" s="203">
        <f>VLOOKUP($BD26,$C$9:$AY$104,AU$1,FALSE)</f>
        <v>3</v>
      </c>
      <c r="BH26" s="223">
        <f>VLOOKUP($BD26,$C$9:$AY$104,AX$1,FALSE)</f>
        <v>3</v>
      </c>
      <c r="BI26" s="268"/>
      <c r="BK26" s="203" t="str">
        <f t="shared" si="23"/>
        <v>Hea 08</v>
      </c>
      <c r="BL26" s="203" t="str">
        <f>IFERROR(VLOOKUP($D26,'Pre-Assessment Estimator'!$C$10:$X$100,'Pre-Assessment Estimator'!X$2,FALSE),"")</f>
        <v>N/A</v>
      </c>
      <c r="BM26" s="203">
        <f>IFERROR(VLOOKUP($D26,'Pre-Assessment Estimator'!$C$10:$AE$100,'Pre-Assessment Estimator'!AE$2,FALSE),"")</f>
        <v>0</v>
      </c>
      <c r="BN26" s="203">
        <f t="shared" si="10"/>
        <v>1</v>
      </c>
      <c r="BO26" s="203">
        <f t="shared" si="11"/>
        <v>0</v>
      </c>
      <c r="BP26" s="203"/>
      <c r="BQ26" s="106" t="str">
        <f t="shared" si="12"/>
        <v/>
      </c>
    </row>
    <row r="27" spans="1:75" ht="15.75" thickBot="1" x14ac:dyDescent="0.3">
      <c r="A27" s="106">
        <v>20</v>
      </c>
      <c r="C27" s="230" t="s">
        <v>132</v>
      </c>
      <c r="D27" s="231" t="s">
        <v>121</v>
      </c>
      <c r="E27" s="232">
        <v>3</v>
      </c>
      <c r="F27" s="232">
        <v>3</v>
      </c>
      <c r="G27" s="232">
        <v>3</v>
      </c>
      <c r="H27" s="232">
        <v>3</v>
      </c>
      <c r="I27" s="233">
        <v>3</v>
      </c>
      <c r="K27" s="269">
        <f t="shared" si="16"/>
        <v>3</v>
      </c>
      <c r="L27" s="202"/>
      <c r="M27" s="203"/>
      <c r="N27" s="203"/>
      <c r="O27" s="203">
        <f>'Manuell filtrering og justering'!D25</f>
        <v>0</v>
      </c>
      <c r="P27" s="204">
        <f>VLOOKUP(C27,'Manuell filtrering og justering'!$A$7:$G$97,'Manuell filtrering og justering'!$G$1,FALSE)</f>
        <v>3</v>
      </c>
      <c r="Q27" s="205">
        <f t="shared" si="22"/>
        <v>0</v>
      </c>
      <c r="R27" s="206">
        <f>IF($S$4='Manuell filtrering og justering'!$I$2,P27,(K27-Q27))</f>
        <v>3</v>
      </c>
      <c r="T27" s="207">
        <f>(Hea_Weight/Hea_Credits)*Hea09_Credits</f>
        <v>2.2499999999999999E-2</v>
      </c>
      <c r="U27" s="207">
        <f>(T27/Hea09_Credits)*W27</f>
        <v>0</v>
      </c>
      <c r="W27" s="259">
        <f>IF(VLOOKUP(D27,'Pre-Assessment Estimator'!$C$10:$W$100,'Pre-Assessment Estimator'!$E$2,FALSE)&gt;R27,R27,VLOOKUP(D27,'Pre-Assessment Estimator'!$C$10:$W$100,'Pre-Assessment Estimator'!$E$2,FALSE))</f>
        <v>0</v>
      </c>
      <c r="X27" s="208">
        <f>IF(VLOOKUP(D27,'Pre-Assessment Estimator'!$C$10:$W$100,'Pre-Assessment Estimator'!$L$2,FALSE)&gt;R27,R27,VLOOKUP(D27,'Pre-Assessment Estimator'!$C$10:$W$100,'Pre-Assessment Estimator'!$L$2,FALSE))</f>
        <v>0</v>
      </c>
      <c r="Y27" s="208">
        <f>IF(VLOOKUP(D27,'Pre-Assessment Estimator'!$C$10:$W$100,'Pre-Assessment Estimator'!$R$2,FALSE)&gt;R27,R27,VLOOKUP(D27,'Pre-Assessment Estimator'!$C$10:$W$100,'Pre-Assessment Estimator'!$R$2,FALSE))</f>
        <v>0</v>
      </c>
      <c r="AA27" s="370"/>
      <c r="AB27" s="371"/>
      <c r="AC27" s="371">
        <v>1</v>
      </c>
      <c r="AD27" s="371">
        <v>1</v>
      </c>
      <c r="AE27" s="372">
        <v>1</v>
      </c>
      <c r="AF27" s="169"/>
      <c r="AG27" s="370"/>
      <c r="AH27" s="371"/>
      <c r="AI27" s="371">
        <v>1</v>
      </c>
      <c r="AJ27" s="371">
        <v>1</v>
      </c>
      <c r="AK27" s="372">
        <v>1</v>
      </c>
      <c r="AM27" s="241"/>
      <c r="AN27" s="270"/>
      <c r="AO27" s="270">
        <f t="shared" ref="AO27" si="24">IF($D$5=$G$8,AI27,AC27)</f>
        <v>1</v>
      </c>
      <c r="AP27" s="270">
        <f t="shared" ref="AP27" si="25">IF($D$5=$G$8,AJ27,AD27)</f>
        <v>1</v>
      </c>
      <c r="AQ27" s="271">
        <f t="shared" si="0"/>
        <v>1</v>
      </c>
      <c r="AR27" s="241">
        <f t="shared" si="14"/>
        <v>2</v>
      </c>
      <c r="AS27" s="242" t="str">
        <f t="shared" si="17"/>
        <v>Good</v>
      </c>
      <c r="AT27" s="243"/>
      <c r="AU27" s="241">
        <f t="shared" si="18"/>
        <v>2</v>
      </c>
      <c r="AV27" s="242" t="str">
        <f t="shared" si="19"/>
        <v>Good</v>
      </c>
      <c r="AW27" s="243"/>
      <c r="AX27" s="241">
        <f t="shared" si="8"/>
        <v>2</v>
      </c>
      <c r="AY27" s="242" t="str">
        <f t="shared" si="20"/>
        <v>Good</v>
      </c>
      <c r="AZ27" s="243"/>
      <c r="BC27" s="292"/>
      <c r="BD27" s="202" t="s">
        <v>146</v>
      </c>
      <c r="BE27" s="203" t="str">
        <f>IF(D5=G8,"","Ene 02")</f>
        <v>Ene 02</v>
      </c>
      <c r="BF27" s="203">
        <f>IF(D5=G8,"",VLOOKUP($BD27,$C$9:$AY$104,AR$1,FALSE))</f>
        <v>2</v>
      </c>
      <c r="BG27" s="203">
        <f>IF(D5=G8,"",VLOOKUP($BD27,$C$9:$AY$104,AU$1,FALSE))</f>
        <v>2</v>
      </c>
      <c r="BH27" s="223">
        <f>IF(D5=G8,"",VLOOKUP($BD27,$C$9:$AY$104,AX$1,FALSE))</f>
        <v>2</v>
      </c>
      <c r="BI27" s="268" t="s">
        <v>346</v>
      </c>
      <c r="BK27" s="231" t="str">
        <f t="shared" si="23"/>
        <v>Hea 09</v>
      </c>
      <c r="BL27" s="231" t="str">
        <f>IFERROR(VLOOKUP($D27,'Pre-Assessment Estimator'!$C$10:$X$100,'Pre-Assessment Estimator'!X$2,FALSE),"")</f>
        <v>N/A</v>
      </c>
      <c r="BM27" s="231">
        <f>IFERROR(VLOOKUP($D27,'Pre-Assessment Estimator'!$C$10:$AE$100,'Pre-Assessment Estimator'!AE$2,FALSE),"")</f>
        <v>0</v>
      </c>
      <c r="BN27" s="231">
        <f t="shared" si="10"/>
        <v>1</v>
      </c>
      <c r="BO27" s="231">
        <f t="shared" si="11"/>
        <v>0</v>
      </c>
      <c r="BP27" s="231"/>
      <c r="BQ27" s="106" t="str">
        <f t="shared" si="12"/>
        <v/>
      </c>
    </row>
    <row r="28" spans="1:75" ht="15.75" thickBot="1" x14ac:dyDescent="0.3">
      <c r="A28" s="106">
        <v>21</v>
      </c>
      <c r="C28" s="244"/>
      <c r="D28" s="245" t="s">
        <v>230</v>
      </c>
      <c r="E28" s="245">
        <f>SUM(E19:E27)</f>
        <v>22</v>
      </c>
      <c r="F28" s="245">
        <f t="shared" ref="F28:I28" si="26">SUM(F19:F27)</f>
        <v>22</v>
      </c>
      <c r="G28" s="245">
        <f t="shared" si="26"/>
        <v>24</v>
      </c>
      <c r="H28" s="245">
        <f t="shared" si="26"/>
        <v>22</v>
      </c>
      <c r="I28" s="246">
        <f t="shared" si="26"/>
        <v>22</v>
      </c>
      <c r="K28" s="272">
        <f t="shared" si="16"/>
        <v>22</v>
      </c>
      <c r="L28" s="248"/>
      <c r="M28" s="249"/>
      <c r="N28" s="249"/>
      <c r="O28" s="249"/>
      <c r="P28" s="250"/>
      <c r="Q28" s="251">
        <f>SUM(Q19:Q27)</f>
        <v>2</v>
      </c>
      <c r="R28" s="273">
        <f>SUM(R19:R27)</f>
        <v>20</v>
      </c>
      <c r="T28" s="253">
        <f>SUM(T19:T27)</f>
        <v>0.15</v>
      </c>
      <c r="U28" s="253">
        <f>SUM(U19:U27)</f>
        <v>0</v>
      </c>
      <c r="W28" s="19">
        <f>SUM(W19:W27)</f>
        <v>0</v>
      </c>
      <c r="X28" s="19">
        <f t="shared" ref="X28:Y28" si="27">SUM(X19:X27)</f>
        <v>0</v>
      </c>
      <c r="Y28" s="19">
        <f t="shared" si="27"/>
        <v>0</v>
      </c>
      <c r="AA28" s="169"/>
      <c r="AB28" s="169"/>
      <c r="AC28" s="169"/>
      <c r="AD28" s="169"/>
      <c r="AE28" s="169"/>
      <c r="AF28" s="169"/>
      <c r="AG28" s="169"/>
      <c r="AH28" s="169"/>
      <c r="AI28" s="169"/>
      <c r="AJ28" s="169"/>
      <c r="AK28" s="169"/>
      <c r="AM28" s="107"/>
      <c r="AN28" s="254"/>
      <c r="AO28" s="107"/>
      <c r="AP28" s="107"/>
      <c r="AQ28" s="107"/>
      <c r="BC28" s="292"/>
      <c r="BD28" s="202" t="s">
        <v>148</v>
      </c>
      <c r="BE28" s="203" t="s">
        <v>148</v>
      </c>
      <c r="BF28" s="203">
        <f t="shared" ref="BF28:BF34" si="28">VLOOKUP($BD28,$C$9:$AY$104,AR$1,FALSE)</f>
        <v>3</v>
      </c>
      <c r="BG28" s="203">
        <f t="shared" ref="BG28:BG34" si="29">VLOOKUP($BD28,$C$9:$AY$104,AU$1,FALSE)</f>
        <v>3</v>
      </c>
      <c r="BH28" s="223">
        <f t="shared" ref="BH28:BH34" si="30">VLOOKUP($BD28,$C$9:$AY$104,AX$1,FALSE)</f>
        <v>3</v>
      </c>
      <c r="BK28" s="245"/>
      <c r="BL28" s="245" t="str">
        <f>IFERROR(VLOOKUP($D28,'Pre-Assessment Estimator'!$C$10:$X$100,'Pre-Assessment Estimator'!X$2,FALSE),"")</f>
        <v/>
      </c>
      <c r="BM28" s="245" t="str">
        <f>IFERROR(VLOOKUP($D28,'Pre-Assessment Estimator'!$C$10:$AE$100,'Pre-Assessment Estimator'!AE$2,FALSE),"")</f>
        <v/>
      </c>
      <c r="BN28" s="245" t="str">
        <f t="shared" si="10"/>
        <v/>
      </c>
      <c r="BO28" s="245" t="str">
        <f t="shared" si="11"/>
        <v/>
      </c>
      <c r="BP28" s="245"/>
      <c r="BQ28" s="106" t="str">
        <f t="shared" si="12"/>
        <v/>
      </c>
    </row>
    <row r="29" spans="1:75" ht="15.75" thickBot="1" x14ac:dyDescent="0.3">
      <c r="A29" s="106">
        <v>22</v>
      </c>
      <c r="W29" s="3"/>
      <c r="X29" s="3"/>
      <c r="Y29" s="3"/>
      <c r="AA29" s="169"/>
      <c r="AB29" s="169"/>
      <c r="AC29" s="169"/>
      <c r="AD29" s="169"/>
      <c r="AE29" s="169"/>
      <c r="AF29" s="169"/>
      <c r="AG29" s="169"/>
      <c r="AH29" s="169"/>
      <c r="AI29" s="169"/>
      <c r="AJ29" s="169"/>
      <c r="AK29" s="169"/>
      <c r="AM29" s="107"/>
      <c r="AN29" s="107"/>
      <c r="AO29" s="107"/>
      <c r="AP29" s="107"/>
      <c r="AQ29" s="107"/>
      <c r="BC29" s="292"/>
      <c r="BD29" s="202" t="s">
        <v>154</v>
      </c>
      <c r="BE29" s="203" t="s">
        <v>154</v>
      </c>
      <c r="BF29" s="203">
        <f t="shared" si="28"/>
        <v>4</v>
      </c>
      <c r="BG29" s="203">
        <f t="shared" si="29"/>
        <v>4</v>
      </c>
      <c r="BH29" s="223">
        <f t="shared" si="30"/>
        <v>4</v>
      </c>
      <c r="BL29" s="106" t="str">
        <f>IFERROR(VLOOKUP($D29,'Pre-Assessment Estimator'!$C$10:$X$100,'Pre-Assessment Estimator'!X$2,FALSE),"")</f>
        <v/>
      </c>
      <c r="BM29" s="106" t="str">
        <f>IFERROR(VLOOKUP($D29,'Pre-Assessment Estimator'!$C$10:$AE$100,'Pre-Assessment Estimator'!AE$2,FALSE),"")</f>
        <v/>
      </c>
      <c r="BN29" s="106" t="str">
        <f t="shared" si="10"/>
        <v/>
      </c>
      <c r="BO29" s="106" t="str">
        <f t="shared" si="11"/>
        <v/>
      </c>
      <c r="BQ29" s="106" t="str">
        <f t="shared" si="12"/>
        <v/>
      </c>
    </row>
    <row r="30" spans="1:75" ht="15.75" thickBot="1" x14ac:dyDescent="0.3">
      <c r="A30" s="106">
        <v>23</v>
      </c>
      <c r="C30" s="176"/>
      <c r="D30" s="177" t="s">
        <v>70</v>
      </c>
      <c r="E30" s="178" t="str">
        <f>$E$8</f>
        <v>Office</v>
      </c>
      <c r="F30" s="178" t="str">
        <f>$F$8</f>
        <v>Retail</v>
      </c>
      <c r="G30" s="178" t="str">
        <f>$G$8</f>
        <v>Residential</v>
      </c>
      <c r="H30" s="178" t="str">
        <f>$H$8</f>
        <v>Industrial</v>
      </c>
      <c r="I30" s="179" t="str">
        <f>$I$8</f>
        <v>Education</v>
      </c>
      <c r="K30" s="168" t="str">
        <f>$D$5</f>
        <v>Office</v>
      </c>
      <c r="L30" s="255"/>
      <c r="M30" s="256"/>
      <c r="N30" s="256"/>
      <c r="O30" s="256"/>
      <c r="P30" s="444" t="s">
        <v>405</v>
      </c>
      <c r="Q30" s="183" t="s">
        <v>230</v>
      </c>
      <c r="R30" s="168"/>
      <c r="W30" s="44"/>
      <c r="X30" s="64"/>
      <c r="Y30" s="64"/>
      <c r="AA30" s="169"/>
      <c r="AB30" s="169"/>
      <c r="AC30" s="169"/>
      <c r="AD30" s="169"/>
      <c r="AE30" s="169"/>
      <c r="AF30" s="169"/>
      <c r="AG30" s="169"/>
      <c r="AH30" s="169"/>
      <c r="AI30" s="169"/>
      <c r="AJ30" s="169"/>
      <c r="AK30" s="169"/>
      <c r="AM30" s="107"/>
      <c r="AN30" s="107"/>
      <c r="AO30" s="107"/>
      <c r="AP30" s="107"/>
      <c r="AQ30" s="107"/>
      <c r="BC30" s="292"/>
      <c r="BD30" s="202" t="s">
        <v>184</v>
      </c>
      <c r="BE30" s="203" t="s">
        <v>184</v>
      </c>
      <c r="BF30" s="203">
        <f t="shared" si="28"/>
        <v>3</v>
      </c>
      <c r="BG30" s="203">
        <f t="shared" si="29"/>
        <v>3</v>
      </c>
      <c r="BH30" s="223">
        <f t="shared" si="30"/>
        <v>3</v>
      </c>
      <c r="BK30" s="177"/>
      <c r="BL30" s="177" t="str">
        <f>D30</f>
        <v>Energy</v>
      </c>
      <c r="BM30" s="177">
        <f>IFERROR(VLOOKUP($D30,'Pre-Assessment Estimator'!$C$10:$AE$100,'Pre-Assessment Estimator'!AE$2,FALSE),"")</f>
        <v>0</v>
      </c>
      <c r="BN30" s="177" t="str">
        <f t="shared" si="10"/>
        <v/>
      </c>
      <c r="BO30" s="177" t="str">
        <f t="shared" si="11"/>
        <v/>
      </c>
      <c r="BP30" s="177"/>
      <c r="BQ30" s="106" t="str">
        <f t="shared" si="12"/>
        <v/>
      </c>
    </row>
    <row r="31" spans="1:75" x14ac:dyDescent="0.25">
      <c r="A31" s="106">
        <v>24</v>
      </c>
      <c r="C31" s="197" t="s">
        <v>145</v>
      </c>
      <c r="D31" s="198" t="s">
        <v>135</v>
      </c>
      <c r="E31" s="199">
        <v>12</v>
      </c>
      <c r="F31" s="199">
        <v>12</v>
      </c>
      <c r="G31" s="199">
        <v>12</v>
      </c>
      <c r="H31" s="199">
        <v>12</v>
      </c>
      <c r="I31" s="200">
        <v>12</v>
      </c>
      <c r="K31" s="274">
        <f t="shared" ref="K31:K41" si="31">HLOOKUP($D$5,$E$8:$I$99,$A31,FALSE)</f>
        <v>12</v>
      </c>
      <c r="L31" s="202"/>
      <c r="M31" s="203"/>
      <c r="N31" s="203"/>
      <c r="O31" s="203">
        <f>'Manuell filtrering og justering'!D29</f>
        <v>0</v>
      </c>
      <c r="P31" s="204">
        <f>VLOOKUP(C31,'Manuell filtrering og justering'!$A$7:$G$97,'Manuell filtrering og justering'!$G$1,FALSE)</f>
        <v>12</v>
      </c>
      <c r="Q31" s="205">
        <f>IF(SUM(L31:O31)&gt;K31,K31,SUM(L31:O31))</f>
        <v>0</v>
      </c>
      <c r="R31" s="206">
        <f>IF($S$4='Manuell filtrering og justering'!$I$2,P31,(K31-Q31))</f>
        <v>12</v>
      </c>
      <c r="T31" s="207">
        <f>(BP_34/Ene_Credits)*Ene01_credits</f>
        <v>0.10363636363636364</v>
      </c>
      <c r="U31" s="207">
        <f>(Ene01_41/Ene01_credits)*Ene01_user</f>
        <v>0</v>
      </c>
      <c r="W31" s="259">
        <f>IF(VLOOKUP(D31,'Pre-Assessment Estimator'!$C$10:$W$100,'Pre-Assessment Estimator'!$E$2,FALSE)&gt;R31,R31,VLOOKUP(D31,'Pre-Assessment Estimator'!$C$10:$W$100,'Pre-Assessment Estimator'!$E$2,FALSE))</f>
        <v>0</v>
      </c>
      <c r="X31" s="208">
        <f>IF(VLOOKUP(D31,'Pre-Assessment Estimator'!$C$10:$W$100,'Pre-Assessment Estimator'!$L$2,FALSE)&gt;R31,R31,VLOOKUP(D31,'Pre-Assessment Estimator'!$C$10:$W$100,'Pre-Assessment Estimator'!$L$2,FALSE))</f>
        <v>0</v>
      </c>
      <c r="Y31" s="208">
        <f>IF(VLOOKUP(D31,'Pre-Assessment Estimator'!$C$10:$W$100,'Pre-Assessment Estimator'!$R$2,FALSE)&gt;R31,R31,VLOOKUP(D31,'Pre-Assessment Estimator'!$C$10:$W$100,'Pre-Assessment Estimator'!$R$2,FALSE))</f>
        <v>0</v>
      </c>
      <c r="AA31" s="209"/>
      <c r="AB31" s="358"/>
      <c r="AC31" s="358"/>
      <c r="AD31" s="379">
        <v>6</v>
      </c>
      <c r="AE31" s="380">
        <v>8</v>
      </c>
      <c r="AF31" s="169"/>
      <c r="AG31" s="209"/>
      <c r="AH31" s="358"/>
      <c r="AI31" s="358"/>
      <c r="AJ31" s="379">
        <v>6</v>
      </c>
      <c r="AK31" s="380">
        <v>8</v>
      </c>
      <c r="AM31" s="211"/>
      <c r="AN31" s="212"/>
      <c r="AO31" s="212"/>
      <c r="AP31" s="212">
        <f t="shared" ref="AP31:AP32" si="32">IF($D$5=$G$8,AJ31,AD31)</f>
        <v>6</v>
      </c>
      <c r="AQ31" s="275">
        <f>IF($D$5=$G$8,AK31,AE31)</f>
        <v>8</v>
      </c>
      <c r="AR31" s="211">
        <f t="shared" si="14"/>
        <v>3</v>
      </c>
      <c r="AS31" s="214" t="str">
        <f t="shared" ref="AS31:AS40" si="33">VLOOKUP(AR31,$BB$8:$BC$14,2,FALSE)</f>
        <v>Very Good</v>
      </c>
      <c r="AT31" s="215"/>
      <c r="AU31" s="211">
        <f t="shared" ref="AU31:AU40" si="34">IF(AQ31=0,9,IF(X31&gt;=AQ31,5,IF(X31&gt;=AP31,4,IF(X31&gt;=AO31,3,IF(X31&gt;=AN31,2,IF(X31&lt;AM31,0,1))))))</f>
        <v>3</v>
      </c>
      <c r="AV31" s="214" t="str">
        <f t="shared" ref="AV31:AV40" si="35">VLOOKUP(AU31,$BB$8:$BC$14,2,FALSE)</f>
        <v>Very Good</v>
      </c>
      <c r="AW31" s="215"/>
      <c r="AX31" s="211">
        <f t="shared" si="8"/>
        <v>3</v>
      </c>
      <c r="AY31" s="214" t="str">
        <f t="shared" ref="AY31:AY40" si="36">VLOOKUP(AX31,$BB$8:$BC$14,2,FALSE)</f>
        <v>Very Good</v>
      </c>
      <c r="AZ31" s="215"/>
      <c r="BC31" s="292"/>
      <c r="BD31" s="202" t="s">
        <v>4</v>
      </c>
      <c r="BE31" s="203" t="s">
        <v>188</v>
      </c>
      <c r="BF31" s="203">
        <f t="shared" si="28"/>
        <v>0</v>
      </c>
      <c r="BG31" s="203">
        <f t="shared" si="29"/>
        <v>0</v>
      </c>
      <c r="BH31" s="223">
        <f t="shared" si="30"/>
        <v>0</v>
      </c>
      <c r="BK31" s="198" t="str">
        <f t="shared" ref="BK31:BK40" si="37">C31</f>
        <v>Ene 01</v>
      </c>
      <c r="BL31" s="198" t="str">
        <f>IFERROR(VLOOKUP($D31,'Pre-Assessment Estimator'!$C$10:$X$100,'Pre-Assessment Estimator'!X$2,FALSE),"")</f>
        <v>No</v>
      </c>
      <c r="BM31" s="198">
        <f>IFERROR(VLOOKUP($D31,'Pre-Assessment Estimator'!$C$10:$AE$100,'Pre-Assessment Estimator'!AE$2,FALSE),"")</f>
        <v>0</v>
      </c>
      <c r="BN31" s="198">
        <f t="shared" si="10"/>
        <v>1</v>
      </c>
      <c r="BO31" s="198">
        <f t="shared" si="11"/>
        <v>0</v>
      </c>
      <c r="BP31" s="198"/>
      <c r="BQ31" s="106" t="str">
        <f t="shared" si="12"/>
        <v/>
      </c>
    </row>
    <row r="32" spans="1:75" x14ac:dyDescent="0.25">
      <c r="A32" s="106">
        <v>25</v>
      </c>
      <c r="C32" s="202" t="s">
        <v>146</v>
      </c>
      <c r="D32" s="203" t="s">
        <v>144</v>
      </c>
      <c r="E32" s="216">
        <v>3</v>
      </c>
      <c r="F32" s="216">
        <v>3</v>
      </c>
      <c r="G32" s="216">
        <v>2</v>
      </c>
      <c r="H32" s="216">
        <v>3</v>
      </c>
      <c r="I32" s="217">
        <v>3</v>
      </c>
      <c r="K32" s="266">
        <f t="shared" si="31"/>
        <v>3</v>
      </c>
      <c r="L32" s="202"/>
      <c r="M32" s="203"/>
      <c r="N32" s="203"/>
      <c r="O32" s="203">
        <f>'Manuell filtrering og justering'!D30</f>
        <v>0</v>
      </c>
      <c r="P32" s="204">
        <f>VLOOKUP(C32,'Manuell filtrering og justering'!$A$7:$G$97,'Manuell filtrering og justering'!$G$1,FALSE)</f>
        <v>3</v>
      </c>
      <c r="Q32" s="205">
        <f t="shared" ref="Q32:Q40" si="38">IF(SUM(L32:O32)&gt;K32,K32,SUM(L32:O32))</f>
        <v>0</v>
      </c>
      <c r="R32" s="206">
        <f>IF($S$4='Manuell filtrering og justering'!$I$2,P32,(K32-Q32))</f>
        <v>3</v>
      </c>
      <c r="T32" s="207">
        <f>(BP_34/Ene_Credits)*Ene02_credits</f>
        <v>2.5909090909090909E-2</v>
      </c>
      <c r="U32" s="207">
        <f>(Ene02_10/Ene02_credits)*Ene02_user</f>
        <v>0</v>
      </c>
      <c r="W32" s="259">
        <f>IF(VLOOKUP(D32,'Pre-Assessment Estimator'!$C$10:$W$100,'Pre-Assessment Estimator'!$E$2,FALSE)=0,0,IF((IF(VLOOKUP(D32,'Pre-Assessment Estimator'!$C$10:$W$100,'Pre-Assessment Estimator'!$E$2,FALSE)&gt;R32,R32,VLOOKUP(D32,'Pre-Assessment Estimator'!$C$10:$W$100,'Pre-Assessment Estimator'!$E$2,FALSE))+BU32)&lt;0,0,(IF(VLOOKUP(D32,'Pre-Assessment Estimator'!$C$10:$W$100,'Pre-Assessment Estimator'!$E$2,FALSE)&gt;R32,R32,VLOOKUP(D32,'Pre-Assessment Estimator'!$C$10:$W$100,'Pre-Assessment Estimator'!$E$2,FALSE))+BU32)))</f>
        <v>0</v>
      </c>
      <c r="X32" s="208">
        <f>IF(VLOOKUP(D32,'Pre-Assessment Estimator'!$C$10:$W$100,'Pre-Assessment Estimator'!$L$2,FALSE)=0,0,IF((IF(VLOOKUP(D32,'Pre-Assessment Estimator'!$C$10:$W$100,'Pre-Assessment Estimator'!$L$2,FALSE)&gt;R32,R32,VLOOKUP(D32,'Pre-Assessment Estimator'!$C$10:$W$100,'Pre-Assessment Estimator'!$L$2,FALSE))+BU32)&lt;0,0,(IF(VLOOKUP(D32,'Pre-Assessment Estimator'!$C$10:$W$100,'Pre-Assessment Estimator'!$L$2,FALSE)&gt;R32,R32,VLOOKUP(D32,'Pre-Assessment Estimator'!$C$10:$W$100,'Pre-Assessment Estimator'!$L$2,FALSE))+BU32)))</f>
        <v>0</v>
      </c>
      <c r="Y32" s="208">
        <f>IF(VLOOKUP(D32,'Pre-Assessment Estimator'!$C$10:$W$100,'Pre-Assessment Estimator'!$R$2,FALSE)=0,0,IF((IF(VLOOKUP(D32,'Pre-Assessment Estimator'!$C$10:$W$100,'Pre-Assessment Estimator'!$R$2,FALSE)&gt;R32,R32,VLOOKUP(D32,'Pre-Assessment Estimator'!$C$10:$W$100,'Pre-Assessment Estimator'!$R$2,FALSE))+BU32)&lt;0,0,(IF(VLOOKUP(D32,'Pre-Assessment Estimator'!$C$10:$W$100,'Pre-Assessment Estimator'!$R$2,FALSE)&gt;R32,R32,VLOOKUP(D32,'Pre-Assessment Estimator'!$C$10:$W$100,'Pre-Assessment Estimator'!$R$2,FALSE))+BU32)))</f>
        <v>0</v>
      </c>
      <c r="Z32" s="106" t="s">
        <v>546</v>
      </c>
      <c r="AA32" s="360"/>
      <c r="AB32" s="219"/>
      <c r="AC32" s="219">
        <v>1</v>
      </c>
      <c r="AD32" s="219">
        <v>1</v>
      </c>
      <c r="AE32" s="224">
        <v>1</v>
      </c>
      <c r="AF32" s="169"/>
      <c r="AG32" s="360"/>
      <c r="AH32" s="219"/>
      <c r="AI32" s="219"/>
      <c r="AJ32" s="219"/>
      <c r="AK32" s="224"/>
      <c r="AM32" s="220"/>
      <c r="AN32" s="221"/>
      <c r="AO32" s="221">
        <f t="shared" ref="AO32" si="39">IF($D$5=$G$8,AI32,AC32)</f>
        <v>1</v>
      </c>
      <c r="AP32" s="221">
        <f t="shared" si="32"/>
        <v>1</v>
      </c>
      <c r="AQ32" s="225">
        <f>IF($D$5=$G$8,AK32,AE32)</f>
        <v>1</v>
      </c>
      <c r="AR32" s="220">
        <f>IF(AQ32=0,9,IF((W32-BU32)&gt;=AQ32,5,IF((W32-BU32)&gt;=AP32,4,IF((W32-BU32)&gt;=AO32,3,IF((W32-BU32)&gt;=AN32,2,IF((W32-BU32)&lt;AM32,0,1))))))</f>
        <v>2</v>
      </c>
      <c r="AS32" s="203" t="str">
        <f t="shared" si="33"/>
        <v>Good</v>
      </c>
      <c r="AT32" s="223"/>
      <c r="AU32" s="220">
        <f>IF(AQ32=0,9,IF((X32-BU32)&gt;=AQ32,5,IF((X32-BU32)&gt;=AP32,4,IF((X32-BU32)&gt;=AO32,3,IF((X32-BU32)&gt;=AN32,2,IF((X32-BU32)&lt;AM32,0,1))))))</f>
        <v>2</v>
      </c>
      <c r="AV32" s="203" t="str">
        <f t="shared" si="35"/>
        <v>Good</v>
      </c>
      <c r="AW32" s="223"/>
      <c r="AX32" s="220">
        <f>IF(AQ32=0,9,IF((Y32-BU32)&gt;=AQ32,5,IF((Y32-BU32)&gt;=AP32,4,IF((Y32-BU32)&gt;=AO32,3,IF((Y32-BU32)&gt;=AN32,2,IF((Y32-BU32)&lt;AM32,0,1))))))</f>
        <v>2</v>
      </c>
      <c r="AY32" s="203" t="str">
        <f t="shared" si="36"/>
        <v>Good</v>
      </c>
      <c r="AZ32" s="223"/>
      <c r="BC32" s="292"/>
      <c r="BD32" s="202" t="s">
        <v>350</v>
      </c>
      <c r="BE32" s="203" t="s">
        <v>189</v>
      </c>
      <c r="BF32" s="203">
        <f t="shared" si="28"/>
        <v>0</v>
      </c>
      <c r="BG32" s="203">
        <f t="shared" si="29"/>
        <v>0</v>
      </c>
      <c r="BH32" s="223">
        <f t="shared" si="30"/>
        <v>0</v>
      </c>
      <c r="BK32" s="203" t="str">
        <f t="shared" si="37"/>
        <v>Ene 02</v>
      </c>
      <c r="BL32" s="203" t="str">
        <f>IFERROR(VLOOKUP($D32,'Pre-Assessment Estimator'!$C$10:$X$100,'Pre-Assessment Estimator'!X$2,FALSE),"")</f>
        <v>O2: Sub-met. (AC 4-7: -1,0 c)</v>
      </c>
      <c r="BM32" s="278" t="str">
        <f>IFERROR(VLOOKUP($D32,'Pre-Assessment Estimator'!$C$10:$AE$100,'Pre-Assessment Estimator'!AE$2,FALSE),"")</f>
        <v>Ja</v>
      </c>
      <c r="BN32" s="203">
        <f t="shared" si="10"/>
        <v>-1</v>
      </c>
      <c r="BO32" s="854" t="s">
        <v>549</v>
      </c>
      <c r="BP32" s="203">
        <f>G155</f>
        <v>1</v>
      </c>
      <c r="BQ32" s="106" t="str">
        <f t="shared" si="12"/>
        <v/>
      </c>
      <c r="BR32" s="863" t="s">
        <v>524</v>
      </c>
      <c r="BS32" s="203">
        <f>VLOOKUP(BO32,$BO$3:$BP$4,2,FALSE)</f>
        <v>0</v>
      </c>
      <c r="BU32" s="863">
        <f>IF($BL$4=ais_no,BS32,IF(BR32=$BM$4,IF(AND(BO32=$BO$3,BL32=$BQ$3),0,BN32),BS32))</f>
        <v>0</v>
      </c>
      <c r="BW32" s="106" t="s">
        <v>524</v>
      </c>
    </row>
    <row r="33" spans="1:73" x14ac:dyDescent="0.25">
      <c r="A33" s="106">
        <v>26</v>
      </c>
      <c r="C33" s="202" t="s">
        <v>147</v>
      </c>
      <c r="D33" s="203" t="s">
        <v>136</v>
      </c>
      <c r="E33" s="216">
        <v>1</v>
      </c>
      <c r="F33" s="216">
        <v>1</v>
      </c>
      <c r="G33" s="216">
        <v>1</v>
      </c>
      <c r="H33" s="216">
        <v>1</v>
      </c>
      <c r="I33" s="217">
        <v>1</v>
      </c>
      <c r="K33" s="266">
        <f t="shared" si="31"/>
        <v>1</v>
      </c>
      <c r="L33" s="202"/>
      <c r="M33" s="203"/>
      <c r="N33" s="203"/>
      <c r="O33" s="203">
        <f>'Manuell filtrering og justering'!D31</f>
        <v>0</v>
      </c>
      <c r="P33" s="204">
        <f>VLOOKUP(C33,'Manuell filtrering og justering'!$A$7:$G$97,'Manuell filtrering og justering'!$G$1,FALSE)</f>
        <v>1</v>
      </c>
      <c r="Q33" s="205">
        <f t="shared" si="38"/>
        <v>0</v>
      </c>
      <c r="R33" s="206">
        <f>IF($S$4='Manuell filtrering og justering'!$I$2,P33,(K33-Q33))</f>
        <v>1</v>
      </c>
      <c r="T33" s="207">
        <f>(BP_34/Ene_Credits)*Ene03_credits</f>
        <v>8.6363636363636365E-3</v>
      </c>
      <c r="U33" s="207">
        <f>(Ene03_05/Ene03_credits)*Ene03_user</f>
        <v>0</v>
      </c>
      <c r="W33" s="259">
        <f>IF(VLOOKUP(D33,'Pre-Assessment Estimator'!$C$10:$W$100,'Pre-Assessment Estimator'!$E$2,FALSE)&gt;R33,R33,VLOOKUP(D33,'Pre-Assessment Estimator'!$C$10:$W$100,'Pre-Assessment Estimator'!$E$2,FALSE))*BU33</f>
        <v>0</v>
      </c>
      <c r="X33" s="208">
        <f>IF(VLOOKUP(D33,'Pre-Assessment Estimator'!$C$10:$W$100,'Pre-Assessment Estimator'!$L$2,FALSE)&gt;R33,R33,VLOOKUP(D33,'Pre-Assessment Estimator'!$C$10:$W$100,'Pre-Assessment Estimator'!$L$2,FALSE))*BU33</f>
        <v>0</v>
      </c>
      <c r="Y33" s="208">
        <f>IF(VLOOKUP(D33,'Pre-Assessment Estimator'!$C$10:$W$100,'Pre-Assessment Estimator'!$R$2,FALSE)&gt;R33,R33,VLOOKUP(D33,'Pre-Assessment Estimator'!$C$10:$W$100,'Pre-Assessment Estimator'!$R$2,FALSE))*BU33</f>
        <v>0</v>
      </c>
      <c r="Z33" s="106" t="s">
        <v>546</v>
      </c>
      <c r="AA33" s="361"/>
      <c r="AB33" s="362"/>
      <c r="AC33" s="362"/>
      <c r="AD33" s="362"/>
      <c r="AE33" s="363"/>
      <c r="AF33" s="169"/>
      <c r="AG33" s="361"/>
      <c r="AH33" s="362"/>
      <c r="AI33" s="362"/>
      <c r="AJ33" s="362"/>
      <c r="AK33" s="363"/>
      <c r="AM33" s="226"/>
      <c r="AN33" s="227"/>
      <c r="AO33" s="227"/>
      <c r="AP33" s="227"/>
      <c r="AQ33" s="228">
        <f>IF($D$5=$G$8,AK33,AE33)</f>
        <v>0</v>
      </c>
      <c r="AR33" s="220">
        <f t="shared" si="14"/>
        <v>9</v>
      </c>
      <c r="AS33" s="203" t="str">
        <f t="shared" si="33"/>
        <v>N/A</v>
      </c>
      <c r="AT33" s="223"/>
      <c r="AU33" s="220">
        <f t="shared" si="34"/>
        <v>9</v>
      </c>
      <c r="AV33" s="203" t="str">
        <f t="shared" si="35"/>
        <v>N/A</v>
      </c>
      <c r="AW33" s="223"/>
      <c r="AX33" s="220">
        <f t="shared" si="8"/>
        <v>9</v>
      </c>
      <c r="AY33" s="203" t="str">
        <f t="shared" si="36"/>
        <v>N/A</v>
      </c>
      <c r="AZ33" s="223"/>
      <c r="BA33" s="106" t="s">
        <v>580</v>
      </c>
      <c r="BC33" s="292"/>
      <c r="BD33" s="202" t="s">
        <v>192</v>
      </c>
      <c r="BE33" s="203" t="s">
        <v>192</v>
      </c>
      <c r="BF33" s="203">
        <f t="shared" si="28"/>
        <v>4</v>
      </c>
      <c r="BG33" s="203">
        <f t="shared" si="29"/>
        <v>4</v>
      </c>
      <c r="BH33" s="223">
        <f t="shared" si="30"/>
        <v>4</v>
      </c>
      <c r="BK33" s="203" t="str">
        <f t="shared" si="37"/>
        <v>Ene 03</v>
      </c>
      <c r="BL33" s="203" t="str">
        <f>IFERROR(VLOOKUP($D33,'Pre-Assessment Estimator'!$C$10:$X$100,'Pre-Assessment Estimator'!X$2,FALSE),"")</f>
        <v>No</v>
      </c>
      <c r="BM33" s="278" t="str">
        <f>IFERROR(VLOOKUP($D33,'Pre-Assessment Estimator'!$C$10:$AE$100,'Pre-Assessment Estimator'!AE$2,FALSE),"")</f>
        <v>Ja</v>
      </c>
      <c r="BN33" s="203">
        <f t="shared" si="10"/>
        <v>1</v>
      </c>
      <c r="BO33" s="862" t="s">
        <v>551</v>
      </c>
      <c r="BP33" s="203"/>
      <c r="BQ33" s="106" t="str">
        <f t="shared" si="12"/>
        <v/>
      </c>
      <c r="BR33" s="106" t="s">
        <v>557</v>
      </c>
      <c r="BS33" s="203">
        <f>VLOOKUP(BO33,$BO$3:$BP$4,2,FALSE)</f>
        <v>1</v>
      </c>
      <c r="BU33" s="863">
        <f>IF($BL$4=ais_no,BS33,IF(AND(BO33=$BO$3,BL33=$BQ$3),0,BN33))</f>
        <v>1</v>
      </c>
    </row>
    <row r="34" spans="1:73" ht="15.75" thickBot="1" x14ac:dyDescent="0.3">
      <c r="A34" s="106">
        <v>27</v>
      </c>
      <c r="C34" s="202" t="s">
        <v>148</v>
      </c>
      <c r="D34" s="203" t="s">
        <v>137</v>
      </c>
      <c r="E34" s="216">
        <v>2</v>
      </c>
      <c r="F34" s="216">
        <v>2</v>
      </c>
      <c r="G34" s="216">
        <v>2</v>
      </c>
      <c r="H34" s="216">
        <v>2</v>
      </c>
      <c r="I34" s="217">
        <v>2</v>
      </c>
      <c r="K34" s="266">
        <f t="shared" si="31"/>
        <v>2</v>
      </c>
      <c r="L34" s="202"/>
      <c r="M34" s="203"/>
      <c r="N34" s="203"/>
      <c r="O34" s="203">
        <f>'Manuell filtrering og justering'!D32</f>
        <v>0</v>
      </c>
      <c r="P34" s="204">
        <f>VLOOKUP(C34,'Manuell filtrering og justering'!$A$7:$G$97,'Manuell filtrering og justering'!$G$1,FALSE)</f>
        <v>3</v>
      </c>
      <c r="Q34" s="205">
        <f t="shared" si="38"/>
        <v>0</v>
      </c>
      <c r="R34" s="206">
        <f>IF($S$4='Manuell filtrering og justering'!$I$2,P34,(K34-Q34))</f>
        <v>2</v>
      </c>
      <c r="T34" s="207">
        <f>(BP_34/Ene_Credits)*Ene04_credits</f>
        <v>1.7272727272727273E-2</v>
      </c>
      <c r="U34" s="207">
        <f>(Ene04_19/Ene04_credits)*Ene04_user</f>
        <v>0</v>
      </c>
      <c r="W34" s="259">
        <f>IF(VLOOKUP(D34,'Pre-Assessment Estimator'!$C$10:$W$100,'Pre-Assessment Estimator'!$E$2,FALSE)&gt;R34,R34,VLOOKUP(D34,'Pre-Assessment Estimator'!$C$10:$W$100,'Pre-Assessment Estimator'!$E$2,FALSE))</f>
        <v>0</v>
      </c>
      <c r="X34" s="208">
        <f>IF(VLOOKUP(D34,'Pre-Assessment Estimator'!$C$10:$W$100,'Pre-Assessment Estimator'!$L$2,FALSE)&gt;R34,R34,VLOOKUP(D34,'Pre-Assessment Estimator'!$C$10:$W$100,'Pre-Assessment Estimator'!$L$2,FALSE))</f>
        <v>0</v>
      </c>
      <c r="Y34" s="208">
        <f>IF(VLOOKUP(D34,'Pre-Assessment Estimator'!$C$10:$W$100,'Pre-Assessment Estimator'!$R$2,FALSE)&gt;R34,R34,VLOOKUP(D34,'Pre-Assessment Estimator'!$C$10:$W$100,'Pre-Assessment Estimator'!$R$2,FALSE))</f>
        <v>0</v>
      </c>
      <c r="AA34" s="360"/>
      <c r="AB34" s="219"/>
      <c r="AC34" s="219"/>
      <c r="AD34" s="219">
        <v>1</v>
      </c>
      <c r="AE34" s="224">
        <v>1</v>
      </c>
      <c r="AF34" s="169"/>
      <c r="AG34" s="360"/>
      <c r="AH34" s="219"/>
      <c r="AI34" s="219"/>
      <c r="AJ34" s="219">
        <v>1</v>
      </c>
      <c r="AK34" s="224">
        <v>1</v>
      </c>
      <c r="AM34" s="220"/>
      <c r="AN34" s="221"/>
      <c r="AO34" s="221"/>
      <c r="AP34" s="221">
        <f t="shared" ref="AP34" si="40">IF($D$5=$G$8,AJ34,AD34)</f>
        <v>1</v>
      </c>
      <c r="AQ34" s="225">
        <f t="shared" si="0"/>
        <v>1</v>
      </c>
      <c r="AR34" s="220">
        <f t="shared" si="14"/>
        <v>3</v>
      </c>
      <c r="AS34" s="203" t="str">
        <f t="shared" si="33"/>
        <v>Very Good</v>
      </c>
      <c r="AT34" s="223"/>
      <c r="AU34" s="220">
        <f t="shared" si="34"/>
        <v>3</v>
      </c>
      <c r="AV34" s="203" t="str">
        <f t="shared" si="35"/>
        <v>Very Good</v>
      </c>
      <c r="AW34" s="223"/>
      <c r="AX34" s="220">
        <f t="shared" si="8"/>
        <v>3</v>
      </c>
      <c r="AY34" s="203" t="str">
        <f t="shared" si="36"/>
        <v>Very Good</v>
      </c>
      <c r="AZ34" s="223"/>
      <c r="BD34" s="276" t="s">
        <v>194</v>
      </c>
      <c r="BE34" s="242" t="s">
        <v>194</v>
      </c>
      <c r="BF34" s="242">
        <f t="shared" si="28"/>
        <v>3</v>
      </c>
      <c r="BG34" s="242">
        <f t="shared" si="29"/>
        <v>3</v>
      </c>
      <c r="BH34" s="243">
        <f t="shared" si="30"/>
        <v>3</v>
      </c>
      <c r="BK34" s="203" t="str">
        <f t="shared" si="37"/>
        <v>Ene 04</v>
      </c>
      <c r="BL34" s="203" t="str">
        <f>IFERROR(VLOOKUP($D34,'Pre-Assessment Estimator'!$C$10:$X$100,'Pre-Assessment Estimator'!X$2,FALSE),"")</f>
        <v>No</v>
      </c>
      <c r="BM34" s="203">
        <f>IFERROR(VLOOKUP($D34,'Pre-Assessment Estimator'!$C$10:$AE$100,'Pre-Assessment Estimator'!AE$2,FALSE),"")</f>
        <v>0</v>
      </c>
      <c r="BN34" s="203">
        <f t="shared" si="10"/>
        <v>1</v>
      </c>
      <c r="BO34" s="203">
        <f t="shared" si="11"/>
        <v>0</v>
      </c>
      <c r="BP34" s="203"/>
      <c r="BQ34" s="106" t="str">
        <f t="shared" si="12"/>
        <v/>
      </c>
    </row>
    <row r="35" spans="1:73" x14ac:dyDescent="0.25">
      <c r="A35" s="106">
        <v>28</v>
      </c>
      <c r="C35" s="202" t="s">
        <v>149</v>
      </c>
      <c r="D35" s="203" t="s">
        <v>138</v>
      </c>
      <c r="E35" s="216">
        <v>3</v>
      </c>
      <c r="F35" s="216">
        <v>3</v>
      </c>
      <c r="G35" s="216">
        <v>0</v>
      </c>
      <c r="H35" s="216">
        <v>3</v>
      </c>
      <c r="I35" s="217">
        <v>3</v>
      </c>
      <c r="K35" s="266">
        <f t="shared" si="31"/>
        <v>3</v>
      </c>
      <c r="L35" s="267">
        <f>IF(AD_refrig=AD_no,K35,0)</f>
        <v>3</v>
      </c>
      <c r="M35" s="203"/>
      <c r="N35" s="203"/>
      <c r="O35" s="203">
        <f>'Manuell filtrering og justering'!D33</f>
        <v>0</v>
      </c>
      <c r="P35" s="204">
        <f>VLOOKUP(C35,'Manuell filtrering og justering'!$A$7:$G$97,'Manuell filtrering og justering'!$G$1,FALSE)</f>
        <v>0</v>
      </c>
      <c r="Q35" s="205">
        <f t="shared" si="38"/>
        <v>3</v>
      </c>
      <c r="R35" s="206">
        <f>IF($S$4='Manuell filtrering og justering'!$I$2,P35,(K35-Q35))</f>
        <v>0</v>
      </c>
      <c r="T35" s="207">
        <f>(BP_34/Ene_Credits)*Ene05_credits</f>
        <v>0</v>
      </c>
      <c r="U35" s="207">
        <f>IFERROR((Ene05_20/Ene05_credits)*Ene05_user,0)</f>
        <v>0</v>
      </c>
      <c r="W35" s="259">
        <f>IF(VLOOKUP(D35,'Pre-Assessment Estimator'!$C$10:$W$100,'Pre-Assessment Estimator'!$E$2,FALSE)&gt;R35,R35,VLOOKUP(D35,'Pre-Assessment Estimator'!$C$10:$W$100,'Pre-Assessment Estimator'!$E$2,FALSE))*BU35</f>
        <v>0</v>
      </c>
      <c r="X35" s="208">
        <f>IF(VLOOKUP(D35,'Pre-Assessment Estimator'!$C$10:$W$100,'Pre-Assessment Estimator'!$L$2,FALSE)&gt;R35,R35,VLOOKUP(D35,'Pre-Assessment Estimator'!$C$10:$W$100,'Pre-Assessment Estimator'!$L$2,FALSE))*BU35</f>
        <v>0</v>
      </c>
      <c r="Y35" s="208">
        <f>IF(VLOOKUP(D35,'Pre-Assessment Estimator'!$C$10:$W$100,'Pre-Assessment Estimator'!$R$2,FALSE)&gt;R35,R35,VLOOKUP(D35,'Pre-Assessment Estimator'!$C$10:$W$100,'Pre-Assessment Estimator'!$R$2,FALSE))*BU35</f>
        <v>0</v>
      </c>
      <c r="Z35" s="106" t="s">
        <v>546</v>
      </c>
      <c r="AA35" s="361"/>
      <c r="AB35" s="362"/>
      <c r="AC35" s="362"/>
      <c r="AD35" s="362"/>
      <c r="AE35" s="363"/>
      <c r="AF35" s="169"/>
      <c r="AG35" s="361"/>
      <c r="AH35" s="362"/>
      <c r="AI35" s="362"/>
      <c r="AJ35" s="362"/>
      <c r="AK35" s="363"/>
      <c r="AM35" s="226"/>
      <c r="AN35" s="227"/>
      <c r="AO35" s="227"/>
      <c r="AP35" s="227"/>
      <c r="AQ35" s="228">
        <f t="shared" si="0"/>
        <v>0</v>
      </c>
      <c r="AR35" s="220">
        <f t="shared" si="14"/>
        <v>9</v>
      </c>
      <c r="AS35" s="203" t="str">
        <f t="shared" si="33"/>
        <v>N/A</v>
      </c>
      <c r="AT35" s="223"/>
      <c r="AU35" s="220">
        <f t="shared" si="34"/>
        <v>9</v>
      </c>
      <c r="AV35" s="203" t="str">
        <f t="shared" si="35"/>
        <v>N/A</v>
      </c>
      <c r="AW35" s="223"/>
      <c r="AX35" s="220">
        <f t="shared" si="8"/>
        <v>9</v>
      </c>
      <c r="AY35" s="203" t="str">
        <f t="shared" si="36"/>
        <v>N/A</v>
      </c>
      <c r="AZ35" s="223"/>
      <c r="BK35" s="203" t="str">
        <f t="shared" si="37"/>
        <v>Ene 05</v>
      </c>
      <c r="BL35" s="203" t="str">
        <f>IFERROR(VLOOKUP($D35,'Pre-Assessment Estimator'!$C$10:$X$100,'Pre-Assessment Estimator'!X$2,FALSE),"")</f>
        <v>No</v>
      </c>
      <c r="BM35" s="278" t="str">
        <f>IFERROR(VLOOKUP($D35,'Pre-Assessment Estimator'!$C$10:$AE$100,'Pre-Assessment Estimator'!AE$2,FALSE),"")</f>
        <v>Ja</v>
      </c>
      <c r="BN35" s="203">
        <f t="shared" si="10"/>
        <v>1</v>
      </c>
      <c r="BO35" s="862" t="s">
        <v>551</v>
      </c>
      <c r="BP35" s="203"/>
      <c r="BQ35" s="106" t="str">
        <f t="shared" si="12"/>
        <v/>
      </c>
      <c r="BR35" s="106" t="s">
        <v>524</v>
      </c>
      <c r="BS35" s="203">
        <f>VLOOKUP(BO35,$BO$3:$BP$4,2,FALSE)</f>
        <v>1</v>
      </c>
      <c r="BU35" s="863">
        <f>IF($BL$4=ais_no,BS35,IF(AND(BO35=$BO$3,BL35=$BQ$3),0,BN35))</f>
        <v>1</v>
      </c>
    </row>
    <row r="36" spans="1:73" x14ac:dyDescent="0.25">
      <c r="A36" s="106">
        <v>29</v>
      </c>
      <c r="C36" s="202" t="s">
        <v>150</v>
      </c>
      <c r="D36" s="203" t="s">
        <v>139</v>
      </c>
      <c r="E36" s="216">
        <v>2</v>
      </c>
      <c r="F36" s="216">
        <v>2</v>
      </c>
      <c r="G36" s="216">
        <v>2</v>
      </c>
      <c r="H36" s="216">
        <v>2</v>
      </c>
      <c r="I36" s="217">
        <v>2</v>
      </c>
      <c r="K36" s="266">
        <f t="shared" si="31"/>
        <v>2</v>
      </c>
      <c r="L36" s="267">
        <f>IF(AD_Trans=AD_no,Poeng!K36,0)</f>
        <v>2</v>
      </c>
      <c r="M36" s="203"/>
      <c r="N36" s="203"/>
      <c r="O36" s="203">
        <f>'Manuell filtrering og justering'!D34</f>
        <v>0</v>
      </c>
      <c r="P36" s="204">
        <f>VLOOKUP(C36,'Manuell filtrering og justering'!$A$7:$G$97,'Manuell filtrering og justering'!$G$1,FALSE)</f>
        <v>2</v>
      </c>
      <c r="Q36" s="205">
        <f t="shared" si="38"/>
        <v>2</v>
      </c>
      <c r="R36" s="206">
        <f>IF($S$4='Manuell filtrering og justering'!$I$2,P36,(K36-Q36))</f>
        <v>0</v>
      </c>
      <c r="T36" s="207">
        <f>(BP_34/Ene_Credits)*Ene06_credits</f>
        <v>0</v>
      </c>
      <c r="U36" s="207">
        <f>IF(Ene06_credits=0,0,(Ene06_11/Ene06_credits)*Ene06_user)</f>
        <v>0</v>
      </c>
      <c r="W36" s="259">
        <f>IF(VLOOKUP(D36,'Pre-Assessment Estimator'!$C$10:$W$100,'Pre-Assessment Estimator'!$E$2,FALSE)&gt;R36,R36,VLOOKUP(D36,'Pre-Assessment Estimator'!$C$10:$W$100,'Pre-Assessment Estimator'!$E$2,FALSE))</f>
        <v>0</v>
      </c>
      <c r="X36" s="208">
        <f>IF(VLOOKUP(D36,'Pre-Assessment Estimator'!$C$10:$W$100,'Pre-Assessment Estimator'!$L$2,FALSE)&gt;R36,R36,VLOOKUP(D36,'Pre-Assessment Estimator'!$C$10:$W$100,'Pre-Assessment Estimator'!$L$2,FALSE))</f>
        <v>0</v>
      </c>
      <c r="Y36" s="208">
        <f>IF(VLOOKUP(D36,'Pre-Assessment Estimator'!$C$10:$W$100,'Pre-Assessment Estimator'!$R$2,FALSE)&gt;R36,R36,VLOOKUP(D36,'Pre-Assessment Estimator'!$C$10:$W$100,'Pre-Assessment Estimator'!$R$2,FALSE))</f>
        <v>0</v>
      </c>
      <c r="AA36" s="361"/>
      <c r="AB36" s="362"/>
      <c r="AC36" s="362"/>
      <c r="AD36" s="362"/>
      <c r="AE36" s="363"/>
      <c r="AF36" s="169"/>
      <c r="AG36" s="361"/>
      <c r="AH36" s="362"/>
      <c r="AI36" s="362"/>
      <c r="AJ36" s="362"/>
      <c r="AK36" s="363"/>
      <c r="AM36" s="226"/>
      <c r="AN36" s="227"/>
      <c r="AO36" s="227"/>
      <c r="AP36" s="227"/>
      <c r="AQ36" s="228">
        <f t="shared" si="0"/>
        <v>0</v>
      </c>
      <c r="AR36" s="220">
        <f t="shared" si="14"/>
        <v>9</v>
      </c>
      <c r="AS36" s="203" t="str">
        <f t="shared" si="33"/>
        <v>N/A</v>
      </c>
      <c r="AT36" s="223"/>
      <c r="AU36" s="220">
        <f t="shared" si="34"/>
        <v>9</v>
      </c>
      <c r="AV36" s="203" t="str">
        <f t="shared" si="35"/>
        <v>N/A</v>
      </c>
      <c r="AW36" s="223"/>
      <c r="AX36" s="220">
        <f t="shared" si="8"/>
        <v>9</v>
      </c>
      <c r="AY36" s="203" t="str">
        <f t="shared" si="36"/>
        <v>N/A</v>
      </c>
      <c r="AZ36" s="223"/>
      <c r="BK36" s="203" t="str">
        <f t="shared" si="37"/>
        <v>Ene 06</v>
      </c>
      <c r="BL36" s="203" t="str">
        <f>IFERROR(VLOOKUP($D36,'Pre-Assessment Estimator'!$C$10:$X$100,'Pre-Assessment Estimator'!X$2,FALSE),"")</f>
        <v>No</v>
      </c>
      <c r="BM36" s="203">
        <f>IFERROR(VLOOKUP($D36,'Pre-Assessment Estimator'!$C$10:$AE$100,'Pre-Assessment Estimator'!AE$2,FALSE),"")</f>
        <v>0</v>
      </c>
      <c r="BN36" s="203">
        <f t="shared" si="10"/>
        <v>1</v>
      </c>
      <c r="BO36" s="203">
        <f t="shared" si="11"/>
        <v>0</v>
      </c>
      <c r="BP36" s="203"/>
      <c r="BQ36" s="106" t="str">
        <f t="shared" si="12"/>
        <v/>
      </c>
    </row>
    <row r="37" spans="1:73" x14ac:dyDescent="0.25">
      <c r="A37" s="106">
        <v>30</v>
      </c>
      <c r="C37" s="202" t="s">
        <v>151</v>
      </c>
      <c r="D37" s="203" t="s">
        <v>140</v>
      </c>
      <c r="E37" s="216">
        <v>5</v>
      </c>
      <c r="F37" s="216">
        <v>5</v>
      </c>
      <c r="G37" s="350">
        <v>0</v>
      </c>
      <c r="H37" s="216">
        <v>5</v>
      </c>
      <c r="I37" s="217">
        <v>5</v>
      </c>
      <c r="K37" s="266">
        <f t="shared" si="31"/>
        <v>5</v>
      </c>
      <c r="L37" s="267">
        <f>IF(AD_Labsize=AD_Labsize03,Poeng!K37,IF(AD_Labsize=AD_labsize04,4,IF(AD_Labsize=AD_Labsize01,2,0)))</f>
        <v>5</v>
      </c>
      <c r="M37" s="203"/>
      <c r="N37" s="203"/>
      <c r="O37" s="203">
        <f>'Manuell filtrering og justering'!D35</f>
        <v>0</v>
      </c>
      <c r="P37" s="204">
        <f>VLOOKUP(C37,'Manuell filtrering og justering'!$A$7:$G$97,'Manuell filtrering og justering'!$G$1,FALSE)</f>
        <v>0</v>
      </c>
      <c r="Q37" s="205">
        <f t="shared" si="38"/>
        <v>5</v>
      </c>
      <c r="R37" s="206">
        <f>IF($S$4='Manuell filtrering og justering'!$I$2,P37,(K37-Q37))</f>
        <v>0</v>
      </c>
      <c r="T37" s="207">
        <f>(BP_34/Ene_Credits)*Ene07_credits</f>
        <v>0</v>
      </c>
      <c r="U37" s="207">
        <f>IF(Ene07_credits=0,0,(Ene07_24/Ene07_credits)*Ene07_user)</f>
        <v>0</v>
      </c>
      <c r="W37" s="259">
        <f>IF(VLOOKUP(D37,'Pre-Assessment Estimator'!$C$10:$W$100,'Pre-Assessment Estimator'!$E$2,FALSE)&gt;R37,R37,VLOOKUP(D37,'Pre-Assessment Estimator'!$C$10:$W$100,'Pre-Assessment Estimator'!$E$2,FALSE))</f>
        <v>0</v>
      </c>
      <c r="X37" s="208">
        <f>IF(VLOOKUP(D37,'Pre-Assessment Estimator'!$C$10:$W$100,'Pre-Assessment Estimator'!$L$2,FALSE)&gt;R37,R37,VLOOKUP(D37,'Pre-Assessment Estimator'!$C$10:$W$100,'Pre-Assessment Estimator'!$L$2,FALSE))</f>
        <v>0</v>
      </c>
      <c r="Y37" s="208">
        <f>IF(VLOOKUP(D37,'Pre-Assessment Estimator'!$C$10:$W$100,'Pre-Assessment Estimator'!$R$2,FALSE)&gt;R37,R37,VLOOKUP(D37,'Pre-Assessment Estimator'!$C$10:$W$100,'Pre-Assessment Estimator'!$R$2,FALSE))</f>
        <v>0</v>
      </c>
      <c r="AA37" s="361"/>
      <c r="AB37" s="362"/>
      <c r="AC37" s="362"/>
      <c r="AD37" s="362"/>
      <c r="AE37" s="363"/>
      <c r="AF37" s="169"/>
      <c r="AG37" s="361"/>
      <c r="AH37" s="362"/>
      <c r="AI37" s="362"/>
      <c r="AJ37" s="362"/>
      <c r="AK37" s="363"/>
      <c r="AM37" s="226"/>
      <c r="AN37" s="227"/>
      <c r="AO37" s="227"/>
      <c r="AP37" s="227"/>
      <c r="AQ37" s="228">
        <f t="shared" si="0"/>
        <v>0</v>
      </c>
      <c r="AR37" s="220">
        <f t="shared" si="14"/>
        <v>9</v>
      </c>
      <c r="AS37" s="203" t="str">
        <f t="shared" si="33"/>
        <v>N/A</v>
      </c>
      <c r="AT37" s="223"/>
      <c r="AU37" s="220">
        <f t="shared" si="34"/>
        <v>9</v>
      </c>
      <c r="AV37" s="203" t="str">
        <f t="shared" si="35"/>
        <v>N/A</v>
      </c>
      <c r="AW37" s="223"/>
      <c r="AX37" s="220">
        <f t="shared" si="8"/>
        <v>9</v>
      </c>
      <c r="AY37" s="203" t="str">
        <f t="shared" si="36"/>
        <v>N/A</v>
      </c>
      <c r="AZ37" s="223"/>
      <c r="BK37" s="203" t="str">
        <f t="shared" si="37"/>
        <v>Ene 07</v>
      </c>
      <c r="BL37" s="203" t="str">
        <f>IFERROR(VLOOKUP($D37,'Pre-Assessment Estimator'!$C$10:$X$100,'Pre-Assessment Estimator'!X$2,FALSE),"")</f>
        <v>N/A</v>
      </c>
      <c r="BM37" s="203">
        <f>IFERROR(VLOOKUP($D37,'Pre-Assessment Estimator'!$C$10:$AE$100,'Pre-Assessment Estimator'!AE$2,FALSE),"")</f>
        <v>0</v>
      </c>
      <c r="BN37" s="203">
        <f t="shared" si="10"/>
        <v>1</v>
      </c>
      <c r="BO37" s="203">
        <f t="shared" si="11"/>
        <v>0</v>
      </c>
      <c r="BP37" s="203"/>
      <c r="BQ37" s="106" t="str">
        <f t="shared" si="12"/>
        <v/>
      </c>
    </row>
    <row r="38" spans="1:73" x14ac:dyDescent="0.25">
      <c r="A38" s="106">
        <v>31</v>
      </c>
      <c r="C38" s="202" t="s">
        <v>152</v>
      </c>
      <c r="D38" s="203" t="s">
        <v>141</v>
      </c>
      <c r="E38" s="216">
        <v>2</v>
      </c>
      <c r="F38" s="216">
        <v>2</v>
      </c>
      <c r="G38" s="216">
        <v>2</v>
      </c>
      <c r="H38" s="216">
        <v>2</v>
      </c>
      <c r="I38" s="217">
        <v>2</v>
      </c>
      <c r="K38" s="266">
        <f t="shared" si="31"/>
        <v>2</v>
      </c>
      <c r="L38" s="202"/>
      <c r="M38" s="203"/>
      <c r="N38" s="203"/>
      <c r="O38" s="203">
        <f>'Manuell filtrering og justering'!D36</f>
        <v>0</v>
      </c>
      <c r="P38" s="204">
        <f>VLOOKUP(C38,'Manuell filtrering og justering'!$A$7:$G$97,'Manuell filtrering og justering'!$G$1,FALSE)</f>
        <v>2</v>
      </c>
      <c r="Q38" s="205">
        <f t="shared" si="38"/>
        <v>0</v>
      </c>
      <c r="R38" s="206">
        <f>IF($S$4='Manuell filtrering og justering'!$I$2,P38,(K38-Q38))</f>
        <v>2</v>
      </c>
      <c r="T38" s="207">
        <f>(BP_34/Ene_Credits)*Ene08_credits</f>
        <v>1.7272727272727273E-2</v>
      </c>
      <c r="U38" s="207">
        <f>(Ene08_27/Ene08_credits)*Ene08_user</f>
        <v>0</v>
      </c>
      <c r="W38" s="259">
        <f>IF(VLOOKUP(D38,'Pre-Assessment Estimator'!$C$10:$W$100,'Pre-Assessment Estimator'!$E$2,FALSE)&gt;R38,R38,VLOOKUP(D38,'Pre-Assessment Estimator'!$C$10:$W$100,'Pre-Assessment Estimator'!$E$2,FALSE))*BU38</f>
        <v>0</v>
      </c>
      <c r="X38" s="208">
        <f>IF(VLOOKUP(D38,'Pre-Assessment Estimator'!$C$10:$W$100,'Pre-Assessment Estimator'!$L$2,FALSE)&gt;R38,R38,VLOOKUP(D38,'Pre-Assessment Estimator'!$C$10:$W$100,'Pre-Assessment Estimator'!$L$2,FALSE))*BU38</f>
        <v>0</v>
      </c>
      <c r="Y38" s="208">
        <f>IF(VLOOKUP(D38,'Pre-Assessment Estimator'!$C$10:$W$100,'Pre-Assessment Estimator'!$R$2,FALSE)&gt;R38,R38,VLOOKUP(D38,'Pre-Assessment Estimator'!$C$10:$W$100,'Pre-Assessment Estimator'!$R$2,FALSE))*BU38</f>
        <v>0</v>
      </c>
      <c r="Z38" s="106" t="s">
        <v>546</v>
      </c>
      <c r="AA38" s="361"/>
      <c r="AB38" s="362"/>
      <c r="AC38" s="362"/>
      <c r="AD38" s="362"/>
      <c r="AE38" s="363"/>
      <c r="AF38" s="169"/>
      <c r="AG38" s="361"/>
      <c r="AH38" s="362"/>
      <c r="AI38" s="362"/>
      <c r="AJ38" s="362"/>
      <c r="AK38" s="363"/>
      <c r="AM38" s="226"/>
      <c r="AN38" s="227"/>
      <c r="AO38" s="227"/>
      <c r="AP38" s="227"/>
      <c r="AQ38" s="228">
        <f t="shared" si="0"/>
        <v>0</v>
      </c>
      <c r="AR38" s="220">
        <f t="shared" si="14"/>
        <v>9</v>
      </c>
      <c r="AS38" s="203" t="str">
        <f t="shared" si="33"/>
        <v>N/A</v>
      </c>
      <c r="AT38" s="223"/>
      <c r="AU38" s="220">
        <f t="shared" si="34"/>
        <v>9</v>
      </c>
      <c r="AV38" s="203" t="str">
        <f t="shared" si="35"/>
        <v>N/A</v>
      </c>
      <c r="AW38" s="223"/>
      <c r="AX38" s="220">
        <f t="shared" si="8"/>
        <v>9</v>
      </c>
      <c r="AY38" s="203" t="str">
        <f t="shared" si="36"/>
        <v>N/A</v>
      </c>
      <c r="AZ38" s="223"/>
      <c r="BK38" s="203" t="str">
        <f t="shared" si="37"/>
        <v>Ene 08</v>
      </c>
      <c r="BL38" s="203" t="str">
        <f>IFERROR(VLOOKUP($D38,'Pre-Assessment Estimator'!$C$10:$X$100,'Pre-Assessment Estimator'!X$2,FALSE),"")</f>
        <v>No</v>
      </c>
      <c r="BM38" s="278" t="str">
        <f>IFERROR(VLOOKUP($D38,'Pre-Assessment Estimator'!$C$10:$AE$100,'Pre-Assessment Estimator'!AE$2,FALSE),"")</f>
        <v>Ja</v>
      </c>
      <c r="BN38" s="203">
        <f t="shared" si="10"/>
        <v>1</v>
      </c>
      <c r="BO38" s="862" t="s">
        <v>551</v>
      </c>
      <c r="BP38" s="203"/>
      <c r="BQ38" s="106" t="str">
        <f t="shared" si="12"/>
        <v/>
      </c>
      <c r="BR38" s="106" t="s">
        <v>557</v>
      </c>
      <c r="BS38" s="203">
        <f t="shared" ref="BS38:BS39" si="41">VLOOKUP(BO38,$BO$3:$BP$4,2,FALSE)</f>
        <v>1</v>
      </c>
      <c r="BU38" s="863">
        <f>IF($BL$4=ais_no,BS38,IF(AND(BO38=$BO$3,BL38=$BQ$3),0,BN38))</f>
        <v>1</v>
      </c>
    </row>
    <row r="39" spans="1:73" x14ac:dyDescent="0.25">
      <c r="A39" s="106">
        <v>32</v>
      </c>
      <c r="C39" s="202" t="s">
        <v>153</v>
      </c>
      <c r="D39" s="203" t="s">
        <v>142</v>
      </c>
      <c r="E39" s="216"/>
      <c r="F39" s="216"/>
      <c r="G39" s="216">
        <v>1</v>
      </c>
      <c r="H39" s="216"/>
      <c r="I39" s="217"/>
      <c r="K39" s="266">
        <f t="shared" si="31"/>
        <v>0</v>
      </c>
      <c r="L39" s="202"/>
      <c r="M39" s="203"/>
      <c r="N39" s="203"/>
      <c r="O39" s="203">
        <f>'Manuell filtrering og justering'!D37</f>
        <v>0</v>
      </c>
      <c r="P39" s="204">
        <f>VLOOKUP(C39,'Manuell filtrering og justering'!$A$7:$G$97,'Manuell filtrering og justering'!$G$1,FALSE)</f>
        <v>0</v>
      </c>
      <c r="Q39" s="205">
        <f t="shared" si="38"/>
        <v>0</v>
      </c>
      <c r="R39" s="206">
        <f>IF($S$4='Manuell filtrering og justering'!$I$2,P39,(K39-Q39))</f>
        <v>0</v>
      </c>
      <c r="T39" s="207">
        <f>(BP_34/Ene_Credits)*Ene09_credits</f>
        <v>0</v>
      </c>
      <c r="U39" s="207">
        <f>IFERROR((Ene09_07/Ene09_credits)*Ene09_user,0)</f>
        <v>0</v>
      </c>
      <c r="W39" s="259">
        <f>IF(VLOOKUP(D39,'Pre-Assessment Estimator'!$C$10:$W$100,'Pre-Assessment Estimator'!$E$2,FALSE)&gt;R39,R39,VLOOKUP(D39,'Pre-Assessment Estimator'!$C$10:$W$100,'Pre-Assessment Estimator'!$E$2,FALSE))*BU39</f>
        <v>0</v>
      </c>
      <c r="X39" s="208">
        <f>IF(VLOOKUP(D39,'Pre-Assessment Estimator'!$C$10:$W$100,'Pre-Assessment Estimator'!$L$2,FALSE)&gt;R39,R39,VLOOKUP(D39,'Pre-Assessment Estimator'!$C$10:$W$100,'Pre-Assessment Estimator'!$L$2,FALSE))*BU39</f>
        <v>0</v>
      </c>
      <c r="Y39" s="208">
        <f>IF(VLOOKUP(D39,'Pre-Assessment Estimator'!$C$10:$W$100,'Pre-Assessment Estimator'!$R$2,FALSE)&gt;R39,R39,VLOOKUP(D39,'Pre-Assessment Estimator'!$C$10:$W$100,'Pre-Assessment Estimator'!$R$2,FALSE))*BU39</f>
        <v>0</v>
      </c>
      <c r="Z39" s="106" t="s">
        <v>546</v>
      </c>
      <c r="AA39" s="361"/>
      <c r="AB39" s="362"/>
      <c r="AC39" s="362"/>
      <c r="AD39" s="362"/>
      <c r="AE39" s="363"/>
      <c r="AF39" s="169"/>
      <c r="AG39" s="361"/>
      <c r="AH39" s="362"/>
      <c r="AI39" s="362"/>
      <c r="AJ39" s="362"/>
      <c r="AK39" s="363"/>
      <c r="AM39" s="226"/>
      <c r="AN39" s="227"/>
      <c r="AO39" s="227"/>
      <c r="AP39" s="227"/>
      <c r="AQ39" s="228">
        <f t="shared" si="0"/>
        <v>0</v>
      </c>
      <c r="AR39" s="220">
        <f t="shared" si="14"/>
        <v>9</v>
      </c>
      <c r="AS39" s="203" t="str">
        <f t="shared" si="33"/>
        <v>N/A</v>
      </c>
      <c r="AT39" s="223"/>
      <c r="AU39" s="220">
        <f t="shared" si="34"/>
        <v>9</v>
      </c>
      <c r="AV39" s="203" t="str">
        <f t="shared" si="35"/>
        <v>N/A</v>
      </c>
      <c r="AW39" s="223"/>
      <c r="AX39" s="220">
        <f t="shared" si="8"/>
        <v>9</v>
      </c>
      <c r="AY39" s="203" t="str">
        <f t="shared" si="36"/>
        <v>N/A</v>
      </c>
      <c r="AZ39" s="223"/>
      <c r="BK39" s="203" t="str">
        <f t="shared" si="37"/>
        <v>Ene 09</v>
      </c>
      <c r="BL39" s="203" t="str">
        <f>IFERROR(VLOOKUP($D39,'Pre-Assessment Estimator'!$C$10:$X$100,'Pre-Assessment Estimator'!X$2,FALSE),"")</f>
        <v>No</v>
      </c>
      <c r="BM39" s="278" t="str">
        <f>IFERROR(VLOOKUP($D39,'Pre-Assessment Estimator'!$C$10:$AE$100,'Pre-Assessment Estimator'!AE$2,FALSE),"")</f>
        <v>Ja</v>
      </c>
      <c r="BN39" s="203">
        <f t="shared" si="10"/>
        <v>1</v>
      </c>
      <c r="BO39" s="862" t="s">
        <v>551</v>
      </c>
      <c r="BP39" s="203"/>
      <c r="BQ39" s="106" t="str">
        <f t="shared" si="12"/>
        <v/>
      </c>
      <c r="BR39" s="863" t="s">
        <v>525</v>
      </c>
      <c r="BS39" s="203">
        <f t="shared" si="41"/>
        <v>1</v>
      </c>
      <c r="BU39" s="863">
        <f>IF($BL$4=ais_no,BS39,IF(BR39=$BM$4,IF(AND(BO39=$BO$3,BL39=$BQ$3),0,BN39),BS39))</f>
        <v>1</v>
      </c>
    </row>
    <row r="40" spans="1:73" ht="15.75" thickBot="1" x14ac:dyDescent="0.3">
      <c r="A40" s="106">
        <v>33</v>
      </c>
      <c r="C40" s="202" t="s">
        <v>154</v>
      </c>
      <c r="D40" s="203" t="s">
        <v>143</v>
      </c>
      <c r="E40" s="216">
        <v>2</v>
      </c>
      <c r="F40" s="216">
        <v>2</v>
      </c>
      <c r="G40" s="216">
        <v>2</v>
      </c>
      <c r="H40" s="216">
        <v>2</v>
      </c>
      <c r="I40" s="217">
        <v>2</v>
      </c>
      <c r="K40" s="277">
        <f t="shared" si="31"/>
        <v>2</v>
      </c>
      <c r="L40" s="202"/>
      <c r="M40" s="203"/>
      <c r="N40" s="203"/>
      <c r="O40" s="203">
        <f>'Manuell filtrering og justering'!D38</f>
        <v>0</v>
      </c>
      <c r="P40" s="204">
        <f>VLOOKUP(C40,'Manuell filtrering og justering'!$A$7:$G$97,'Manuell filtrering og justering'!$G$1,FALSE)</f>
        <v>2</v>
      </c>
      <c r="Q40" s="205">
        <f t="shared" si="38"/>
        <v>0</v>
      </c>
      <c r="R40" s="206">
        <f>IF($S$4='Manuell filtrering og justering'!$I$2,P40,(K40-Q40))</f>
        <v>2</v>
      </c>
      <c r="T40" s="207">
        <f>(BP_34/Ene_Credits)*Ene23_credits</f>
        <v>1.7272727272727273E-2</v>
      </c>
      <c r="U40" s="207">
        <f>(T40/Ene23_credits)*Ene23_user</f>
        <v>0</v>
      </c>
      <c r="W40" s="259">
        <f>IF(VLOOKUP(D40,'Pre-Assessment Estimator'!$C$10:$W$100,'Pre-Assessment Estimator'!$E$2,FALSE)&gt;R40,R40,VLOOKUP(D40,'Pre-Assessment Estimator'!$C$10:$W$100,'Pre-Assessment Estimator'!$E$2,FALSE))</f>
        <v>0</v>
      </c>
      <c r="X40" s="208">
        <f>IF(VLOOKUP(D40,'Pre-Assessment Estimator'!$C$10:$W$100,'Pre-Assessment Estimator'!$L$2,FALSE)&gt;R40,R40,VLOOKUP(D40,'Pre-Assessment Estimator'!$C$10:$W$100,'Pre-Assessment Estimator'!$L$2,FALSE))</f>
        <v>0</v>
      </c>
      <c r="Y40" s="208">
        <f>IF(VLOOKUP(D40,'Pre-Assessment Estimator'!$C$10:$W$100,'Pre-Assessment Estimator'!$R$2,FALSE)&gt;R40,R40,VLOOKUP(D40,'Pre-Assessment Estimator'!$C$10:$W$100,'Pre-Assessment Estimator'!$R$2,FALSE))</f>
        <v>0</v>
      </c>
      <c r="AA40" s="370"/>
      <c r="AB40" s="371"/>
      <c r="AC40" s="371"/>
      <c r="AD40" s="371"/>
      <c r="AE40" s="372">
        <v>2</v>
      </c>
      <c r="AF40" s="169"/>
      <c r="AG40" s="370"/>
      <c r="AH40" s="371"/>
      <c r="AI40" s="371"/>
      <c r="AJ40" s="371"/>
      <c r="AK40" s="372">
        <v>2</v>
      </c>
      <c r="AM40" s="241"/>
      <c r="AN40" s="270"/>
      <c r="AO40" s="270"/>
      <c r="AP40" s="270"/>
      <c r="AQ40" s="271">
        <f t="shared" si="0"/>
        <v>2</v>
      </c>
      <c r="AR40" s="241">
        <f t="shared" si="14"/>
        <v>4</v>
      </c>
      <c r="AS40" s="242" t="str">
        <f t="shared" si="33"/>
        <v>Excellent</v>
      </c>
      <c r="AT40" s="243"/>
      <c r="AU40" s="241">
        <f t="shared" si="34"/>
        <v>4</v>
      </c>
      <c r="AV40" s="242" t="str">
        <f t="shared" si="35"/>
        <v>Excellent</v>
      </c>
      <c r="AW40" s="243"/>
      <c r="AX40" s="241">
        <f t="shared" si="8"/>
        <v>4</v>
      </c>
      <c r="AY40" s="242" t="str">
        <f t="shared" si="36"/>
        <v>Excellent</v>
      </c>
      <c r="AZ40" s="243"/>
      <c r="BK40" s="203" t="str">
        <f t="shared" si="37"/>
        <v>Ene 23</v>
      </c>
      <c r="BL40" s="203" t="str">
        <f>IFERROR(VLOOKUP($D40,'Pre-Assessment Estimator'!$C$10:$X$100,'Pre-Assessment Estimator'!X$2,FALSE),"")</f>
        <v>No</v>
      </c>
      <c r="BM40" s="203">
        <f>IFERROR(VLOOKUP($D40,'Pre-Assessment Estimator'!$C$10:$AE$100,'Pre-Assessment Estimator'!AE$2,FALSE),"")</f>
        <v>0</v>
      </c>
      <c r="BN40" s="203">
        <f t="shared" si="10"/>
        <v>1</v>
      </c>
      <c r="BO40" s="203">
        <f t="shared" si="11"/>
        <v>0</v>
      </c>
      <c r="BP40" s="203"/>
      <c r="BQ40" s="106" t="str">
        <f t="shared" si="12"/>
        <v/>
      </c>
    </row>
    <row r="41" spans="1:73" ht="15.75" thickBot="1" x14ac:dyDescent="0.3">
      <c r="A41" s="106">
        <v>34</v>
      </c>
      <c r="C41" s="244"/>
      <c r="D41" s="245" t="s">
        <v>230</v>
      </c>
      <c r="E41" s="245">
        <f>SUM(E31:E40)</f>
        <v>32</v>
      </c>
      <c r="F41" s="245">
        <f t="shared" ref="F41:I41" si="42">SUM(F31:F40)</f>
        <v>32</v>
      </c>
      <c r="G41" s="245">
        <f t="shared" si="42"/>
        <v>24</v>
      </c>
      <c r="H41" s="245">
        <f t="shared" si="42"/>
        <v>32</v>
      </c>
      <c r="I41" s="245">
        <f t="shared" si="42"/>
        <v>32</v>
      </c>
      <c r="K41" s="272">
        <f t="shared" si="31"/>
        <v>32</v>
      </c>
      <c r="L41" s="248"/>
      <c r="M41" s="249"/>
      <c r="N41" s="249"/>
      <c r="O41" s="249"/>
      <c r="P41" s="250"/>
      <c r="Q41" s="251">
        <f>SUM(Q31:Q40)</f>
        <v>10</v>
      </c>
      <c r="R41" s="273">
        <f>SUM(R31:R40)</f>
        <v>22</v>
      </c>
      <c r="T41" s="253">
        <f>SUM(T31:T40)</f>
        <v>0.19</v>
      </c>
      <c r="U41" s="253">
        <f>SUM(U31:U40)</f>
        <v>0</v>
      </c>
      <c r="W41" s="19">
        <f>SUM(W31:W40)</f>
        <v>0</v>
      </c>
      <c r="X41" s="19">
        <f t="shared" ref="X41:Y41" si="43">SUM(X31:X40)</f>
        <v>0</v>
      </c>
      <c r="Y41" s="19">
        <f t="shared" si="43"/>
        <v>0</v>
      </c>
      <c r="AA41" s="169"/>
      <c r="AB41" s="169"/>
      <c r="AC41" s="169"/>
      <c r="AD41" s="169"/>
      <c r="AE41" s="169"/>
      <c r="AF41" s="169"/>
      <c r="AG41" s="169"/>
      <c r="AH41" s="169"/>
      <c r="AI41" s="169"/>
      <c r="AJ41" s="169"/>
      <c r="AK41" s="169"/>
      <c r="AM41" s="107"/>
      <c r="AN41" s="254"/>
      <c r="AO41" s="107"/>
      <c r="AP41" s="107"/>
      <c r="AQ41" s="107"/>
      <c r="BK41" s="245"/>
      <c r="BL41" s="245" t="str">
        <f>IFERROR(VLOOKUP($D41,'Pre-Assessment Estimator'!$C$10:$X$100,'Pre-Assessment Estimator'!X$2,FALSE),"")</f>
        <v/>
      </c>
      <c r="BM41" s="245" t="str">
        <f>IFERROR(VLOOKUP($D41,'Pre-Assessment Estimator'!$C$10:$AE$100,'Pre-Assessment Estimator'!AE$2,FALSE),"")</f>
        <v/>
      </c>
      <c r="BN41" s="245" t="str">
        <f t="shared" si="10"/>
        <v/>
      </c>
      <c r="BO41" s="245" t="str">
        <f t="shared" si="11"/>
        <v/>
      </c>
      <c r="BP41" s="245"/>
      <c r="BQ41" s="106" t="str">
        <f t="shared" si="12"/>
        <v/>
      </c>
    </row>
    <row r="42" spans="1:73" ht="15.75" thickBot="1" x14ac:dyDescent="0.3">
      <c r="A42" s="106">
        <v>35</v>
      </c>
      <c r="W42" s="3"/>
      <c r="X42" s="3"/>
      <c r="Y42" s="3"/>
      <c r="AA42" s="169"/>
      <c r="AB42" s="169"/>
      <c r="AC42" s="169"/>
      <c r="AD42" s="169"/>
      <c r="AE42" s="169"/>
      <c r="AF42" s="169"/>
      <c r="AG42" s="169"/>
      <c r="AH42" s="169"/>
      <c r="AI42" s="169"/>
      <c r="AJ42" s="169"/>
      <c r="AK42" s="169"/>
      <c r="AM42" s="107"/>
      <c r="AN42" s="107"/>
      <c r="AO42" s="107"/>
      <c r="AP42" s="107"/>
      <c r="AQ42" s="107"/>
      <c r="BL42" s="106" t="str">
        <f>IFERROR(VLOOKUP($D42,'Pre-Assessment Estimator'!$C$10:$X$100,'Pre-Assessment Estimator'!X$2,FALSE),"")</f>
        <v/>
      </c>
      <c r="BM42" s="106" t="str">
        <f>IFERROR(VLOOKUP($D42,'Pre-Assessment Estimator'!$C$10:$AE$100,'Pre-Assessment Estimator'!AE$2,FALSE),"")</f>
        <v/>
      </c>
      <c r="BN42" s="106" t="str">
        <f t="shared" si="10"/>
        <v/>
      </c>
      <c r="BO42" s="106" t="str">
        <f t="shared" si="11"/>
        <v/>
      </c>
      <c r="BQ42" s="106" t="str">
        <f t="shared" si="12"/>
        <v/>
      </c>
    </row>
    <row r="43" spans="1:73" ht="15.75" thickBot="1" x14ac:dyDescent="0.3">
      <c r="A43" s="106">
        <v>36</v>
      </c>
      <c r="C43" s="176"/>
      <c r="D43" s="177" t="s">
        <v>71</v>
      </c>
      <c r="E43" s="178" t="str">
        <f>$E$8</f>
        <v>Office</v>
      </c>
      <c r="F43" s="178" t="str">
        <f>$F$8</f>
        <v>Retail</v>
      </c>
      <c r="G43" s="178" t="str">
        <f>$G$8</f>
        <v>Residential</v>
      </c>
      <c r="H43" s="178" t="str">
        <f>$H$8</f>
        <v>Industrial</v>
      </c>
      <c r="I43" s="179" t="str">
        <f>$I$8</f>
        <v>Education</v>
      </c>
      <c r="K43" s="168" t="str">
        <f>$D$5</f>
        <v>Office</v>
      </c>
      <c r="L43" s="255"/>
      <c r="M43" s="256"/>
      <c r="N43" s="256"/>
      <c r="O43" s="256"/>
      <c r="P43" s="444" t="s">
        <v>405</v>
      </c>
      <c r="Q43" s="183" t="s">
        <v>230</v>
      </c>
      <c r="R43" s="168"/>
      <c r="W43" s="44"/>
      <c r="X43" s="64"/>
      <c r="Y43" s="64"/>
      <c r="AA43" s="169"/>
      <c r="AB43" s="169"/>
      <c r="AC43" s="169"/>
      <c r="AD43" s="169"/>
      <c r="AE43" s="169"/>
      <c r="AF43" s="169"/>
      <c r="AG43" s="169"/>
      <c r="AH43" s="169"/>
      <c r="AI43" s="169"/>
      <c r="AJ43" s="169"/>
      <c r="AK43" s="169"/>
      <c r="AM43" s="107"/>
      <c r="AN43" s="107"/>
      <c r="AO43" s="107"/>
      <c r="AP43" s="107"/>
      <c r="AQ43" s="107"/>
      <c r="BK43" s="177"/>
      <c r="BL43" s="177" t="str">
        <f>D43</f>
        <v>Transport</v>
      </c>
      <c r="BM43" s="177">
        <f>IFERROR(VLOOKUP($D43,'Pre-Assessment Estimator'!$C$10:$AE$100,'Pre-Assessment Estimator'!AE$2,FALSE),"")</f>
        <v>0</v>
      </c>
      <c r="BN43" s="177" t="str">
        <f t="shared" si="10"/>
        <v/>
      </c>
      <c r="BO43" s="177" t="str">
        <f t="shared" si="11"/>
        <v/>
      </c>
      <c r="BP43" s="177"/>
      <c r="BQ43" s="106" t="str">
        <f t="shared" si="12"/>
        <v/>
      </c>
    </row>
    <row r="44" spans="1:73" x14ac:dyDescent="0.25">
      <c r="A44" s="106">
        <v>37</v>
      </c>
      <c r="C44" s="197" t="s">
        <v>160</v>
      </c>
      <c r="D44" s="198" t="s">
        <v>155</v>
      </c>
      <c r="E44" s="199">
        <v>3</v>
      </c>
      <c r="F44" s="199">
        <v>5</v>
      </c>
      <c r="G44" s="199">
        <v>4</v>
      </c>
      <c r="H44" s="199">
        <v>3</v>
      </c>
      <c r="I44" s="200">
        <v>5</v>
      </c>
      <c r="K44" s="274">
        <f t="shared" ref="K44:K50" si="44">HLOOKUP($D$5,$E$8:$I$99,$A44,FALSE)</f>
        <v>3</v>
      </c>
      <c r="L44" s="267">
        <f>IF(AND(ADBT0=ADBT8,'Assessment Details'!F6='Assessment Details'!R7),2,0)</f>
        <v>0</v>
      </c>
      <c r="M44" s="203"/>
      <c r="N44" s="203"/>
      <c r="O44" s="203">
        <f>'Manuell filtrering og justering'!D42</f>
        <v>0</v>
      </c>
      <c r="P44" s="204">
        <f>VLOOKUP(C44,'Manuell filtrering og justering'!$A$7:$G$97,'Manuell filtrering og justering'!$G$1,FALSE)</f>
        <v>5</v>
      </c>
      <c r="Q44" s="205">
        <f>IF(SUM(L44:O44)&gt;K44,K44,SUM(L44:O44))</f>
        <v>0</v>
      </c>
      <c r="R44" s="206">
        <f>IF($S$4='Manuell filtrering og justering'!$I$2,P44,(K44-Q44))</f>
        <v>3</v>
      </c>
      <c r="T44" s="207">
        <f>(BP_35/Tra_Credits)*Tra01_credits</f>
        <v>3.3333333333333333E-2</v>
      </c>
      <c r="U44" s="207">
        <f>IFERROR((Tra01_07/Tra01_credits)*Tra01_user,0)</f>
        <v>0</v>
      </c>
      <c r="W44" s="259">
        <f>IF(VLOOKUP(D44,'Pre-Assessment Estimator'!$C$10:$W$100,'Pre-Assessment Estimator'!$E$2,FALSE)&gt;R44,R44,VLOOKUP(D44,'Pre-Assessment Estimator'!$C$10:$W$100,'Pre-Assessment Estimator'!$E$2,FALSE))</f>
        <v>0</v>
      </c>
      <c r="X44" s="208">
        <f>IF(VLOOKUP(D44,'Pre-Assessment Estimator'!$C$10:$W$100,'Pre-Assessment Estimator'!$L$2,FALSE)&gt;R44,R44,VLOOKUP(D44,'Pre-Assessment Estimator'!$C$10:$W$100,'Pre-Assessment Estimator'!$L$2,FALSE))</f>
        <v>0</v>
      </c>
      <c r="Y44" s="208">
        <f>IF(VLOOKUP(D44,'Pre-Assessment Estimator'!$C$10:$W$100,'Pre-Assessment Estimator'!$R$2,FALSE)&gt;R44,R44,VLOOKUP(D44,'Pre-Assessment Estimator'!$C$10:$W$100,'Pre-Assessment Estimator'!$R$2,FALSE))</f>
        <v>0</v>
      </c>
      <c r="AA44" s="367"/>
      <c r="AB44" s="368"/>
      <c r="AC44" s="368"/>
      <c r="AD44" s="368"/>
      <c r="AE44" s="369"/>
      <c r="AF44" s="169"/>
      <c r="AG44" s="367"/>
      <c r="AH44" s="368"/>
      <c r="AI44" s="368"/>
      <c r="AJ44" s="368"/>
      <c r="AK44" s="369"/>
      <c r="AM44" s="263"/>
      <c r="AN44" s="264"/>
      <c r="AO44" s="264"/>
      <c r="AP44" s="264"/>
      <c r="AQ44" s="265">
        <f t="shared" si="0"/>
        <v>0</v>
      </c>
      <c r="AR44" s="211">
        <f t="shared" si="14"/>
        <v>9</v>
      </c>
      <c r="AS44" s="214" t="str">
        <f t="shared" ref="AS44:AS49" si="45">VLOOKUP(AR44,$BB$8:$BC$14,2,FALSE)</f>
        <v>N/A</v>
      </c>
      <c r="AT44" s="215"/>
      <c r="AU44" s="211">
        <f t="shared" ref="AU44:AU49" si="46">IF(AQ44=0,9,IF(X44&gt;=AQ44,5,IF(X44&gt;=AP44,4,IF(X44&gt;=AO44,3,IF(X44&gt;=AN44,2,IF(X44&lt;AM44,0,1))))))</f>
        <v>9</v>
      </c>
      <c r="AV44" s="214" t="str">
        <f t="shared" ref="AV44:AV49" si="47">VLOOKUP(AU44,$BB$8:$BC$14,2,FALSE)</f>
        <v>N/A</v>
      </c>
      <c r="AW44" s="215"/>
      <c r="AX44" s="211">
        <f t="shared" si="8"/>
        <v>9</v>
      </c>
      <c r="AY44" s="214" t="str">
        <f t="shared" ref="AY44:AY49" si="48">VLOOKUP(AX44,$BB$8:$BC$14,2,FALSE)</f>
        <v>N/A</v>
      </c>
      <c r="AZ44" s="215"/>
      <c r="BK44" s="198" t="str">
        <f t="shared" ref="BK44:BK49" si="49">C44</f>
        <v>Tra 01</v>
      </c>
      <c r="BL44" s="198" t="str">
        <f>IFERROR(VLOOKUP($D44,'Pre-Assessment Estimator'!$C$10:$X$100,'Pre-Assessment Estimator'!X$2,FALSE),"")</f>
        <v>N/A</v>
      </c>
      <c r="BM44" s="198">
        <f>IFERROR(VLOOKUP($D44,'Pre-Assessment Estimator'!$C$10:$AE$100,'Pre-Assessment Estimator'!AE$2,FALSE),"")</f>
        <v>0</v>
      </c>
      <c r="BN44" s="198">
        <f t="shared" si="10"/>
        <v>1</v>
      </c>
      <c r="BO44" s="198">
        <f t="shared" si="11"/>
        <v>0</v>
      </c>
      <c r="BP44" s="198"/>
      <c r="BQ44" s="106" t="str">
        <f t="shared" si="12"/>
        <v/>
      </c>
    </row>
    <row r="45" spans="1:73" x14ac:dyDescent="0.25">
      <c r="A45" s="106">
        <v>38</v>
      </c>
      <c r="C45" s="202" t="s">
        <v>161</v>
      </c>
      <c r="D45" s="203" t="s">
        <v>156</v>
      </c>
      <c r="E45" s="216">
        <v>1</v>
      </c>
      <c r="F45" s="216">
        <v>1</v>
      </c>
      <c r="G45" s="216">
        <v>2</v>
      </c>
      <c r="H45" s="216">
        <v>1</v>
      </c>
      <c r="I45" s="217">
        <v>1</v>
      </c>
      <c r="K45" s="266">
        <f t="shared" si="44"/>
        <v>1</v>
      </c>
      <c r="L45" s="202"/>
      <c r="M45" s="203"/>
      <c r="N45" s="203"/>
      <c r="O45" s="203">
        <f>'Manuell filtrering og justering'!D43</f>
        <v>0</v>
      </c>
      <c r="P45" s="204">
        <f>VLOOKUP(C45,'Manuell filtrering og justering'!$A$7:$G$97,'Manuell filtrering og justering'!$G$1,FALSE)</f>
        <v>1</v>
      </c>
      <c r="Q45" s="205">
        <f t="shared" ref="Q45:Q48" si="50">IF(SUM(L45:O45)&gt;K45,K45,SUM(L45:O45))</f>
        <v>0</v>
      </c>
      <c r="R45" s="206">
        <f>IF($S$4='Manuell filtrering og justering'!$I$2,P45,(K45-Q45))</f>
        <v>1</v>
      </c>
      <c r="T45" s="207">
        <f>(BP_35/Tra_Credits)*Tra02_credits</f>
        <v>1.1111111111111112E-2</v>
      </c>
      <c r="U45" s="207">
        <f>(Tra02_06/Tra02_credits)*Tra02_user</f>
        <v>0</v>
      </c>
      <c r="W45" s="259">
        <f>IF(VLOOKUP(D45,'Pre-Assessment Estimator'!$C$10:$W$100,'Pre-Assessment Estimator'!$E$2,FALSE)&gt;R45,R45,VLOOKUP(D45,'Pre-Assessment Estimator'!$C$10:$W$100,'Pre-Assessment Estimator'!$E$2,FALSE))</f>
        <v>0</v>
      </c>
      <c r="X45" s="208">
        <f>IF(VLOOKUP(D45,'Pre-Assessment Estimator'!$C$10:$W$100,'Pre-Assessment Estimator'!$L$2,FALSE)&gt;R45,R45,VLOOKUP(D45,'Pre-Assessment Estimator'!$C$10:$W$100,'Pre-Assessment Estimator'!$L$2,FALSE))</f>
        <v>0</v>
      </c>
      <c r="Y45" s="208">
        <f>IF(VLOOKUP(D45,'Pre-Assessment Estimator'!$C$10:$W$100,'Pre-Assessment Estimator'!$R$2,FALSE)&gt;R45,R45,VLOOKUP(D45,'Pre-Assessment Estimator'!$C$10:$W$100,'Pre-Assessment Estimator'!$R$2,FALSE))</f>
        <v>0</v>
      </c>
      <c r="AA45" s="361"/>
      <c r="AB45" s="362"/>
      <c r="AC45" s="362"/>
      <c r="AD45" s="362"/>
      <c r="AE45" s="363"/>
      <c r="AF45" s="169"/>
      <c r="AG45" s="361"/>
      <c r="AH45" s="362"/>
      <c r="AI45" s="362"/>
      <c r="AJ45" s="362"/>
      <c r="AK45" s="363"/>
      <c r="AM45" s="226"/>
      <c r="AN45" s="227"/>
      <c r="AO45" s="227"/>
      <c r="AP45" s="227"/>
      <c r="AQ45" s="228">
        <f t="shared" si="0"/>
        <v>0</v>
      </c>
      <c r="AR45" s="220">
        <f t="shared" si="14"/>
        <v>9</v>
      </c>
      <c r="AS45" s="203" t="str">
        <f t="shared" si="45"/>
        <v>N/A</v>
      </c>
      <c r="AT45" s="223"/>
      <c r="AU45" s="220">
        <f t="shared" si="46"/>
        <v>9</v>
      </c>
      <c r="AV45" s="203" t="str">
        <f t="shared" si="47"/>
        <v>N/A</v>
      </c>
      <c r="AW45" s="223"/>
      <c r="AX45" s="220">
        <f t="shared" si="8"/>
        <v>9</v>
      </c>
      <c r="AY45" s="203" t="str">
        <f t="shared" si="48"/>
        <v>N/A</v>
      </c>
      <c r="AZ45" s="223"/>
      <c r="BK45" s="203" t="str">
        <f t="shared" si="49"/>
        <v>Tra 02</v>
      </c>
      <c r="BL45" s="203" t="str">
        <f>IFERROR(VLOOKUP($D45,'Pre-Assessment Estimator'!$C$10:$X$100,'Pre-Assessment Estimator'!X$2,FALSE),"")</f>
        <v>N/A</v>
      </c>
      <c r="BM45" s="203">
        <f>IFERROR(VLOOKUP($D45,'Pre-Assessment Estimator'!$C$10:$AE$100,'Pre-Assessment Estimator'!AE$2,FALSE),"")</f>
        <v>0</v>
      </c>
      <c r="BN45" s="203">
        <f t="shared" si="10"/>
        <v>1</v>
      </c>
      <c r="BO45" s="203">
        <f t="shared" si="11"/>
        <v>0</v>
      </c>
      <c r="BP45" s="203"/>
      <c r="BQ45" s="106" t="str">
        <f t="shared" si="12"/>
        <v/>
      </c>
    </row>
    <row r="46" spans="1:73" x14ac:dyDescent="0.25">
      <c r="A46" s="106">
        <v>39</v>
      </c>
      <c r="C46" s="202" t="s">
        <v>162</v>
      </c>
      <c r="D46" s="203" t="s">
        <v>158</v>
      </c>
      <c r="E46" s="216">
        <v>2</v>
      </c>
      <c r="F46" s="216">
        <v>2</v>
      </c>
      <c r="G46" s="216">
        <v>2</v>
      </c>
      <c r="H46" s="216">
        <v>2</v>
      </c>
      <c r="I46" s="217">
        <v>2</v>
      </c>
      <c r="K46" s="266">
        <f t="shared" si="44"/>
        <v>2</v>
      </c>
      <c r="L46" s="202"/>
      <c r="M46" s="203"/>
      <c r="N46" s="203"/>
      <c r="O46" s="203">
        <f>'Manuell filtrering og justering'!D44</f>
        <v>0</v>
      </c>
      <c r="P46" s="204">
        <f>VLOOKUP(C46,'Manuell filtrering og justering'!$A$7:$G$97,'Manuell filtrering og justering'!$G$1,FALSE)</f>
        <v>2</v>
      </c>
      <c r="Q46" s="205">
        <f t="shared" si="50"/>
        <v>0</v>
      </c>
      <c r="R46" s="206">
        <f>IF($S$4='Manuell filtrering og justering'!$I$2,P46,(K46-Q46))</f>
        <v>2</v>
      </c>
      <c r="T46" s="207">
        <f>(BP_35/Tra_Credits)*Tra03_credits</f>
        <v>2.2222222222222223E-2</v>
      </c>
      <c r="U46" s="207">
        <f>(Tra03_13/Tra03_credits)*Tra03_user</f>
        <v>0</v>
      </c>
      <c r="W46" s="259">
        <f>IF(VLOOKUP(D46,'Pre-Assessment Estimator'!$C$10:$W$100,'Pre-Assessment Estimator'!$E$2,FALSE)&gt;R46,R46,VLOOKUP(D46,'Pre-Assessment Estimator'!$C$10:$W$100,'Pre-Assessment Estimator'!$E$2,FALSE))</f>
        <v>0</v>
      </c>
      <c r="X46" s="208">
        <f>IF(VLOOKUP(D46,'Pre-Assessment Estimator'!$C$10:$W$100,'Pre-Assessment Estimator'!$L$2,FALSE)&gt;R46,R46,VLOOKUP(D46,'Pre-Assessment Estimator'!$C$10:$W$100,'Pre-Assessment Estimator'!$L$2,FALSE))</f>
        <v>0</v>
      </c>
      <c r="Y46" s="208">
        <f>IF(VLOOKUP(D46,'Pre-Assessment Estimator'!$C$10:$W$100,'Pre-Assessment Estimator'!$R$2,FALSE)&gt;R46,R46,VLOOKUP(D46,'Pre-Assessment Estimator'!$C$10:$W$100,'Pre-Assessment Estimator'!$R$2,FALSE))</f>
        <v>0</v>
      </c>
      <c r="AA46" s="361"/>
      <c r="AB46" s="362"/>
      <c r="AC46" s="362"/>
      <c r="AD46" s="362"/>
      <c r="AE46" s="363"/>
      <c r="AF46" s="169"/>
      <c r="AG46" s="361"/>
      <c r="AH46" s="362"/>
      <c r="AI46" s="362"/>
      <c r="AJ46" s="362"/>
      <c r="AK46" s="363"/>
      <c r="AM46" s="226"/>
      <c r="AN46" s="227"/>
      <c r="AO46" s="227"/>
      <c r="AP46" s="227"/>
      <c r="AQ46" s="228">
        <f t="shared" si="0"/>
        <v>0</v>
      </c>
      <c r="AR46" s="220">
        <f t="shared" si="14"/>
        <v>9</v>
      </c>
      <c r="AS46" s="203" t="str">
        <f t="shared" si="45"/>
        <v>N/A</v>
      </c>
      <c r="AT46" s="223"/>
      <c r="AU46" s="220">
        <f t="shared" si="46"/>
        <v>9</v>
      </c>
      <c r="AV46" s="203" t="str">
        <f t="shared" si="47"/>
        <v>N/A</v>
      </c>
      <c r="AW46" s="223"/>
      <c r="AX46" s="220">
        <f t="shared" si="8"/>
        <v>9</v>
      </c>
      <c r="AY46" s="203" t="str">
        <f t="shared" si="48"/>
        <v>N/A</v>
      </c>
      <c r="AZ46" s="223"/>
      <c r="BK46" s="203" t="str">
        <f t="shared" si="49"/>
        <v>Tra 03</v>
      </c>
      <c r="BL46" s="203" t="str">
        <f>IFERROR(VLOOKUP($D46,'Pre-Assessment Estimator'!$C$10:$X$100,'Pre-Assessment Estimator'!X$2,FALSE),"")</f>
        <v>N/A</v>
      </c>
      <c r="BM46" s="203">
        <f>IFERROR(VLOOKUP($D46,'Pre-Assessment Estimator'!$C$10:$AE$100,'Pre-Assessment Estimator'!AE$2,FALSE),"")</f>
        <v>0</v>
      </c>
      <c r="BN46" s="203">
        <f t="shared" si="10"/>
        <v>1</v>
      </c>
      <c r="BO46" s="203">
        <f t="shared" si="11"/>
        <v>0</v>
      </c>
      <c r="BP46" s="203"/>
      <c r="BQ46" s="106" t="s">
        <v>550</v>
      </c>
    </row>
    <row r="47" spans="1:73" x14ac:dyDescent="0.25">
      <c r="A47" s="106">
        <v>40</v>
      </c>
      <c r="C47" s="202" t="s">
        <v>163</v>
      </c>
      <c r="D47" s="203" t="s">
        <v>157</v>
      </c>
      <c r="E47" s="216">
        <v>2</v>
      </c>
      <c r="F47" s="216"/>
      <c r="G47" s="216"/>
      <c r="H47" s="216">
        <v>2</v>
      </c>
      <c r="I47" s="217">
        <v>2</v>
      </c>
      <c r="K47" s="266">
        <f t="shared" si="44"/>
        <v>2</v>
      </c>
      <c r="L47" s="202"/>
      <c r="M47" s="203"/>
      <c r="N47" s="203"/>
      <c r="O47" s="203">
        <f>'Manuell filtrering og justering'!D45</f>
        <v>0</v>
      </c>
      <c r="P47" s="204">
        <f>VLOOKUP(C47,'Manuell filtrering og justering'!$A$7:$G$97,'Manuell filtrering og justering'!$G$1,FALSE)</f>
        <v>2</v>
      </c>
      <c r="Q47" s="205">
        <f t="shared" si="50"/>
        <v>0</v>
      </c>
      <c r="R47" s="206">
        <f>IF($S$4='Manuell filtrering og justering'!$I$2,P47,(K47-Q47))</f>
        <v>2</v>
      </c>
      <c r="T47" s="207">
        <f>(BP_35/Tra_Credits)*Tra04_credits</f>
        <v>2.2222222222222223E-2</v>
      </c>
      <c r="U47" s="207">
        <f>IFERROR((Tra04_09/Tra04_credits)*Tra04_user,0)</f>
        <v>0</v>
      </c>
      <c r="W47" s="259">
        <f>IF(VLOOKUP(D47,'Pre-Assessment Estimator'!$C$10:$W$100,'Pre-Assessment Estimator'!$E$2,FALSE)&gt;R47,R47,VLOOKUP(D47,'Pre-Assessment Estimator'!$C$10:$W$100,'Pre-Assessment Estimator'!$E$2,FALSE))</f>
        <v>0</v>
      </c>
      <c r="X47" s="208">
        <f>IF(VLOOKUP(D47,'Pre-Assessment Estimator'!$C$10:$W$100,'Pre-Assessment Estimator'!$L$2,FALSE)&gt;R47,R47,VLOOKUP(D47,'Pre-Assessment Estimator'!$C$10:$W$100,'Pre-Assessment Estimator'!$L$2,FALSE))</f>
        <v>0</v>
      </c>
      <c r="Y47" s="208">
        <f>IF(VLOOKUP(D47,'Pre-Assessment Estimator'!$C$10:$W$100,'Pre-Assessment Estimator'!$R$2,FALSE)&gt;R47,R47,VLOOKUP(D47,'Pre-Assessment Estimator'!$C$10:$W$100,'Pre-Assessment Estimator'!$R$2,FALSE))</f>
        <v>0</v>
      </c>
      <c r="AA47" s="361"/>
      <c r="AB47" s="362"/>
      <c r="AC47" s="362"/>
      <c r="AD47" s="362"/>
      <c r="AE47" s="363"/>
      <c r="AF47" s="169"/>
      <c r="AG47" s="361"/>
      <c r="AH47" s="362"/>
      <c r="AI47" s="362"/>
      <c r="AJ47" s="362"/>
      <c r="AK47" s="363"/>
      <c r="AM47" s="226"/>
      <c r="AN47" s="227"/>
      <c r="AO47" s="227"/>
      <c r="AP47" s="227"/>
      <c r="AQ47" s="228">
        <f t="shared" si="0"/>
        <v>0</v>
      </c>
      <c r="AR47" s="220">
        <f t="shared" si="14"/>
        <v>9</v>
      </c>
      <c r="AS47" s="203" t="str">
        <f t="shared" si="45"/>
        <v>N/A</v>
      </c>
      <c r="AT47" s="223"/>
      <c r="AU47" s="220">
        <f t="shared" si="46"/>
        <v>9</v>
      </c>
      <c r="AV47" s="203" t="str">
        <f t="shared" si="47"/>
        <v>N/A</v>
      </c>
      <c r="AW47" s="223"/>
      <c r="AX47" s="220">
        <f t="shared" si="8"/>
        <v>9</v>
      </c>
      <c r="AY47" s="203" t="str">
        <f t="shared" si="48"/>
        <v>N/A</v>
      </c>
      <c r="AZ47" s="223"/>
      <c r="BK47" s="203" t="str">
        <f t="shared" si="49"/>
        <v>Tra 04</v>
      </c>
      <c r="BL47" s="203" t="str">
        <f>IFERROR(VLOOKUP($D47,'Pre-Assessment Estimator'!$C$10:$X$100,'Pre-Assessment Estimator'!X$2,FALSE),"")</f>
        <v>N/A</v>
      </c>
      <c r="BM47" s="203">
        <f>IFERROR(VLOOKUP($D47,'Pre-Assessment Estimator'!$C$10:$AE$100,'Pre-Assessment Estimator'!AE$2,FALSE),"")</f>
        <v>0</v>
      </c>
      <c r="BN47" s="203">
        <f t="shared" si="10"/>
        <v>1</v>
      </c>
      <c r="BO47" s="203">
        <f t="shared" si="11"/>
        <v>0</v>
      </c>
      <c r="BP47" s="203"/>
      <c r="BQ47" s="106" t="str">
        <f t="shared" si="12"/>
        <v/>
      </c>
    </row>
    <row r="48" spans="1:73" x14ac:dyDescent="0.25">
      <c r="A48" s="106">
        <v>41</v>
      </c>
      <c r="C48" s="202" t="s">
        <v>164</v>
      </c>
      <c r="D48" s="203" t="s">
        <v>159</v>
      </c>
      <c r="E48" s="216">
        <v>1</v>
      </c>
      <c r="F48" s="216">
        <v>1</v>
      </c>
      <c r="G48" s="216"/>
      <c r="H48" s="216">
        <v>1</v>
      </c>
      <c r="I48" s="217">
        <v>1</v>
      </c>
      <c r="K48" s="266">
        <f t="shared" si="44"/>
        <v>1</v>
      </c>
      <c r="L48" s="202"/>
      <c r="M48" s="203"/>
      <c r="N48" s="203"/>
      <c r="O48" s="203">
        <f>'Manuell filtrering og justering'!D46</f>
        <v>0</v>
      </c>
      <c r="P48" s="204">
        <f>VLOOKUP(C48,'Manuell filtrering og justering'!$A$7:$G$97,'Manuell filtrering og justering'!$G$1,FALSE)</f>
        <v>1</v>
      </c>
      <c r="Q48" s="205">
        <f t="shared" si="50"/>
        <v>0</v>
      </c>
      <c r="R48" s="206">
        <f>IF($S$4='Manuell filtrering og justering'!$I$2,P48,(K48-Q48))</f>
        <v>1</v>
      </c>
      <c r="T48" s="207">
        <f>(BP_35/Tra_Credits)*Tra05_credits</f>
        <v>1.1111111111111112E-2</v>
      </c>
      <c r="U48" s="207">
        <f>IFERROR((Tra05_04/Tra05_credits)*Tra05_user,0)</f>
        <v>0</v>
      </c>
      <c r="W48" s="259">
        <f>IF(VLOOKUP(D48,'Pre-Assessment Estimator'!$C$10:$W$100,'Pre-Assessment Estimator'!$E$2,FALSE)&gt;R48,R48,VLOOKUP(D48,'Pre-Assessment Estimator'!$C$10:$W$100,'Pre-Assessment Estimator'!$E$2,FALSE))</f>
        <v>0</v>
      </c>
      <c r="X48" s="208">
        <f>IF(VLOOKUP(D48,'Pre-Assessment Estimator'!$C$10:$W$100,'Pre-Assessment Estimator'!$L$2,FALSE)&gt;R48,R48,VLOOKUP(D48,'Pre-Assessment Estimator'!$C$10:$W$100,'Pre-Assessment Estimator'!$L$2,FALSE))</f>
        <v>0</v>
      </c>
      <c r="Y48" s="208">
        <f>IF(VLOOKUP(D48,'Pre-Assessment Estimator'!$C$10:$W$100,'Pre-Assessment Estimator'!$R$2,FALSE)&gt;R48,R48,VLOOKUP(D48,'Pre-Assessment Estimator'!$C$10:$W$100,'Pre-Assessment Estimator'!$R$2,FALSE))</f>
        <v>0</v>
      </c>
      <c r="AA48" s="361"/>
      <c r="AB48" s="362"/>
      <c r="AC48" s="362"/>
      <c r="AD48" s="362"/>
      <c r="AE48" s="363"/>
      <c r="AF48" s="169"/>
      <c r="AG48" s="361"/>
      <c r="AH48" s="362"/>
      <c r="AI48" s="362"/>
      <c r="AJ48" s="362"/>
      <c r="AK48" s="363"/>
      <c r="AM48" s="226"/>
      <c r="AN48" s="227"/>
      <c r="AO48" s="227"/>
      <c r="AP48" s="227"/>
      <c r="AQ48" s="228">
        <f t="shared" si="0"/>
        <v>0</v>
      </c>
      <c r="AR48" s="220">
        <f t="shared" si="14"/>
        <v>9</v>
      </c>
      <c r="AS48" s="203" t="str">
        <f t="shared" si="45"/>
        <v>N/A</v>
      </c>
      <c r="AT48" s="223"/>
      <c r="AU48" s="220">
        <f t="shared" si="46"/>
        <v>9</v>
      </c>
      <c r="AV48" s="203" t="str">
        <f t="shared" si="47"/>
        <v>N/A</v>
      </c>
      <c r="AW48" s="223"/>
      <c r="AX48" s="220">
        <f t="shared" si="8"/>
        <v>9</v>
      </c>
      <c r="AY48" s="203" t="str">
        <f t="shared" si="48"/>
        <v>N/A</v>
      </c>
      <c r="AZ48" s="223"/>
      <c r="BK48" s="203" t="str">
        <f t="shared" si="49"/>
        <v>Tra 05</v>
      </c>
      <c r="BL48" s="203" t="str">
        <f>IFERROR(VLOOKUP($D48,'Pre-Assessment Estimator'!$C$10:$X$100,'Pre-Assessment Estimator'!X$2,FALSE),"")</f>
        <v>N/A</v>
      </c>
      <c r="BM48" s="203">
        <f>IFERROR(VLOOKUP($D48,'Pre-Assessment Estimator'!$C$10:$AE$100,'Pre-Assessment Estimator'!AE$2,FALSE),"")</f>
        <v>0</v>
      </c>
      <c r="BN48" s="203">
        <f t="shared" si="10"/>
        <v>1</v>
      </c>
      <c r="BO48" s="203">
        <f t="shared" si="11"/>
        <v>0</v>
      </c>
      <c r="BP48" s="203"/>
      <c r="BQ48" s="106" t="str">
        <f t="shared" si="12"/>
        <v/>
      </c>
    </row>
    <row r="49" spans="1:73" ht="15.75" thickBot="1" x14ac:dyDescent="0.3">
      <c r="A49" s="106">
        <v>42</v>
      </c>
      <c r="C49" s="279" t="s">
        <v>357</v>
      </c>
      <c r="D49" s="395" t="s">
        <v>358</v>
      </c>
      <c r="E49" s="280"/>
      <c r="F49" s="280"/>
      <c r="G49" s="280">
        <v>1</v>
      </c>
      <c r="H49" s="280"/>
      <c r="I49" s="281"/>
      <c r="K49" s="396">
        <f t="shared" si="44"/>
        <v>0</v>
      </c>
      <c r="L49" s="230"/>
      <c r="M49" s="231"/>
      <c r="N49" s="231"/>
      <c r="O49" s="203">
        <f>'Manuell filtrering og justering'!D47</f>
        <v>0</v>
      </c>
      <c r="P49" s="204">
        <f>VLOOKUP(C49,'Manuell filtrering og justering'!$A$7:$G$97,'Manuell filtrering og justering'!$G$1,FALSE)</f>
        <v>0</v>
      </c>
      <c r="Q49" s="205">
        <f>IF(SUM(L49:O49)&gt;K49,K49,SUM(L49:O49))</f>
        <v>0</v>
      </c>
      <c r="R49" s="206">
        <f>IF($S$4='Manuell filtrering og justering'!$I$2,P49,(K49-Q49))</f>
        <v>0</v>
      </c>
      <c r="T49" s="207">
        <f>(BP_35/Tra_Credits)*Tra06_credits</f>
        <v>0</v>
      </c>
      <c r="U49" s="207">
        <f>IFERROR((Tra06_04/Tra06_credits)*Tra06_user,0)</f>
        <v>0</v>
      </c>
      <c r="W49" s="259">
        <f>IF(VLOOKUP(D49,'Pre-Assessment Estimator'!$C$10:$W$100,'Pre-Assessment Estimator'!$E$2,FALSE)&gt;R49,R49,VLOOKUP(D49,'Pre-Assessment Estimator'!$C$10:$W$100,'Pre-Assessment Estimator'!$E$2,FALSE))</f>
        <v>0</v>
      </c>
      <c r="X49" s="208">
        <f>IF(VLOOKUP(D49,'Pre-Assessment Estimator'!$C$10:$W$100,'Pre-Assessment Estimator'!$L$2,FALSE)&gt;R49,R49,VLOOKUP(D49,'Pre-Assessment Estimator'!$C$10:$W$100,'Pre-Assessment Estimator'!$L$2,FALSE))</f>
        <v>0</v>
      </c>
      <c r="Y49" s="208">
        <f>IF(VLOOKUP(D49,'Pre-Assessment Estimator'!$C$10:$W$100,'Pre-Assessment Estimator'!$R$2,FALSE)&gt;R49,R49,VLOOKUP(D49,'Pre-Assessment Estimator'!$C$10:$W$100,'Pre-Assessment Estimator'!$R$2,FALSE))</f>
        <v>0</v>
      </c>
      <c r="AA49" s="364"/>
      <c r="AB49" s="365"/>
      <c r="AC49" s="365"/>
      <c r="AD49" s="365"/>
      <c r="AE49" s="366"/>
      <c r="AF49" s="169"/>
      <c r="AG49" s="364"/>
      <c r="AH49" s="365"/>
      <c r="AI49" s="365"/>
      <c r="AJ49" s="365"/>
      <c r="AK49" s="366"/>
      <c r="AM49" s="237"/>
      <c r="AN49" s="239"/>
      <c r="AO49" s="239"/>
      <c r="AP49" s="239"/>
      <c r="AQ49" s="240">
        <f t="shared" ref="AQ49" si="51">IF($D$5=$G$8,AK49,AE49)</f>
        <v>0</v>
      </c>
      <c r="AR49" s="241">
        <f t="shared" ref="AR49" si="52">IF(AQ49=0,9,IF(W49&gt;=AQ49,5,IF(W49&gt;=AP49,4,IF(W49&gt;=AO49,3,IF(W49&gt;=AN49,2,IF(W49&lt;AM49,0,1))))))</f>
        <v>9</v>
      </c>
      <c r="AS49" s="242" t="str">
        <f t="shared" si="45"/>
        <v>N/A</v>
      </c>
      <c r="AT49" s="243"/>
      <c r="AU49" s="241">
        <f t="shared" si="46"/>
        <v>9</v>
      </c>
      <c r="AV49" s="242" t="str">
        <f t="shared" si="47"/>
        <v>N/A</v>
      </c>
      <c r="AW49" s="243"/>
      <c r="AX49" s="241">
        <f t="shared" si="8"/>
        <v>9</v>
      </c>
      <c r="AY49" s="242" t="str">
        <f t="shared" si="48"/>
        <v>N/A</v>
      </c>
      <c r="AZ49" s="243"/>
      <c r="BK49" s="395" t="str">
        <f t="shared" si="49"/>
        <v>Tra 06</v>
      </c>
      <c r="BL49" s="395" t="str">
        <f>IFERROR(VLOOKUP($D49,'Pre-Assessment Estimator'!$C$10:$X$100,'Pre-Assessment Estimator'!X$2,FALSE),"")</f>
        <v>N/A</v>
      </c>
      <c r="BM49" s="395">
        <f>IFERROR(VLOOKUP($D49,'Pre-Assessment Estimator'!$C$10:$AE$100,'Pre-Assessment Estimator'!AE$2,FALSE),"")</f>
        <v>0</v>
      </c>
      <c r="BN49" s="395">
        <f t="shared" si="10"/>
        <v>1</v>
      </c>
      <c r="BO49" s="395">
        <f t="shared" si="11"/>
        <v>0</v>
      </c>
      <c r="BP49" s="395"/>
      <c r="BQ49" s="106" t="str">
        <f t="shared" si="12"/>
        <v/>
      </c>
    </row>
    <row r="50" spans="1:73" ht="15.75" thickBot="1" x14ac:dyDescent="0.3">
      <c r="A50" s="106">
        <v>43</v>
      </c>
      <c r="C50" s="244"/>
      <c r="D50" s="245" t="s">
        <v>230</v>
      </c>
      <c r="E50" s="245">
        <f>SUM(E44:E49)</f>
        <v>9</v>
      </c>
      <c r="F50" s="245">
        <f t="shared" ref="F50:I50" si="53">SUM(F44:F49)</f>
        <v>9</v>
      </c>
      <c r="G50" s="245">
        <f t="shared" si="53"/>
        <v>9</v>
      </c>
      <c r="H50" s="245">
        <f t="shared" si="53"/>
        <v>9</v>
      </c>
      <c r="I50" s="245">
        <f t="shared" si="53"/>
        <v>11</v>
      </c>
      <c r="K50" s="272">
        <f t="shared" si="44"/>
        <v>9</v>
      </c>
      <c r="L50" s="248"/>
      <c r="M50" s="249"/>
      <c r="N50" s="249"/>
      <c r="O50" s="249"/>
      <c r="P50" s="250"/>
      <c r="Q50" s="251">
        <f>SUM(Q44:Q48)</f>
        <v>0</v>
      </c>
      <c r="R50" s="273">
        <f>SUM(R44:R49)</f>
        <v>9</v>
      </c>
      <c r="T50" s="253">
        <f>SUM(T44:T49)</f>
        <v>0.1</v>
      </c>
      <c r="U50" s="253">
        <f>SUM(U44:U49)</f>
        <v>0</v>
      </c>
      <c r="W50" s="19">
        <f>SUM(W44:W49)</f>
        <v>0</v>
      </c>
      <c r="X50" s="19">
        <f>SUM(X44:X49)</f>
        <v>0</v>
      </c>
      <c r="Y50" s="19">
        <f>SUM(Y44:Y49)</f>
        <v>0</v>
      </c>
      <c r="AA50" s="169"/>
      <c r="AB50" s="169"/>
      <c r="AC50" s="169"/>
      <c r="AD50" s="169"/>
      <c r="AE50" s="169"/>
      <c r="AF50" s="169"/>
      <c r="AG50" s="169"/>
      <c r="AH50" s="169"/>
      <c r="AI50" s="169"/>
      <c r="AJ50" s="169"/>
      <c r="AK50" s="169"/>
      <c r="AM50" s="107"/>
      <c r="AN50" s="254"/>
      <c r="AO50" s="107"/>
      <c r="AP50" s="107"/>
      <c r="AQ50" s="107"/>
      <c r="BK50" s="245"/>
      <c r="BL50" s="245" t="str">
        <f>IFERROR(VLOOKUP($D50,'Pre-Assessment Estimator'!$C$10:$X$100,'Pre-Assessment Estimator'!X$2,FALSE),"")</f>
        <v/>
      </c>
      <c r="BM50" s="245" t="str">
        <f>IFERROR(VLOOKUP($D50,'Pre-Assessment Estimator'!$C$10:$AE$100,'Pre-Assessment Estimator'!AE$2,FALSE),"")</f>
        <v/>
      </c>
      <c r="BN50" s="245" t="str">
        <f t="shared" si="10"/>
        <v/>
      </c>
      <c r="BO50" s="245" t="str">
        <f t="shared" si="11"/>
        <v/>
      </c>
      <c r="BP50" s="245"/>
      <c r="BQ50" s="106" t="str">
        <f t="shared" si="12"/>
        <v/>
      </c>
    </row>
    <row r="51" spans="1:73" ht="15.75" thickBot="1" x14ac:dyDescent="0.3">
      <c r="A51" s="106">
        <v>44</v>
      </c>
      <c r="W51" s="3"/>
      <c r="X51" s="3"/>
      <c r="Y51" s="3"/>
      <c r="AA51" s="169"/>
      <c r="AB51" s="169"/>
      <c r="AC51" s="169"/>
      <c r="AD51" s="169"/>
      <c r="AE51" s="169"/>
      <c r="AF51" s="169"/>
      <c r="AG51" s="169"/>
      <c r="AH51" s="169"/>
      <c r="AI51" s="169"/>
      <c r="AJ51" s="169"/>
      <c r="AK51" s="169"/>
      <c r="AM51" s="107"/>
      <c r="AN51" s="107"/>
      <c r="AO51" s="107"/>
      <c r="AP51" s="107"/>
      <c r="AQ51" s="107"/>
      <c r="BL51" s="106" t="str">
        <f>IFERROR(VLOOKUP($D51,'Pre-Assessment Estimator'!$C$10:$X$100,'Pre-Assessment Estimator'!X$2,FALSE),"")</f>
        <v/>
      </c>
      <c r="BM51" s="106" t="str">
        <f>IFERROR(VLOOKUP($D51,'Pre-Assessment Estimator'!$C$10:$AE$100,'Pre-Assessment Estimator'!AE$2,FALSE),"")</f>
        <v/>
      </c>
      <c r="BN51" s="106" t="str">
        <f t="shared" si="10"/>
        <v/>
      </c>
      <c r="BO51" s="106" t="str">
        <f t="shared" si="11"/>
        <v/>
      </c>
      <c r="BQ51" s="106" t="str">
        <f t="shared" si="12"/>
        <v/>
      </c>
    </row>
    <row r="52" spans="1:73" ht="15.75" thickBot="1" x14ac:dyDescent="0.3">
      <c r="A52" s="106">
        <v>45</v>
      </c>
      <c r="C52" s="176"/>
      <c r="D52" s="177" t="s">
        <v>63</v>
      </c>
      <c r="E52" s="178" t="str">
        <f>$E$8</f>
        <v>Office</v>
      </c>
      <c r="F52" s="178" t="str">
        <f>$F$8</f>
        <v>Retail</v>
      </c>
      <c r="G52" s="178" t="str">
        <f>$G$8</f>
        <v>Residential</v>
      </c>
      <c r="H52" s="178" t="str">
        <f>$H$8</f>
        <v>Industrial</v>
      </c>
      <c r="I52" s="179" t="str">
        <f>$I$8</f>
        <v>Education</v>
      </c>
      <c r="K52" s="168" t="str">
        <f>$D$5</f>
        <v>Office</v>
      </c>
      <c r="L52" s="255"/>
      <c r="M52" s="256"/>
      <c r="N52" s="256"/>
      <c r="O52" s="256"/>
      <c r="P52" s="444" t="s">
        <v>405</v>
      </c>
      <c r="Q52" s="183" t="s">
        <v>230</v>
      </c>
      <c r="R52" s="168"/>
      <c r="W52" s="44"/>
      <c r="X52" s="64"/>
      <c r="Y52" s="64"/>
      <c r="AA52" s="169"/>
      <c r="AB52" s="169"/>
      <c r="AC52" s="169"/>
      <c r="AD52" s="169"/>
      <c r="AE52" s="169"/>
      <c r="AF52" s="169"/>
      <c r="AG52" s="169"/>
      <c r="AH52" s="169"/>
      <c r="AI52" s="169"/>
      <c r="AJ52" s="169"/>
      <c r="AK52" s="169"/>
      <c r="AM52" s="107"/>
      <c r="AN52" s="107"/>
      <c r="AO52" s="107"/>
      <c r="AP52" s="107"/>
      <c r="AQ52" s="107"/>
      <c r="BK52" s="177"/>
      <c r="BL52" s="177" t="str">
        <f>D52</f>
        <v>Water</v>
      </c>
      <c r="BM52" s="177">
        <f>IFERROR(VLOOKUP($D52,'Pre-Assessment Estimator'!$C$10:$AE$100,'Pre-Assessment Estimator'!AE$2,FALSE),"")</f>
        <v>0</v>
      </c>
      <c r="BN52" s="177" t="str">
        <f t="shared" si="10"/>
        <v/>
      </c>
      <c r="BO52" s="177" t="str">
        <f t="shared" si="11"/>
        <v/>
      </c>
      <c r="BP52" s="177"/>
      <c r="BQ52" s="106" t="str">
        <f t="shared" si="12"/>
        <v/>
      </c>
    </row>
    <row r="53" spans="1:73" x14ac:dyDescent="0.25">
      <c r="A53" s="106">
        <v>46</v>
      </c>
      <c r="C53" s="197" t="s">
        <v>184</v>
      </c>
      <c r="D53" s="198" t="s">
        <v>165</v>
      </c>
      <c r="E53" s="351">
        <v>5</v>
      </c>
      <c r="F53" s="351">
        <v>5</v>
      </c>
      <c r="G53" s="351">
        <v>5</v>
      </c>
      <c r="H53" s="351">
        <v>5</v>
      </c>
      <c r="I53" s="352">
        <v>5</v>
      </c>
      <c r="K53" s="257">
        <f>HLOOKUP($D$5,$E$8:$I$99,$A53,FALSE)</f>
        <v>5</v>
      </c>
      <c r="L53" s="202"/>
      <c r="M53" s="203"/>
      <c r="N53" s="203"/>
      <c r="O53" s="203">
        <f>'Manuell filtrering og justering'!D51</f>
        <v>0</v>
      </c>
      <c r="P53" s="204">
        <f>VLOOKUP(C53,'Manuell filtrering og justering'!$A$7:$G$97,'Manuell filtrering og justering'!$G$1,FALSE)</f>
        <v>5</v>
      </c>
      <c r="Q53" s="205">
        <f>IF(SUM(L53:O53)&gt;K53,K53,SUM(L53:O53))</f>
        <v>0</v>
      </c>
      <c r="R53" s="206">
        <f>IF($S$4='Manuell filtrering og justering'!$I$2,P53,(K53-Q53))</f>
        <v>5</v>
      </c>
      <c r="T53" s="207">
        <f>(BP_36/Wat__Credits)*Wat01_credits</f>
        <v>3.125E-2</v>
      </c>
      <c r="U53" s="207">
        <f>(Wat01_14/Wat01_credits)*Wat01_user</f>
        <v>0</v>
      </c>
      <c r="W53" s="259">
        <f>IF(VLOOKUP(D53,'Pre-Assessment Estimator'!$C$10:$W$100,'Pre-Assessment Estimator'!$E$2,FALSE)&gt;R53,R53,VLOOKUP(D53,'Pre-Assessment Estimator'!$C$10:$W$100,'Pre-Assessment Estimator'!$E$2,FALSE))</f>
        <v>0</v>
      </c>
      <c r="X53" s="208">
        <f>IF(VLOOKUP(D53,'Pre-Assessment Estimator'!$C$10:$W$100,'Pre-Assessment Estimator'!$L$2,FALSE)&gt;R53,R53,VLOOKUP(D53,'Pre-Assessment Estimator'!$C$10:$W$100,'Pre-Assessment Estimator'!$L$2,FALSE))</f>
        <v>0</v>
      </c>
      <c r="Y53" s="208">
        <f>IF(VLOOKUP(D53,'Pre-Assessment Estimator'!$C$10:$W$100,'Pre-Assessment Estimator'!$R$2,FALSE)&gt;R53,R53,VLOOKUP(D53,'Pre-Assessment Estimator'!$C$10:$W$100,'Pre-Assessment Estimator'!$R$2,FALSE))</f>
        <v>0</v>
      </c>
      <c r="AA53" s="367"/>
      <c r="AB53" s="368"/>
      <c r="AC53" s="381"/>
      <c r="AD53" s="381">
        <v>1</v>
      </c>
      <c r="AE53" s="382">
        <v>2</v>
      </c>
      <c r="AF53" s="169"/>
      <c r="AG53" s="367"/>
      <c r="AH53" s="368"/>
      <c r="AI53" s="381"/>
      <c r="AJ53" s="381">
        <v>1</v>
      </c>
      <c r="AK53" s="382">
        <v>2</v>
      </c>
      <c r="AM53" s="263"/>
      <c r="AN53" s="264"/>
      <c r="AO53" s="264"/>
      <c r="AP53" s="264">
        <f>IF($D$5=$G$8,AJ53,AD53)</f>
        <v>1</v>
      </c>
      <c r="AQ53" s="265">
        <f>IF($D$5=$G$8,AK53,AE53)</f>
        <v>2</v>
      </c>
      <c r="AR53" s="211">
        <f t="shared" si="14"/>
        <v>3</v>
      </c>
      <c r="AS53" s="214" t="str">
        <f>VLOOKUP(AR53,$BB$8:$BC$14,2,FALSE)</f>
        <v>Very Good</v>
      </c>
      <c r="AT53" s="215"/>
      <c r="AU53" s="211">
        <f>IF(AQ53=0,9,IF(X53&gt;=AQ53,5,IF(X53&gt;=AP53,4,IF(X53&gt;=AO53,3,IF(X53&gt;=AN53,2,IF(X53&lt;AM53,0,1))))))</f>
        <v>3</v>
      </c>
      <c r="AV53" s="214" t="str">
        <f>VLOOKUP(AU53,$BB$8:$BC$14,2,FALSE)</f>
        <v>Very Good</v>
      </c>
      <c r="AW53" s="215"/>
      <c r="AX53" s="211">
        <f t="shared" si="8"/>
        <v>3</v>
      </c>
      <c r="AY53" s="214" t="str">
        <f>VLOOKUP(AX53,$BB$8:$BC$14,2,FALSE)</f>
        <v>Very Good</v>
      </c>
      <c r="AZ53" s="215"/>
      <c r="BK53" s="198" t="str">
        <f t="shared" ref="BK53:BK56" si="54">C53</f>
        <v>Wat 01</v>
      </c>
      <c r="BL53" s="198" t="str">
        <f>IFERROR(VLOOKUP($D53,'Pre-Assessment Estimator'!$C$10:$X$100,'Pre-Assessment Estimator'!X$2,FALSE),"")</f>
        <v>No</v>
      </c>
      <c r="BM53" s="198">
        <f>IFERROR(VLOOKUP($D53,'Pre-Assessment Estimator'!$C$10:$AE$100,'Pre-Assessment Estimator'!AE$2,FALSE),"")</f>
        <v>0</v>
      </c>
      <c r="BN53" s="198">
        <f t="shared" si="10"/>
        <v>1</v>
      </c>
      <c r="BO53" s="198">
        <f t="shared" si="11"/>
        <v>0</v>
      </c>
      <c r="BP53" s="198"/>
      <c r="BQ53" s="106" t="s">
        <v>550</v>
      </c>
    </row>
    <row r="54" spans="1:73" x14ac:dyDescent="0.25">
      <c r="A54" s="106">
        <v>47</v>
      </c>
      <c r="C54" s="202" t="s">
        <v>185</v>
      </c>
      <c r="D54" s="203" t="s">
        <v>166</v>
      </c>
      <c r="E54" s="216">
        <v>1</v>
      </c>
      <c r="F54" s="216">
        <v>1</v>
      </c>
      <c r="G54" s="216">
        <v>1</v>
      </c>
      <c r="H54" s="216">
        <v>1</v>
      </c>
      <c r="I54" s="217">
        <v>1</v>
      </c>
      <c r="K54" s="266">
        <f>HLOOKUP($D$5,$E$8:$I$99,$A54,FALSE)</f>
        <v>1</v>
      </c>
      <c r="L54" s="202"/>
      <c r="M54" s="203"/>
      <c r="N54" s="203"/>
      <c r="O54" s="203">
        <f>'Manuell filtrering og justering'!D52</f>
        <v>0</v>
      </c>
      <c r="P54" s="204">
        <f>VLOOKUP(C54,'Manuell filtrering og justering'!$A$7:$G$97,'Manuell filtrering og justering'!$G$1,FALSE)</f>
        <v>1</v>
      </c>
      <c r="Q54" s="205">
        <f t="shared" ref="Q54:Q56" si="55">IF(SUM(L54:O54)&gt;K54,K54,SUM(L54:O54))</f>
        <v>0</v>
      </c>
      <c r="R54" s="206">
        <f>IF($S$4='Manuell filtrering og justering'!$I$2,P54,(K54-Q54))</f>
        <v>1</v>
      </c>
      <c r="T54" s="207">
        <f>(BP_36/Wat__Credits)*Wat02_credits</f>
        <v>6.2500000000000003E-3</v>
      </c>
      <c r="U54" s="207">
        <f>(Wat02_12/Wat02_credits)*Wat02_user</f>
        <v>0</v>
      </c>
      <c r="W54" s="259">
        <f>IF(VLOOKUP(D54,'Pre-Assessment Estimator'!$C$10:$W$100,'Pre-Assessment Estimator'!$E$2,FALSE)&gt;R54,R54,VLOOKUP(D54,'Pre-Assessment Estimator'!$C$10:$W$100,'Pre-Assessment Estimator'!$E$2,FALSE))*BU54</f>
        <v>0</v>
      </c>
      <c r="X54" s="208">
        <f>IF(VLOOKUP(D54,'Pre-Assessment Estimator'!$C$10:$W$100,'Pre-Assessment Estimator'!$L$2,FALSE)&gt;R54,R54,VLOOKUP(D54,'Pre-Assessment Estimator'!$C$10:$W$100,'Pre-Assessment Estimator'!$L$2,FALSE))*BU54</f>
        <v>0</v>
      </c>
      <c r="Y54" s="208">
        <f>IF(VLOOKUP(D54,'Pre-Assessment Estimator'!$C$10:$W$100,'Pre-Assessment Estimator'!$R$2,FALSE)&gt;R54,R54,VLOOKUP(D54,'Pre-Assessment Estimator'!$C$10:$W$100,'Pre-Assessment Estimator'!$R$2,FALSE))*BU54</f>
        <v>0</v>
      </c>
      <c r="Z54" s="106" t="s">
        <v>546</v>
      </c>
      <c r="AA54" s="361"/>
      <c r="AB54" s="362"/>
      <c r="AC54" s="362"/>
      <c r="AD54" s="362"/>
      <c r="AE54" s="363"/>
      <c r="AF54" s="169"/>
      <c r="AG54" s="361"/>
      <c r="AH54" s="362"/>
      <c r="AI54" s="362"/>
      <c r="AJ54" s="362"/>
      <c r="AK54" s="363"/>
      <c r="AM54" s="226"/>
      <c r="AN54" s="227"/>
      <c r="AO54" s="227"/>
      <c r="AP54" s="227"/>
      <c r="AQ54" s="228">
        <f t="shared" si="0"/>
        <v>0</v>
      </c>
      <c r="AR54" s="220">
        <f t="shared" si="14"/>
        <v>9</v>
      </c>
      <c r="AS54" s="203" t="str">
        <f>VLOOKUP(AR54,$BB$8:$BC$14,2,FALSE)</f>
        <v>N/A</v>
      </c>
      <c r="AT54" s="223"/>
      <c r="AU54" s="220">
        <f>IF(AQ54=0,9,IF(X54&gt;=AQ54,5,IF(X54&gt;=AP54,4,IF(X54&gt;=AO54,3,IF(X54&gt;=AN54,2,IF(X54&lt;AM54,0,1))))))</f>
        <v>9</v>
      </c>
      <c r="AV54" s="203" t="str">
        <f>VLOOKUP(AU54,$BB$8:$BC$14,2,FALSE)</f>
        <v>N/A</v>
      </c>
      <c r="AW54" s="223"/>
      <c r="AX54" s="220">
        <f t="shared" si="8"/>
        <v>9</v>
      </c>
      <c r="AY54" s="203" t="str">
        <f>VLOOKUP(AX54,$BB$8:$BC$14,2,FALSE)</f>
        <v>N/A</v>
      </c>
      <c r="AZ54" s="223"/>
      <c r="BK54" s="203" t="str">
        <f t="shared" si="54"/>
        <v>Wat 02</v>
      </c>
      <c r="BL54" s="203" t="str">
        <f>IFERROR(VLOOKUP($D54,'Pre-Assessment Estimator'!$C$10:$X$100,'Pre-Assessment Estimator'!X$2,FALSE),"")</f>
        <v>No</v>
      </c>
      <c r="BM54" s="278" t="str">
        <f>IFERROR(VLOOKUP($D54,'Pre-Assessment Estimator'!$C$10:$AE$100,'Pre-Assessment Estimator'!AE$2,FALSE),"")</f>
        <v>Ja</v>
      </c>
      <c r="BN54" s="203">
        <f t="shared" si="10"/>
        <v>1</v>
      </c>
      <c r="BO54" s="862" t="s">
        <v>551</v>
      </c>
      <c r="BP54" s="203"/>
      <c r="BQ54" s="106" t="str">
        <f t="shared" si="12"/>
        <v/>
      </c>
      <c r="BR54" s="106" t="s">
        <v>557</v>
      </c>
      <c r="BS54" s="203">
        <f>VLOOKUP(BO54,$BO$3:$BP$4,2,FALSE)</f>
        <v>1</v>
      </c>
      <c r="BU54" s="863">
        <f>IF($BL$4=ais_no,BS54,IF(AND(BO54=$BO$3,BL54=$BQ$3),0,BN54))</f>
        <v>1</v>
      </c>
    </row>
    <row r="55" spans="1:73" x14ac:dyDescent="0.25">
      <c r="A55" s="106">
        <v>48</v>
      </c>
      <c r="C55" s="202" t="s">
        <v>186</v>
      </c>
      <c r="D55" s="203" t="s">
        <v>167</v>
      </c>
      <c r="E55" s="216">
        <v>2</v>
      </c>
      <c r="F55" s="216">
        <v>2</v>
      </c>
      <c r="G55" s="216"/>
      <c r="H55" s="216">
        <v>2</v>
      </c>
      <c r="I55" s="217">
        <v>2</v>
      </c>
      <c r="K55" s="266">
        <f>HLOOKUP($D$5,$E$8:$I$99,$A55,FALSE)</f>
        <v>2</v>
      </c>
      <c r="L55" s="202"/>
      <c r="M55" s="203"/>
      <c r="N55" s="203"/>
      <c r="O55" s="203">
        <f>'Manuell filtrering og justering'!D53</f>
        <v>0</v>
      </c>
      <c r="P55" s="204">
        <f>VLOOKUP(C55,'Manuell filtrering og justering'!$A$7:$G$97,'Manuell filtrering og justering'!$G$1,FALSE)</f>
        <v>2</v>
      </c>
      <c r="Q55" s="205">
        <f t="shared" si="55"/>
        <v>0</v>
      </c>
      <c r="R55" s="206">
        <f>IF($S$4='Manuell filtrering og justering'!$I$2,P55,(K55-Q55))</f>
        <v>2</v>
      </c>
      <c r="T55" s="207">
        <f>(BP_36/Wat__Credits)*Wat03_credits</f>
        <v>1.2500000000000001E-2</v>
      </c>
      <c r="U55" s="207">
        <f>IFERROR((Wat03_09/Wat03_credits)*Wat03_user,0)</f>
        <v>0</v>
      </c>
      <c r="W55" s="259">
        <f>IF((IF(VLOOKUP(D55,'Pre-Assessment Estimator'!$C$10:$W$100,'Pre-Assessment Estimator'!$E$2,FALSE)&gt;R55,R55,VLOOKUP(D55,'Pre-Assessment Estimator'!$C$10:$W$100,'Pre-Assessment Estimator'!$E$2,FALSE))+BU55)&lt;0,0,(IF(VLOOKUP(D55,'Pre-Assessment Estimator'!$C$10:$W$100,'Pre-Assessment Estimator'!$E$2,FALSE)&gt;R55,R55,VLOOKUP(D55,'Pre-Assessment Estimator'!$C$10:$W$100,'Pre-Assessment Estimator'!$E$2,FALSE))+BU55))</f>
        <v>0</v>
      </c>
      <c r="X55" s="208">
        <f>IF((IF(VLOOKUP(D55,'Pre-Assessment Estimator'!$C$10:$W$100,'Pre-Assessment Estimator'!$L$2,FALSE)&gt;R55,R55,VLOOKUP(D55,'Pre-Assessment Estimator'!$C$10:$W$100,'Pre-Assessment Estimator'!$L$2,FALSE))+BU55)&lt;0,0,(IF(VLOOKUP(D55,'Pre-Assessment Estimator'!$C$10:$W$100,'Pre-Assessment Estimator'!$L$2,FALSE)&gt;R55,R55,VLOOKUP(D55,'Pre-Assessment Estimator'!$C$10:$W$100,'Pre-Assessment Estimator'!$L$2,FALSE))+BU55))</f>
        <v>0</v>
      </c>
      <c r="Y55" s="208">
        <f>IF((IF(VLOOKUP(D55,'Pre-Assessment Estimator'!$C$10:$W$100,'Pre-Assessment Estimator'!$R$2,FALSE)&gt;R55,R55,VLOOKUP(D55,'Pre-Assessment Estimator'!$C$10:$W$100,'Pre-Assessment Estimator'!$R$2,FALSE))+BU55)&lt;0,0,(IF(VLOOKUP(D55,'Pre-Assessment Estimator'!$C$10:$W$100,'Pre-Assessment Estimator'!$R$2,FALSE)&gt;R55,R55,VLOOKUP(D55,'Pre-Assessment Estimator'!$C$10:$W$100,'Pre-Assessment Estimator'!$R$2,FALSE))+BU55))</f>
        <v>0</v>
      </c>
      <c r="Z55" s="106" t="s">
        <v>546</v>
      </c>
      <c r="AA55" s="361"/>
      <c r="AB55" s="362"/>
      <c r="AC55" s="362"/>
      <c r="AD55" s="362"/>
      <c r="AE55" s="363"/>
      <c r="AF55" s="169"/>
      <c r="AG55" s="361"/>
      <c r="AH55" s="362"/>
      <c r="AI55" s="362"/>
      <c r="AJ55" s="362"/>
      <c r="AK55" s="363"/>
      <c r="AM55" s="226"/>
      <c r="AN55" s="227"/>
      <c r="AO55" s="227"/>
      <c r="AP55" s="227"/>
      <c r="AQ55" s="228">
        <f t="shared" si="0"/>
        <v>0</v>
      </c>
      <c r="AR55" s="220">
        <f t="shared" si="14"/>
        <v>9</v>
      </c>
      <c r="AS55" s="203" t="str">
        <f>VLOOKUP(AR55,$BB$8:$BC$14,2,FALSE)</f>
        <v>N/A</v>
      </c>
      <c r="AT55" s="223"/>
      <c r="AU55" s="220">
        <f>IF(AQ55=0,9,IF(X55&gt;=AQ55,5,IF(X55&gt;=AP55,4,IF(X55&gt;=AO55,3,IF(X55&gt;=AN55,2,IF(X55&lt;AM55,0,1))))))</f>
        <v>9</v>
      </c>
      <c r="AV55" s="203" t="str">
        <f>VLOOKUP(AU55,$BB$8:$BC$14,2,FALSE)</f>
        <v>N/A</v>
      </c>
      <c r="AW55" s="223"/>
      <c r="AX55" s="220">
        <f t="shared" si="8"/>
        <v>9</v>
      </c>
      <c r="AY55" s="203" t="str">
        <f>VLOOKUP(AX55,$BB$8:$BC$14,2,FALSE)</f>
        <v>N/A</v>
      </c>
      <c r="AZ55" s="223"/>
      <c r="BK55" s="203" t="str">
        <f t="shared" si="54"/>
        <v>Wat 03</v>
      </c>
      <c r="BL55" s="203" t="str">
        <f>IFERROR(VLOOKUP($D55,'Pre-Assessment Estimator'!$C$10:$X$100,'Pre-Assessment Estimator'!X$2,FALSE),"")</f>
        <v>No</v>
      </c>
      <c r="BM55" s="278" t="str">
        <f>IFERROR(VLOOKUP($D55,'Pre-Assessment Estimator'!$C$10:$AE$100,'Pre-Assessment Estimator'!AE$2,FALSE),"")</f>
        <v>Ja</v>
      </c>
      <c r="BN55" s="203">
        <f t="shared" si="10"/>
        <v>1</v>
      </c>
      <c r="BO55" s="854" t="s">
        <v>549</v>
      </c>
      <c r="BP55" s="203">
        <f>G159</f>
        <v>1</v>
      </c>
      <c r="BQ55" s="106" t="str">
        <f t="shared" si="12"/>
        <v/>
      </c>
      <c r="BR55" s="106" t="s">
        <v>524</v>
      </c>
      <c r="BS55" s="203">
        <f>VLOOKUP(BO55,$BO$3:$BP$4,2,FALSE)</f>
        <v>0</v>
      </c>
      <c r="BU55" s="863">
        <f>IF($BL$4=ais_no,BS55,IF(AND(BO55=$BO$3,BL55=$BQ$3),0,BN55))</f>
        <v>0</v>
      </c>
    </row>
    <row r="56" spans="1:73" ht="15.75" thickBot="1" x14ac:dyDescent="0.3">
      <c r="A56" s="106">
        <v>49</v>
      </c>
      <c r="C56" s="202" t="s">
        <v>187</v>
      </c>
      <c r="D56" s="203" t="s">
        <v>168</v>
      </c>
      <c r="E56" s="216">
        <v>1</v>
      </c>
      <c r="F56" s="216">
        <v>1</v>
      </c>
      <c r="G56" s="216">
        <v>1</v>
      </c>
      <c r="H56" s="216">
        <v>1</v>
      </c>
      <c r="I56" s="217">
        <v>1</v>
      </c>
      <c r="K56" s="266">
        <f>HLOOKUP($D$5,$E$8:$I$99,$A56,FALSE)</f>
        <v>1</v>
      </c>
      <c r="L56" s="267">
        <f>IF(AND(AD_Vehiclewash=AD_no,AD_Landscape=AD_no),1,0)</f>
        <v>1</v>
      </c>
      <c r="M56" s="203"/>
      <c r="N56" s="203"/>
      <c r="O56" s="203">
        <f>'Manuell filtrering og justering'!D54</f>
        <v>0</v>
      </c>
      <c r="P56" s="204">
        <f>VLOOKUP(C56,'Manuell filtrering og justering'!$A$7:$G$97,'Manuell filtrering og justering'!$G$1,FALSE)</f>
        <v>0</v>
      </c>
      <c r="Q56" s="205">
        <f t="shared" si="55"/>
        <v>1</v>
      </c>
      <c r="R56" s="206">
        <f>IF($S$4='Manuell filtrering og justering'!$I$2,P56,(K56-Q56))</f>
        <v>0</v>
      </c>
      <c r="T56" s="207">
        <f>(BP_36/Wat__Credits)*Wat04_credits</f>
        <v>0</v>
      </c>
      <c r="U56" s="207">
        <f>IF(R56=0,0,(Wat04_05/Wat04_credits)*Wat04_user)</f>
        <v>0</v>
      </c>
      <c r="W56" s="259">
        <f>IF(VLOOKUP(D56,'Pre-Assessment Estimator'!$C$10:$W$100,'Pre-Assessment Estimator'!$E$2,FALSE)&gt;R56,R56,VLOOKUP(D56,'Pre-Assessment Estimator'!$C$10:$W$100,'Pre-Assessment Estimator'!$E$2,FALSE))</f>
        <v>0</v>
      </c>
      <c r="X56" s="208">
        <f>IF(VLOOKUP(D56,'Pre-Assessment Estimator'!$C$10:$W$100,'Pre-Assessment Estimator'!$L$2,FALSE)&gt;R56,R56,VLOOKUP(D56,'Pre-Assessment Estimator'!$C$10:$W$100,'Pre-Assessment Estimator'!$L$2,FALSE))</f>
        <v>0</v>
      </c>
      <c r="Y56" s="208">
        <f>IF(VLOOKUP(D56,'Pre-Assessment Estimator'!$C$10:$W$100,'Pre-Assessment Estimator'!$R$2,FALSE)&gt;R56,R56,VLOOKUP(D56,'Pre-Assessment Estimator'!$C$10:$W$100,'Pre-Assessment Estimator'!$R$2,FALSE))</f>
        <v>0</v>
      </c>
      <c r="AA56" s="364"/>
      <c r="AB56" s="365"/>
      <c r="AC56" s="365"/>
      <c r="AD56" s="365"/>
      <c r="AE56" s="366"/>
      <c r="AF56" s="169"/>
      <c r="AG56" s="364"/>
      <c r="AH56" s="365"/>
      <c r="AI56" s="365"/>
      <c r="AJ56" s="365"/>
      <c r="AK56" s="366"/>
      <c r="AM56" s="237"/>
      <c r="AN56" s="239"/>
      <c r="AO56" s="239"/>
      <c r="AP56" s="239"/>
      <c r="AQ56" s="240">
        <f t="shared" si="0"/>
        <v>0</v>
      </c>
      <c r="AR56" s="241">
        <f t="shared" si="14"/>
        <v>9</v>
      </c>
      <c r="AS56" s="242" t="str">
        <f>VLOOKUP(AR56,$BB$8:$BC$14,2,FALSE)</f>
        <v>N/A</v>
      </c>
      <c r="AT56" s="243"/>
      <c r="AU56" s="241">
        <f>IF(AQ56=0,9,IF(X56&gt;=AQ56,5,IF(X56&gt;=AP56,4,IF(X56&gt;=AO56,3,IF(X56&gt;=AN56,2,IF(X56&lt;AM56,0,1))))))</f>
        <v>9</v>
      </c>
      <c r="AV56" s="242" t="str">
        <f>VLOOKUP(AU56,$BB$8:$BC$14,2,FALSE)</f>
        <v>N/A</v>
      </c>
      <c r="AW56" s="243"/>
      <c r="AX56" s="241">
        <f t="shared" si="8"/>
        <v>9</v>
      </c>
      <c r="AY56" s="242" t="str">
        <f>VLOOKUP(AX56,$BB$8:$BC$14,2,FALSE)</f>
        <v>N/A</v>
      </c>
      <c r="AZ56" s="243"/>
      <c r="BK56" s="203" t="str">
        <f t="shared" si="54"/>
        <v>Wat 04</v>
      </c>
      <c r="BL56" s="203" t="str">
        <f>IFERROR(VLOOKUP($D56,'Pre-Assessment Estimator'!$C$10:$X$100,'Pre-Assessment Estimator'!X$2,FALSE),"")</f>
        <v>N/A</v>
      </c>
      <c r="BM56" s="203">
        <f>IFERROR(VLOOKUP($D56,'Pre-Assessment Estimator'!$C$10:$AE$100,'Pre-Assessment Estimator'!AE$2,FALSE),"")</f>
        <v>0</v>
      </c>
      <c r="BN56" s="203">
        <f t="shared" si="10"/>
        <v>1</v>
      </c>
      <c r="BO56" s="203">
        <f t="shared" si="11"/>
        <v>0</v>
      </c>
      <c r="BP56" s="203"/>
      <c r="BQ56" s="106" t="str">
        <f t="shared" si="12"/>
        <v/>
      </c>
    </row>
    <row r="57" spans="1:73" ht="15.75" thickBot="1" x14ac:dyDescent="0.3">
      <c r="A57" s="106">
        <v>50</v>
      </c>
      <c r="C57" s="244"/>
      <c r="D57" s="245" t="s">
        <v>230</v>
      </c>
      <c r="E57" s="245">
        <f>SUM(E53:E56)</f>
        <v>9</v>
      </c>
      <c r="F57" s="245">
        <f>SUM(F53:F56)</f>
        <v>9</v>
      </c>
      <c r="G57" s="245">
        <f>SUM(G53:G56)</f>
        <v>7</v>
      </c>
      <c r="H57" s="245">
        <f>SUM(H53:H56)</f>
        <v>9</v>
      </c>
      <c r="I57" s="246">
        <f>SUM(I53:I56)</f>
        <v>9</v>
      </c>
      <c r="K57" s="272">
        <f>HLOOKUP($D$5,$E$8:$I$99,$A57,FALSE)</f>
        <v>9</v>
      </c>
      <c r="L57" s="248"/>
      <c r="M57" s="249"/>
      <c r="N57" s="249"/>
      <c r="O57" s="249"/>
      <c r="P57" s="250"/>
      <c r="Q57" s="251">
        <f>SUM(Q53:Q56)</f>
        <v>1</v>
      </c>
      <c r="R57" s="273">
        <f>SUM(R53:R56)</f>
        <v>8</v>
      </c>
      <c r="T57" s="253">
        <f>SUM(T53:T56)</f>
        <v>0.05</v>
      </c>
      <c r="U57" s="253">
        <f>SUM(U53:U56)</f>
        <v>0</v>
      </c>
      <c r="W57" s="19">
        <f>SUM(W53:W56)</f>
        <v>0</v>
      </c>
      <c r="X57" s="19">
        <f t="shared" ref="X57:Y57" si="56">SUM(X53:X56)</f>
        <v>0</v>
      </c>
      <c r="Y57" s="19">
        <f t="shared" si="56"/>
        <v>0</v>
      </c>
      <c r="AA57" s="169"/>
      <c r="AB57" s="169"/>
      <c r="AC57" s="169"/>
      <c r="AD57" s="169"/>
      <c r="AE57" s="169"/>
      <c r="AF57" s="169"/>
      <c r="AG57" s="169"/>
      <c r="AH57" s="169"/>
      <c r="AI57" s="169"/>
      <c r="AJ57" s="169"/>
      <c r="AK57" s="169"/>
      <c r="AM57" s="107"/>
      <c r="AN57" s="254"/>
      <c r="AO57" s="107"/>
      <c r="AP57" s="107"/>
      <c r="AQ57" s="107"/>
      <c r="BK57" s="245"/>
      <c r="BL57" s="245" t="str">
        <f>IFERROR(VLOOKUP($D57,'Pre-Assessment Estimator'!$C$10:$X$100,'Pre-Assessment Estimator'!X$2,FALSE),"")</f>
        <v/>
      </c>
      <c r="BM57" s="245" t="str">
        <f>IFERROR(VLOOKUP($D57,'Pre-Assessment Estimator'!$C$10:$AE$100,'Pre-Assessment Estimator'!AE$2,FALSE),"")</f>
        <v/>
      </c>
      <c r="BN57" s="245" t="str">
        <f t="shared" si="10"/>
        <v/>
      </c>
      <c r="BO57" s="245" t="str">
        <f t="shared" si="11"/>
        <v/>
      </c>
      <c r="BP57" s="245"/>
      <c r="BQ57" s="106" t="str">
        <f t="shared" si="12"/>
        <v/>
      </c>
    </row>
    <row r="58" spans="1:73" ht="15.75" thickBot="1" x14ac:dyDescent="0.3">
      <c r="A58" s="106">
        <v>51</v>
      </c>
      <c r="W58" s="1"/>
      <c r="X58" s="1"/>
      <c r="Y58" s="1"/>
      <c r="AA58" s="169"/>
      <c r="AB58" s="169"/>
      <c r="AC58" s="169"/>
      <c r="AD58" s="169"/>
      <c r="AE58" s="169"/>
      <c r="AF58" s="169"/>
      <c r="AG58" s="169"/>
      <c r="AH58" s="169"/>
      <c r="AI58" s="169"/>
      <c r="AJ58" s="169"/>
      <c r="AK58" s="169"/>
      <c r="AM58" s="107"/>
      <c r="AN58" s="107"/>
      <c r="AO58" s="107"/>
      <c r="AP58" s="107"/>
      <c r="AQ58" s="107"/>
      <c r="BL58" s="106" t="str">
        <f>IFERROR(VLOOKUP($D58,'Pre-Assessment Estimator'!$C$10:$X$100,'Pre-Assessment Estimator'!X$2,FALSE),"")</f>
        <v/>
      </c>
      <c r="BM58" s="106" t="str">
        <f>IFERROR(VLOOKUP($D58,'Pre-Assessment Estimator'!$C$10:$AE$100,'Pre-Assessment Estimator'!AE$2,FALSE),"")</f>
        <v/>
      </c>
      <c r="BN58" s="106" t="str">
        <f t="shared" si="10"/>
        <v/>
      </c>
      <c r="BO58" s="106" t="str">
        <f t="shared" si="11"/>
        <v/>
      </c>
      <c r="BQ58" s="106" t="str">
        <f t="shared" si="12"/>
        <v/>
      </c>
    </row>
    <row r="59" spans="1:73" ht="15.75" thickBot="1" x14ac:dyDescent="0.3">
      <c r="A59" s="106">
        <v>52</v>
      </c>
      <c r="C59" s="176"/>
      <c r="D59" s="177" t="s">
        <v>72</v>
      </c>
      <c r="E59" s="178" t="str">
        <f>$E$8</f>
        <v>Office</v>
      </c>
      <c r="F59" s="178" t="str">
        <f>$F$8</f>
        <v>Retail</v>
      </c>
      <c r="G59" s="178" t="str">
        <f>$G$8</f>
        <v>Residential</v>
      </c>
      <c r="H59" s="178" t="str">
        <f>$H$8</f>
        <v>Industrial</v>
      </c>
      <c r="I59" s="179" t="str">
        <f>$I$8</f>
        <v>Education</v>
      </c>
      <c r="K59" s="168" t="str">
        <f>$D$5</f>
        <v>Office</v>
      </c>
      <c r="L59" s="255"/>
      <c r="M59" s="256"/>
      <c r="N59" s="256"/>
      <c r="O59" s="256"/>
      <c r="P59" s="444" t="s">
        <v>405</v>
      </c>
      <c r="Q59" s="183" t="s">
        <v>230</v>
      </c>
      <c r="R59" s="168"/>
      <c r="W59" s="44"/>
      <c r="X59" s="64"/>
      <c r="Y59" s="64"/>
      <c r="AA59" s="169"/>
      <c r="AB59" s="169"/>
      <c r="AC59" s="169"/>
      <c r="AD59" s="169"/>
      <c r="AE59" s="169"/>
      <c r="AF59" s="169"/>
      <c r="AG59" s="169"/>
      <c r="AH59" s="169"/>
      <c r="AI59" s="169"/>
      <c r="AJ59" s="169"/>
      <c r="AK59" s="169"/>
      <c r="AM59" s="107"/>
      <c r="AN59" s="107"/>
      <c r="AO59" s="107"/>
      <c r="AP59" s="107"/>
      <c r="AQ59" s="107"/>
      <c r="BK59" s="177"/>
      <c r="BL59" s="177" t="str">
        <f>D59</f>
        <v>Materials</v>
      </c>
      <c r="BM59" s="177">
        <f>IFERROR(VLOOKUP($D59,'Pre-Assessment Estimator'!$C$10:$AE$100,'Pre-Assessment Estimator'!AE$2,FALSE),"")</f>
        <v>0</v>
      </c>
      <c r="BN59" s="177" t="str">
        <f t="shared" si="10"/>
        <v/>
      </c>
      <c r="BO59" s="177" t="str">
        <f t="shared" si="11"/>
        <v/>
      </c>
      <c r="BP59" s="177"/>
      <c r="BQ59" s="106" t="str">
        <f t="shared" si="12"/>
        <v/>
      </c>
    </row>
    <row r="60" spans="1:73" x14ac:dyDescent="0.25">
      <c r="A60" s="106">
        <v>53</v>
      </c>
      <c r="C60" s="197" t="s">
        <v>188</v>
      </c>
      <c r="D60" s="198" t="s">
        <v>169</v>
      </c>
      <c r="E60" s="199">
        <v>7</v>
      </c>
      <c r="F60" s="199">
        <v>7</v>
      </c>
      <c r="G60" s="199">
        <v>7</v>
      </c>
      <c r="H60" s="199">
        <v>7</v>
      </c>
      <c r="I60" s="200">
        <v>7</v>
      </c>
      <c r="K60" s="257">
        <f>HLOOKUP($D$5,$E$8:$I$99,$A60,FALSE)</f>
        <v>7</v>
      </c>
      <c r="L60" s="202"/>
      <c r="M60" s="203"/>
      <c r="N60" s="203"/>
      <c r="O60" s="203">
        <f>'Manuell filtrering og justering'!D58</f>
        <v>0</v>
      </c>
      <c r="P60" s="204">
        <f>VLOOKUP(C60,'Manuell filtrering og justering'!$A$7:$G$97,'Manuell filtrering og justering'!$G$1,FALSE)</f>
        <v>7</v>
      </c>
      <c r="Q60" s="205">
        <f>IF(SUM(L60:O60)&gt;K60,K60,SUM(L60:O60))</f>
        <v>0</v>
      </c>
      <c r="R60" s="206">
        <f>IF($S$4='Manuell filtrering og justering'!$I$2,P60,(K60-Q60))</f>
        <v>7</v>
      </c>
      <c r="T60" s="207">
        <f>(BP_38/Mat_Credits)*Mat01_credits</f>
        <v>8.5909090909090921E-2</v>
      </c>
      <c r="U60" s="207">
        <f>(Mat01_27/Mat01_credits)*Mat01_user</f>
        <v>0</v>
      </c>
      <c r="W60" s="259">
        <f>IF(VLOOKUP(D60,'Pre-Assessment Estimator'!$C$10:$W$100,'Pre-Assessment Estimator'!$E$2,FALSE)&gt;R60,R60,VLOOKUP(D60,'Pre-Assessment Estimator'!$C$10:$W$100,'Pre-Assessment Estimator'!$E$2,FALSE))</f>
        <v>0</v>
      </c>
      <c r="X60" s="208">
        <f>IF(VLOOKUP(D60,'Pre-Assessment Estimator'!$C$10:$W$100,'Pre-Assessment Estimator'!$L$2,FALSE)&gt;R60,R60,VLOOKUP(D60,'Pre-Assessment Estimator'!$C$10:$W$100,'Pre-Assessment Estimator'!$L$2,FALSE))</f>
        <v>0</v>
      </c>
      <c r="Y60" s="208">
        <f>IF(VLOOKUP(D60,'Pre-Assessment Estimator'!$C$10:$W$100,'Pre-Assessment Estimator'!$R$2,FALSE)&gt;R60,R60,VLOOKUP(D60,'Pre-Assessment Estimator'!$C$10:$W$100,'Pre-Assessment Estimator'!$R$2,FALSE))</f>
        <v>0</v>
      </c>
      <c r="AA60" s="367"/>
      <c r="AB60" s="368"/>
      <c r="AC60" s="368"/>
      <c r="AD60" s="368"/>
      <c r="AE60" s="369"/>
      <c r="AF60" s="169"/>
      <c r="AG60" s="367"/>
      <c r="AH60" s="368"/>
      <c r="AI60" s="368"/>
      <c r="AJ60" s="368"/>
      <c r="AK60" s="369"/>
      <c r="AM60" s="263"/>
      <c r="AN60" s="264"/>
      <c r="AO60" s="264"/>
      <c r="AP60" s="264"/>
      <c r="AQ60" s="265">
        <f t="shared" si="0"/>
        <v>0</v>
      </c>
      <c r="AR60" s="211">
        <f t="shared" ref="AR60" si="57">IF(AQ60=0,9,IF(W60&gt;=AQ60,5,IF(W60&gt;=AP60,4,IF(W60&gt;=AO60,3,IF(W60&gt;=AN60,2,IF(W60&lt;AM60,0,1))))))</f>
        <v>9</v>
      </c>
      <c r="AS60" s="214" t="str">
        <f>VLOOKUP(AR60,$BB$8:$BC$14,2,FALSE)</f>
        <v>N/A</v>
      </c>
      <c r="AT60" s="215"/>
      <c r="AU60" s="211">
        <f>IF(AQ60=0,9,IF(X60&gt;=AQ60,5,IF(X60&gt;=AP60,4,IF(X60&gt;=AO60,3,IF(X60&gt;=AN60,2,IF(X60&lt;AM60,0,1))))))</f>
        <v>9</v>
      </c>
      <c r="AV60" s="214" t="str">
        <f>VLOOKUP(AU60,$BB$8:$BC$14,2,FALSE)</f>
        <v>N/A</v>
      </c>
      <c r="AW60" s="215"/>
      <c r="AX60" s="211">
        <f t="shared" si="8"/>
        <v>9</v>
      </c>
      <c r="AY60" s="214" t="str">
        <f>VLOOKUP(AX60,$BB$8:$BC$14,2,FALSE)</f>
        <v>N/A</v>
      </c>
      <c r="AZ60" s="215"/>
      <c r="BK60" s="198" t="str">
        <f t="shared" ref="BK60:BK63" si="58">C60</f>
        <v>Mat 01</v>
      </c>
      <c r="BL60" s="198" t="str">
        <f>IFERROR(VLOOKUP($D60,'Pre-Assessment Estimator'!$C$10:$X$100,'Pre-Assessment Estimator'!X$2,FALSE),"")</f>
        <v>N/A</v>
      </c>
      <c r="BM60" s="198">
        <f>IFERROR(VLOOKUP($D60,'Pre-Assessment Estimator'!$C$10:$AE$100,'Pre-Assessment Estimator'!AE$2,FALSE),"")</f>
        <v>0</v>
      </c>
      <c r="BN60" s="198">
        <f t="shared" si="10"/>
        <v>1</v>
      </c>
      <c r="BO60" s="198">
        <f t="shared" si="11"/>
        <v>0</v>
      </c>
      <c r="BP60" s="198"/>
      <c r="BQ60" s="106" t="s">
        <v>550</v>
      </c>
    </row>
    <row r="61" spans="1:73" x14ac:dyDescent="0.25">
      <c r="A61" s="106">
        <v>54</v>
      </c>
      <c r="C61" s="202" t="s">
        <v>189</v>
      </c>
      <c r="D61" s="203" t="s">
        <v>170</v>
      </c>
      <c r="E61" s="350">
        <v>3</v>
      </c>
      <c r="F61" s="350">
        <v>3</v>
      </c>
      <c r="G61" s="350">
        <v>3</v>
      </c>
      <c r="H61" s="350">
        <v>3</v>
      </c>
      <c r="I61" s="355">
        <v>3</v>
      </c>
      <c r="K61" s="266">
        <f>HLOOKUP($D$5,$E$8:$I$99,$A61,FALSE)</f>
        <v>3</v>
      </c>
      <c r="L61" s="202"/>
      <c r="M61" s="203"/>
      <c r="N61" s="203"/>
      <c r="O61" s="203">
        <f>'Manuell filtrering og justering'!D59</f>
        <v>0</v>
      </c>
      <c r="P61" s="204">
        <f>VLOOKUP(C61,'Manuell filtrering og justering'!$A$7:$G$97,'Manuell filtrering og justering'!$G$1,FALSE)</f>
        <v>3</v>
      </c>
      <c r="Q61" s="205">
        <f t="shared" ref="Q61:Q63" si="59">IF(SUM(L61:O61)&gt;K61,K61,SUM(L61:O61))</f>
        <v>0</v>
      </c>
      <c r="R61" s="206">
        <f>IF($S$4='Manuell filtrering og justering'!$I$2,P61,(K61-Q61))</f>
        <v>3</v>
      </c>
      <c r="T61" s="207">
        <f>(BP_38/Mat_Credits)*Mat03_credits</f>
        <v>3.6818181818181819E-2</v>
      </c>
      <c r="U61" s="207">
        <f>(Mat03_37/Mat03_credits)*Mat03_user</f>
        <v>0</v>
      </c>
      <c r="W61" s="259">
        <f>IF(VLOOKUP(D61,'Pre-Assessment Estimator'!$C$10:$W$100,'Pre-Assessment Estimator'!$E$2,FALSE)&gt;R61,R61,VLOOKUP(D61,'Pre-Assessment Estimator'!$C$10:$W$100,'Pre-Assessment Estimator'!$E$2,FALSE))</f>
        <v>0</v>
      </c>
      <c r="X61" s="208">
        <f>IF(VLOOKUP(D61,'Pre-Assessment Estimator'!$C$10:$W$100,'Pre-Assessment Estimator'!$L$2,FALSE)&gt;R61,R61,VLOOKUP(D61,'Pre-Assessment Estimator'!$C$10:$W$100,'Pre-Assessment Estimator'!$L$2,FALSE))</f>
        <v>0</v>
      </c>
      <c r="Y61" s="208">
        <f>IF(VLOOKUP(D61,'Pre-Assessment Estimator'!$C$10:$W$100,'Pre-Assessment Estimator'!$R$2,FALSE)&gt;R61,R61,VLOOKUP(D61,'Pre-Assessment Estimator'!$C$10:$W$100,'Pre-Assessment Estimator'!$R$2,FALSE))</f>
        <v>0</v>
      </c>
      <c r="AA61" s="361"/>
      <c r="AB61" s="362"/>
      <c r="AC61" s="362"/>
      <c r="AD61" s="362"/>
      <c r="AE61" s="363"/>
      <c r="AF61" s="169"/>
      <c r="AG61" s="361"/>
      <c r="AH61" s="362"/>
      <c r="AI61" s="362"/>
      <c r="AJ61" s="362"/>
      <c r="AK61" s="363"/>
      <c r="AM61" s="226"/>
      <c r="AN61" s="227"/>
      <c r="AO61" s="227"/>
      <c r="AP61" s="227"/>
      <c r="AQ61" s="228">
        <f t="shared" si="0"/>
        <v>0</v>
      </c>
      <c r="AR61" s="220">
        <f t="shared" si="14"/>
        <v>9</v>
      </c>
      <c r="AS61" s="203" t="str">
        <f>VLOOKUP(AR61,$BB$8:$BC$14,2,FALSE)</f>
        <v>N/A</v>
      </c>
      <c r="AT61" s="223"/>
      <c r="AU61" s="220">
        <f>IF(AQ61=0,9,IF(X61&gt;=AQ61,5,IF(X61&gt;=AP61,4,IF(X61&gt;=AO61,3,IF(X61&gt;=AN61,2,IF(X61&lt;AM61,0,1))))))</f>
        <v>9</v>
      </c>
      <c r="AV61" s="203" t="str">
        <f>VLOOKUP(AU61,$BB$8:$BC$14,2,FALSE)</f>
        <v>N/A</v>
      </c>
      <c r="AW61" s="223"/>
      <c r="AX61" s="220">
        <f t="shared" si="8"/>
        <v>9</v>
      </c>
      <c r="AY61" s="203" t="str">
        <f>VLOOKUP(AX61,$BB$8:$BC$14,2,FALSE)</f>
        <v>N/A</v>
      </c>
      <c r="AZ61" s="223"/>
      <c r="BK61" s="203" t="str">
        <f t="shared" si="58"/>
        <v>Mat 03</v>
      </c>
      <c r="BL61" s="203" t="str">
        <f>IFERROR(VLOOKUP($D61,'Pre-Assessment Estimator'!$C$10:$X$100,'Pre-Assessment Estimator'!X$2,FALSE),"")</f>
        <v>N/A</v>
      </c>
      <c r="BM61" s="203">
        <f>IFERROR(VLOOKUP($D61,'Pre-Assessment Estimator'!$C$10:$AE$100,'Pre-Assessment Estimator'!AE$2,FALSE),"")</f>
        <v>0</v>
      </c>
      <c r="BN61" s="203">
        <f t="shared" si="10"/>
        <v>1</v>
      </c>
      <c r="BO61" s="203">
        <f t="shared" si="11"/>
        <v>0</v>
      </c>
      <c r="BP61" s="203"/>
      <c r="BQ61" s="106" t="s">
        <v>550</v>
      </c>
    </row>
    <row r="62" spans="1:73" x14ac:dyDescent="0.25">
      <c r="A62" s="106">
        <v>55</v>
      </c>
      <c r="C62" s="202" t="s">
        <v>190</v>
      </c>
      <c r="D62" s="203" t="s">
        <v>171</v>
      </c>
      <c r="E62" s="216">
        <v>1</v>
      </c>
      <c r="F62" s="216">
        <v>1</v>
      </c>
      <c r="G62" s="216">
        <v>1</v>
      </c>
      <c r="H62" s="216">
        <v>1</v>
      </c>
      <c r="I62" s="217">
        <v>1</v>
      </c>
      <c r="K62" s="266">
        <f>HLOOKUP($D$5,$E$8:$I$99,$A62,FALSE)</f>
        <v>1</v>
      </c>
      <c r="L62" s="202"/>
      <c r="M62" s="203"/>
      <c r="N62" s="203"/>
      <c r="O62" s="203">
        <f>'Manuell filtrering og justering'!D60</f>
        <v>0</v>
      </c>
      <c r="P62" s="204">
        <f>VLOOKUP(C62,'Manuell filtrering og justering'!$A$7:$G$97,'Manuell filtrering og justering'!$G$1,FALSE)</f>
        <v>1</v>
      </c>
      <c r="Q62" s="205">
        <f t="shared" si="59"/>
        <v>0</v>
      </c>
      <c r="R62" s="206">
        <f>IF($S$4='Manuell filtrering og justering'!$I$2,P62,(K62-Q62))</f>
        <v>1</v>
      </c>
      <c r="T62" s="207">
        <f>(BP_38/Mat_Credits)*Mat05_credits</f>
        <v>1.2272727272727274E-2</v>
      </c>
      <c r="U62" s="207">
        <f>(Mat05_05/Mat05_credits)*Mat05_user</f>
        <v>0</v>
      </c>
      <c r="W62" s="259">
        <f>IF(VLOOKUP(D62,'Pre-Assessment Estimator'!$C$10:$W$100,'Pre-Assessment Estimator'!$E$2,FALSE)&gt;R62,R62,VLOOKUP(D62,'Pre-Assessment Estimator'!$C$10:$W$100,'Pre-Assessment Estimator'!$E$2,FALSE))*BU62</f>
        <v>0</v>
      </c>
      <c r="X62" s="208">
        <f>IF(VLOOKUP(D62,'Pre-Assessment Estimator'!$C$10:$W$100,'Pre-Assessment Estimator'!$L$2,FALSE)&gt;R62,R62,VLOOKUP(D62,'Pre-Assessment Estimator'!$C$10:$W$100,'Pre-Assessment Estimator'!$L$2,FALSE))*BU62</f>
        <v>0</v>
      </c>
      <c r="Y62" s="208">
        <f>IF(VLOOKUP(D62,'Pre-Assessment Estimator'!$C$10:$W$100,'Pre-Assessment Estimator'!$R$2,FALSE)&gt;R62,R62,VLOOKUP(D62,'Pre-Assessment Estimator'!$C$10:$W$100,'Pre-Assessment Estimator'!$R$2,FALSE))*BU62</f>
        <v>0</v>
      </c>
      <c r="Z62" s="106" t="s">
        <v>546</v>
      </c>
      <c r="AA62" s="361"/>
      <c r="AB62" s="362"/>
      <c r="AC62" s="362"/>
      <c r="AD62" s="362"/>
      <c r="AE62" s="363"/>
      <c r="AF62" s="169"/>
      <c r="AG62" s="361"/>
      <c r="AH62" s="362"/>
      <c r="AI62" s="362"/>
      <c r="AJ62" s="362"/>
      <c r="AK62" s="363"/>
      <c r="AM62" s="226"/>
      <c r="AN62" s="227"/>
      <c r="AO62" s="227"/>
      <c r="AP62" s="227"/>
      <c r="AQ62" s="228">
        <f t="shared" si="0"/>
        <v>0</v>
      </c>
      <c r="AR62" s="220">
        <f t="shared" si="14"/>
        <v>9</v>
      </c>
      <c r="AS62" s="203" t="str">
        <f>VLOOKUP(AR62,$BB$8:$BC$14,2,FALSE)</f>
        <v>N/A</v>
      </c>
      <c r="AT62" s="223"/>
      <c r="AU62" s="220">
        <f>IF(AQ62=0,9,IF(X62&gt;=AQ62,5,IF(X62&gt;=AP62,4,IF(X62&gt;=AO62,3,IF(X62&gt;=AN62,2,IF(X62&lt;AM62,0,1))))))</f>
        <v>9</v>
      </c>
      <c r="AV62" s="203" t="str">
        <f>VLOOKUP(AU62,$BB$8:$BC$14,2,FALSE)</f>
        <v>N/A</v>
      </c>
      <c r="AW62" s="223"/>
      <c r="AX62" s="220">
        <f t="shared" si="8"/>
        <v>9</v>
      </c>
      <c r="AY62" s="203" t="str">
        <f>VLOOKUP(AX62,$BB$8:$BC$14,2,FALSE)</f>
        <v>N/A</v>
      </c>
      <c r="AZ62" s="223"/>
      <c r="BK62" s="203" t="str">
        <f t="shared" si="58"/>
        <v>Mat 05</v>
      </c>
      <c r="BL62" s="203" t="str">
        <f>IFERROR(VLOOKUP($D62,'Pre-Assessment Estimator'!$C$10:$X$100,'Pre-Assessment Estimator'!X$2,FALSE),"")</f>
        <v>No</v>
      </c>
      <c r="BM62" s="278" t="str">
        <f>IFERROR(VLOOKUP($D62,'Pre-Assessment Estimator'!$C$10:$AE$100,'Pre-Assessment Estimator'!AE$2,FALSE),"")</f>
        <v>Ja</v>
      </c>
      <c r="BN62" s="203">
        <f t="shared" si="10"/>
        <v>1</v>
      </c>
      <c r="BO62" s="862" t="s">
        <v>551</v>
      </c>
      <c r="BP62" s="203"/>
      <c r="BQ62" s="106" t="str">
        <f t="shared" si="12"/>
        <v/>
      </c>
      <c r="BR62" s="106" t="s">
        <v>557</v>
      </c>
      <c r="BS62" s="203">
        <f>VLOOKUP(BO62,$BO$3:$BP$4,2,FALSE)</f>
        <v>1</v>
      </c>
      <c r="BU62" s="863">
        <f>IF($BL$4=ais_no,BS62,IF(AND(BO62=$BO$3,BL62=$BQ$3),0,BN62))</f>
        <v>1</v>
      </c>
    </row>
    <row r="63" spans="1:73" ht="15.75" thickBot="1" x14ac:dyDescent="0.3">
      <c r="A63" s="106">
        <v>56</v>
      </c>
      <c r="C63" s="353" t="s">
        <v>191</v>
      </c>
      <c r="D63" s="357"/>
      <c r="E63" s="350"/>
      <c r="F63" s="350"/>
      <c r="G63" s="350"/>
      <c r="H63" s="350"/>
      <c r="I63" s="355"/>
      <c r="K63" s="266">
        <f>HLOOKUP($D$5,$E$8:$I$99,$A63,FALSE)</f>
        <v>0</v>
      </c>
      <c r="L63" s="202"/>
      <c r="M63" s="203"/>
      <c r="N63" s="203"/>
      <c r="O63" s="203">
        <f>'Manuell filtrering og justering'!D61</f>
        <v>0</v>
      </c>
      <c r="P63" s="204"/>
      <c r="Q63" s="205">
        <f t="shared" si="59"/>
        <v>0</v>
      </c>
      <c r="R63" s="206">
        <f>IF($S$4='Manuell filtrering og justering'!$I$2,P63,(K63-Q63))</f>
        <v>0</v>
      </c>
      <c r="T63" s="207">
        <f>(BP_38/Mat_Credits)*Mat06_credits</f>
        <v>0</v>
      </c>
      <c r="U63" s="207">
        <f>IF(R63=0,0,(T63/Mat06_credits)*Mat06_user)</f>
        <v>0</v>
      </c>
      <c r="W63" s="259"/>
      <c r="X63" s="208"/>
      <c r="Y63" s="208"/>
      <c r="AA63" s="364"/>
      <c r="AB63" s="365"/>
      <c r="AC63" s="365"/>
      <c r="AD63" s="365"/>
      <c r="AE63" s="366"/>
      <c r="AF63" s="169"/>
      <c r="AG63" s="364"/>
      <c r="AH63" s="365"/>
      <c r="AI63" s="365"/>
      <c r="AJ63" s="365"/>
      <c r="AK63" s="366"/>
      <c r="AM63" s="237"/>
      <c r="AN63" s="239"/>
      <c r="AO63" s="239"/>
      <c r="AP63" s="239"/>
      <c r="AQ63" s="240">
        <f t="shared" si="0"/>
        <v>0</v>
      </c>
      <c r="AR63" s="241">
        <f t="shared" si="14"/>
        <v>9</v>
      </c>
      <c r="AS63" s="242" t="str">
        <f>VLOOKUP(AR63,$BB$8:$BC$14,2,FALSE)</f>
        <v>N/A</v>
      </c>
      <c r="AT63" s="243"/>
      <c r="AU63" s="241">
        <f>IF(AQ63=0,9,IF(X63&gt;=AQ63,5,IF(X63&gt;=AP63,4,IF(X63&gt;=AO63,3,IF(X63&gt;=AN63,2,IF(X63&lt;AM63,0,1))))))</f>
        <v>9</v>
      </c>
      <c r="AV63" s="242" t="str">
        <f>VLOOKUP(AU63,$BB$8:$BC$14,2,FALSE)</f>
        <v>N/A</v>
      </c>
      <c r="AW63" s="243"/>
      <c r="AX63" s="241">
        <f t="shared" si="8"/>
        <v>9</v>
      </c>
      <c r="AY63" s="242" t="str">
        <f>VLOOKUP(AX63,$BB$8:$BC$14,2,FALSE)</f>
        <v>N/A</v>
      </c>
      <c r="AZ63" s="243"/>
      <c r="BK63" s="357" t="str">
        <f t="shared" si="58"/>
        <v>Mat 06</v>
      </c>
      <c r="BL63" s="357" t="str">
        <f>IFERROR(VLOOKUP($D63,'Pre-Assessment Estimator'!$C$10:$X$100,'Pre-Assessment Estimator'!X$2,FALSE),"")</f>
        <v/>
      </c>
      <c r="BM63" s="357" t="str">
        <f>IFERROR(VLOOKUP($D63,'Pre-Assessment Estimator'!$C$10:$AE$100,'Pre-Assessment Estimator'!AE$2,FALSE),"")</f>
        <v/>
      </c>
      <c r="BN63" s="357" t="str">
        <f t="shared" si="10"/>
        <v/>
      </c>
      <c r="BO63" s="357" t="str">
        <f t="shared" si="11"/>
        <v/>
      </c>
      <c r="BP63" s="357"/>
      <c r="BQ63" s="106" t="str">
        <f t="shared" si="12"/>
        <v/>
      </c>
    </row>
    <row r="64" spans="1:73" ht="15.75" thickBot="1" x14ac:dyDescent="0.3">
      <c r="A64" s="106">
        <v>57</v>
      </c>
      <c r="C64" s="244"/>
      <c r="D64" s="245" t="s">
        <v>230</v>
      </c>
      <c r="E64" s="245">
        <f>SUM(E60:E63)</f>
        <v>11</v>
      </c>
      <c r="F64" s="245">
        <f>SUM(F60:F63)</f>
        <v>11</v>
      </c>
      <c r="G64" s="245">
        <f>SUM(G60:G63)</f>
        <v>11</v>
      </c>
      <c r="H64" s="245">
        <f>SUM(H60:H63)</f>
        <v>11</v>
      </c>
      <c r="I64" s="246">
        <f>SUM(I60:I63)</f>
        <v>11</v>
      </c>
      <c r="K64" s="272">
        <f>HLOOKUP($D$5,$E$8:$I$99,$A64,FALSE)</f>
        <v>11</v>
      </c>
      <c r="L64" s="248"/>
      <c r="M64" s="249"/>
      <c r="N64" s="249"/>
      <c r="O64" s="249"/>
      <c r="P64" s="250"/>
      <c r="Q64" s="251">
        <f>SUM(Q60:Q63)</f>
        <v>0</v>
      </c>
      <c r="R64" s="273">
        <f>SUM(R60:R63)</f>
        <v>11</v>
      </c>
      <c r="T64" s="253">
        <f>SUM(T60:T63)</f>
        <v>0.13500000000000001</v>
      </c>
      <c r="U64" s="253">
        <f>SUM(U60:U63)</f>
        <v>0</v>
      </c>
      <c r="W64" s="19">
        <f>SUM(W60:W63)</f>
        <v>0</v>
      </c>
      <c r="X64" s="19">
        <f t="shared" ref="X64:Y64" si="60">SUM(X60:X63)</f>
        <v>0</v>
      </c>
      <c r="Y64" s="19">
        <f t="shared" si="60"/>
        <v>0</v>
      </c>
      <c r="AA64" s="169"/>
      <c r="AB64" s="169"/>
      <c r="AC64" s="169"/>
      <c r="AD64" s="169"/>
      <c r="AE64" s="169"/>
      <c r="AF64" s="169"/>
      <c r="AG64" s="169"/>
      <c r="AH64" s="169"/>
      <c r="AI64" s="169"/>
      <c r="AJ64" s="169"/>
      <c r="AK64" s="169"/>
      <c r="AM64" s="107"/>
      <c r="AN64" s="254"/>
      <c r="AO64" s="107"/>
      <c r="AP64" s="107"/>
      <c r="AQ64" s="107"/>
      <c r="BK64" s="245"/>
      <c r="BL64" s="245" t="str">
        <f>IFERROR(VLOOKUP($D64,'Pre-Assessment Estimator'!$C$10:$X$100,'Pre-Assessment Estimator'!X$2,FALSE),"")</f>
        <v/>
      </c>
      <c r="BM64" s="245" t="str">
        <f>IFERROR(VLOOKUP($D64,'Pre-Assessment Estimator'!$C$10:$AE$100,'Pre-Assessment Estimator'!AE$2,FALSE),"")</f>
        <v/>
      </c>
      <c r="BN64" s="245" t="str">
        <f t="shared" si="10"/>
        <v/>
      </c>
      <c r="BO64" s="245" t="str">
        <f t="shared" si="11"/>
        <v/>
      </c>
      <c r="BP64" s="245"/>
      <c r="BQ64" s="106" t="str">
        <f t="shared" si="12"/>
        <v/>
      </c>
    </row>
    <row r="65" spans="1:69" ht="15.75" thickBot="1" x14ac:dyDescent="0.3">
      <c r="A65" s="106">
        <v>58</v>
      </c>
      <c r="W65" s="3"/>
      <c r="X65" s="3"/>
      <c r="Y65" s="3"/>
      <c r="AA65" s="169"/>
      <c r="AB65" s="169"/>
      <c r="AC65" s="169"/>
      <c r="AD65" s="169"/>
      <c r="AE65" s="169"/>
      <c r="AF65" s="169"/>
      <c r="AG65" s="169"/>
      <c r="AH65" s="169"/>
      <c r="AI65" s="169"/>
      <c r="AJ65" s="169"/>
      <c r="AK65" s="169"/>
      <c r="AM65" s="107"/>
      <c r="AN65" s="107"/>
      <c r="AO65" s="107"/>
      <c r="AP65" s="107"/>
      <c r="AQ65" s="107"/>
      <c r="BL65" s="106" t="str">
        <f>IFERROR(VLOOKUP($D65,'Pre-Assessment Estimator'!$C$10:$X$100,'Pre-Assessment Estimator'!X$2,FALSE),"")</f>
        <v/>
      </c>
      <c r="BM65" s="106" t="str">
        <f>IFERROR(VLOOKUP($D65,'Pre-Assessment Estimator'!$C$10:$AE$100,'Pre-Assessment Estimator'!AE$2,FALSE),"")</f>
        <v/>
      </c>
      <c r="BN65" s="106" t="str">
        <f t="shared" si="10"/>
        <v/>
      </c>
      <c r="BO65" s="106" t="str">
        <f t="shared" si="11"/>
        <v/>
      </c>
      <c r="BQ65" s="106" t="str">
        <f t="shared" si="12"/>
        <v/>
      </c>
    </row>
    <row r="66" spans="1:69" ht="15.75" thickBot="1" x14ac:dyDescent="0.3">
      <c r="A66" s="106">
        <v>59</v>
      </c>
      <c r="C66" s="176"/>
      <c r="D66" s="177" t="s">
        <v>73</v>
      </c>
      <c r="E66" s="178" t="str">
        <f>$E$8</f>
        <v>Office</v>
      </c>
      <c r="F66" s="178" t="str">
        <f>$F$8</f>
        <v>Retail</v>
      </c>
      <c r="G66" s="178" t="str">
        <f>$G$8</f>
        <v>Residential</v>
      </c>
      <c r="H66" s="178" t="str">
        <f>$H$8</f>
        <v>Industrial</v>
      </c>
      <c r="I66" s="179" t="str">
        <f>$I$8</f>
        <v>Education</v>
      </c>
      <c r="K66" s="168" t="str">
        <f>$D$5</f>
        <v>Office</v>
      </c>
      <c r="L66" s="255"/>
      <c r="M66" s="256"/>
      <c r="N66" s="256"/>
      <c r="O66" s="256"/>
      <c r="P66" s="444" t="s">
        <v>405</v>
      </c>
      <c r="Q66" s="183" t="s">
        <v>230</v>
      </c>
      <c r="R66" s="168"/>
      <c r="W66" s="44"/>
      <c r="X66" s="64"/>
      <c r="Y66" s="64"/>
      <c r="AA66" s="169"/>
      <c r="AB66" s="169"/>
      <c r="AC66" s="169"/>
      <c r="AD66" s="169"/>
      <c r="AE66" s="169"/>
      <c r="AF66" s="169"/>
      <c r="AG66" s="169"/>
      <c r="AH66" s="169"/>
      <c r="AI66" s="169"/>
      <c r="AJ66" s="169"/>
      <c r="AK66" s="169"/>
      <c r="AM66" s="107"/>
      <c r="AN66" s="107"/>
      <c r="AO66" s="107"/>
      <c r="AP66" s="107"/>
      <c r="AQ66" s="107"/>
      <c r="BK66" s="177"/>
      <c r="BL66" s="177" t="str">
        <f>D66</f>
        <v>Waste</v>
      </c>
      <c r="BM66" s="177">
        <f>IFERROR(VLOOKUP($D66,'Pre-Assessment Estimator'!$C$10:$AE$100,'Pre-Assessment Estimator'!AE$2,FALSE),"")</f>
        <v>0</v>
      </c>
      <c r="BN66" s="177" t="str">
        <f t="shared" si="10"/>
        <v/>
      </c>
      <c r="BO66" s="177" t="str">
        <f t="shared" si="11"/>
        <v/>
      </c>
      <c r="BP66" s="177"/>
      <c r="BQ66" s="106" t="str">
        <f t="shared" si="12"/>
        <v/>
      </c>
    </row>
    <row r="67" spans="1:69" x14ac:dyDescent="0.25">
      <c r="A67" s="106">
        <v>60</v>
      </c>
      <c r="C67" s="197" t="s">
        <v>192</v>
      </c>
      <c r="D67" s="198" t="s">
        <v>172</v>
      </c>
      <c r="E67" s="351">
        <v>3</v>
      </c>
      <c r="F67" s="351">
        <v>3</v>
      </c>
      <c r="G67" s="351">
        <v>3</v>
      </c>
      <c r="H67" s="351">
        <v>3</v>
      </c>
      <c r="I67" s="352">
        <v>3</v>
      </c>
      <c r="K67" s="257">
        <f>HLOOKUP($D$5,$E$8:$I$99,$A67,FALSE)</f>
        <v>3</v>
      </c>
      <c r="L67" s="202"/>
      <c r="M67" s="203"/>
      <c r="N67" s="203"/>
      <c r="O67" s="203">
        <f>'Manuell filtrering og justering'!D65</f>
        <v>0</v>
      </c>
      <c r="P67" s="204">
        <f>VLOOKUP(C67,'Manuell filtrering og justering'!$A$7:$G$97,'Manuell filtrering og justering'!$G$1,FALSE)</f>
        <v>3</v>
      </c>
      <c r="Q67" s="205">
        <f>IF(SUM(L67:O67)&gt;K67,K67,SUM(L67:O67))</f>
        <v>0</v>
      </c>
      <c r="R67" s="206">
        <f>IF($S$4='Manuell filtrering og justering'!$I$2,P67,(K67-Q67))</f>
        <v>3</v>
      </c>
      <c r="T67" s="207">
        <f>(BP_39/Wst_Credits)*Wst01_credits</f>
        <v>3.7499999999999999E-2</v>
      </c>
      <c r="U67" s="207">
        <f>(Wst01_27/Wst01_credits)*Wst01_user</f>
        <v>0</v>
      </c>
      <c r="W67" s="259">
        <f>IF(VLOOKUP(D67,'Pre-Assessment Estimator'!$C$10:$W$100,'Pre-Assessment Estimator'!$E$2,FALSE)&gt;R67,R67,VLOOKUP(D67,'Pre-Assessment Estimator'!$C$10:$W$100,'Pre-Assessment Estimator'!$E$2,FALSE))</f>
        <v>0</v>
      </c>
      <c r="X67" s="208">
        <f>IF(VLOOKUP(D67,'Pre-Assessment Estimator'!$C$10:$W$100,'Pre-Assessment Estimator'!$L$2,FALSE)&gt;R67,R67,VLOOKUP(D67,'Pre-Assessment Estimator'!$C$10:$W$100,'Pre-Assessment Estimator'!$L$2,FALSE))</f>
        <v>0</v>
      </c>
      <c r="Y67" s="208">
        <f>IF(VLOOKUP(D67,'Pre-Assessment Estimator'!$C$10:$W$100,'Pre-Assessment Estimator'!$R$2,FALSE)&gt;R67,R67,VLOOKUP(D67,'Pre-Assessment Estimator'!$C$10:$W$100,'Pre-Assessment Estimator'!$R$2,FALSE))</f>
        <v>0</v>
      </c>
      <c r="AA67" s="209"/>
      <c r="AB67" s="358"/>
      <c r="AC67" s="358"/>
      <c r="AD67" s="358"/>
      <c r="AE67" s="210">
        <v>1</v>
      </c>
      <c r="AF67" s="169"/>
      <c r="AG67" s="209"/>
      <c r="AH67" s="358"/>
      <c r="AI67" s="358"/>
      <c r="AJ67" s="358"/>
      <c r="AK67" s="210">
        <v>1</v>
      </c>
      <c r="AM67" s="211"/>
      <c r="AN67" s="212"/>
      <c r="AO67" s="212"/>
      <c r="AP67" s="212"/>
      <c r="AQ67" s="275">
        <f t="shared" si="0"/>
        <v>1</v>
      </c>
      <c r="AR67" s="211">
        <f t="shared" si="14"/>
        <v>4</v>
      </c>
      <c r="AS67" s="214" t="str">
        <f>VLOOKUP(AR67,$BB$8:$BC$14,2,FALSE)</f>
        <v>Excellent</v>
      </c>
      <c r="AT67" s="215"/>
      <c r="AU67" s="211">
        <f>IF(AQ67=0,9,IF(X67&gt;=AQ67,5,IF(X67&gt;=AP67,4,IF(X67&gt;=AO67,3,IF(X67&gt;=AN67,2,IF(X67&lt;AM67,0,1))))))</f>
        <v>4</v>
      </c>
      <c r="AV67" s="214" t="str">
        <f>VLOOKUP(AU67,$BB$8:$BC$14,2,FALSE)</f>
        <v>Excellent</v>
      </c>
      <c r="AW67" s="215"/>
      <c r="AX67" s="211">
        <f t="shared" si="8"/>
        <v>4</v>
      </c>
      <c r="AY67" s="214" t="str">
        <f>VLOOKUP(AX67,$BB$8:$BC$14,2,FALSE)</f>
        <v>Excellent</v>
      </c>
      <c r="AZ67" s="215"/>
      <c r="BK67" s="198" t="str">
        <f t="shared" ref="BK67:BK70" si="61">C67</f>
        <v>Wst 01</v>
      </c>
      <c r="BL67" s="198" t="str">
        <f>IFERROR(VLOOKUP($D67,'Pre-Assessment Estimator'!$C$10:$X$100,'Pre-Assessment Estimator'!X$2,FALSE),"")</f>
        <v>N/A</v>
      </c>
      <c r="BM67" s="198">
        <f>IFERROR(VLOOKUP($D67,'Pre-Assessment Estimator'!$C$10:$AE$100,'Pre-Assessment Estimator'!AE$2,FALSE),"")</f>
        <v>0</v>
      </c>
      <c r="BN67" s="198">
        <f t="shared" si="10"/>
        <v>1</v>
      </c>
      <c r="BO67" s="198">
        <f t="shared" si="11"/>
        <v>0</v>
      </c>
      <c r="BP67" s="198"/>
      <c r="BQ67" s="106" t="s">
        <v>550</v>
      </c>
    </row>
    <row r="68" spans="1:69" x14ac:dyDescent="0.25">
      <c r="A68" s="106">
        <v>61</v>
      </c>
      <c r="C68" s="202" t="s">
        <v>193</v>
      </c>
      <c r="D68" s="354" t="s">
        <v>340</v>
      </c>
      <c r="E68" s="216">
        <v>1</v>
      </c>
      <c r="F68" s="216">
        <v>1</v>
      </c>
      <c r="G68" s="216">
        <v>1</v>
      </c>
      <c r="H68" s="216">
        <v>1</v>
      </c>
      <c r="I68" s="217">
        <v>1</v>
      </c>
      <c r="K68" s="266">
        <f>HLOOKUP($D$5,$E$8:$I$99,$A68,FALSE)</f>
        <v>1</v>
      </c>
      <c r="L68" s="202"/>
      <c r="M68" s="203"/>
      <c r="N68" s="203"/>
      <c r="O68" s="203">
        <f>'Manuell filtrering og justering'!D66</f>
        <v>0</v>
      </c>
      <c r="P68" s="204">
        <f>VLOOKUP(C68,'Manuell filtrering og justering'!$A$7:$G$97,'Manuell filtrering og justering'!$G$1,FALSE)</f>
        <v>1</v>
      </c>
      <c r="Q68" s="205">
        <f t="shared" ref="Q68:Q70" si="62">IF(SUM(L68:O68)&gt;K68,K68,SUM(L68:O68))</f>
        <v>0</v>
      </c>
      <c r="R68" s="206">
        <f>IF($S$4='Manuell filtrering og justering'!$I$2,P68,(K68-Q68))</f>
        <v>1</v>
      </c>
      <c r="T68" s="207">
        <f>(BP_39/Wst_Credits)*Wst02_credits</f>
        <v>1.2499999999999999E-2</v>
      </c>
      <c r="U68" s="207">
        <f>(Wst02_14/Wst02_credits)*Wst02_user</f>
        <v>0</v>
      </c>
      <c r="W68" s="259">
        <f>IF(VLOOKUP(D68,'Pre-Assessment Estimator'!$C$10:$W$100,'Pre-Assessment Estimator'!$E$2,FALSE)&gt;R68,R68,VLOOKUP(D68,'Pre-Assessment Estimator'!$C$10:$W$100,'Pre-Assessment Estimator'!$E$2,FALSE))</f>
        <v>0</v>
      </c>
      <c r="X68" s="208">
        <f>IF(VLOOKUP(D68,'Pre-Assessment Estimator'!$C$10:$W$100,'Pre-Assessment Estimator'!$L$2,FALSE)&gt;R68,R68,VLOOKUP(D68,'Pre-Assessment Estimator'!$C$10:$W$100,'Pre-Assessment Estimator'!$L$2,FALSE))</f>
        <v>0</v>
      </c>
      <c r="Y68" s="208">
        <f>IF(VLOOKUP(D68,'Pre-Assessment Estimator'!$C$10:$W$100,'Pre-Assessment Estimator'!$R$2,FALSE)&gt;R68,R68,VLOOKUP(D68,'Pre-Assessment Estimator'!$C$10:$W$100,'Pre-Assessment Estimator'!$R$2,FALSE))</f>
        <v>0</v>
      </c>
      <c r="AA68" s="360"/>
      <c r="AB68" s="219"/>
      <c r="AC68" s="219"/>
      <c r="AD68" s="219"/>
      <c r="AE68" s="224"/>
      <c r="AF68" s="169"/>
      <c r="AG68" s="360"/>
      <c r="AH68" s="219"/>
      <c r="AI68" s="219"/>
      <c r="AJ68" s="219"/>
      <c r="AK68" s="224"/>
      <c r="AM68" s="220"/>
      <c r="AN68" s="221"/>
      <c r="AO68" s="221"/>
      <c r="AP68" s="221"/>
      <c r="AQ68" s="225">
        <f t="shared" si="0"/>
        <v>0</v>
      </c>
      <c r="AR68" s="220">
        <f t="shared" si="14"/>
        <v>9</v>
      </c>
      <c r="AS68" s="203" t="str">
        <f>VLOOKUP(AR68,$BB$8:$BC$14,2,FALSE)</f>
        <v>N/A</v>
      </c>
      <c r="AT68" s="223"/>
      <c r="AU68" s="220">
        <f>IF(AQ68=0,9,IF(X68&gt;=AQ68,5,IF(X68&gt;=AP68,4,IF(X68&gt;=AO68,3,IF(X68&gt;=AN68,2,IF(X68&lt;AM68,0,1))))))</f>
        <v>9</v>
      </c>
      <c r="AV68" s="203" t="str">
        <f>VLOOKUP(AU68,$BB$8:$BC$14,2,FALSE)</f>
        <v>N/A</v>
      </c>
      <c r="AW68" s="223"/>
      <c r="AX68" s="220">
        <f t="shared" si="8"/>
        <v>9</v>
      </c>
      <c r="AY68" s="203" t="str">
        <f>VLOOKUP(AX68,$BB$8:$BC$14,2,FALSE)</f>
        <v>N/A</v>
      </c>
      <c r="AZ68" s="223"/>
      <c r="BK68" s="354" t="str">
        <f t="shared" si="61"/>
        <v>Wst 02</v>
      </c>
      <c r="BL68" s="354" t="str">
        <f>IFERROR(VLOOKUP($D68,'Pre-Assessment Estimator'!$C$10:$X$100,'Pre-Assessment Estimator'!X$2,FALSE),"")</f>
        <v>N/A</v>
      </c>
      <c r="BM68" s="354">
        <f>IFERROR(VLOOKUP($D68,'Pre-Assessment Estimator'!$C$10:$AE$100,'Pre-Assessment Estimator'!AE$2,FALSE),"")</f>
        <v>0</v>
      </c>
      <c r="BN68" s="354">
        <f t="shared" si="10"/>
        <v>1</v>
      </c>
      <c r="BO68" s="354">
        <f t="shared" si="11"/>
        <v>0</v>
      </c>
      <c r="BP68" s="354"/>
      <c r="BQ68" s="106" t="s">
        <v>550</v>
      </c>
    </row>
    <row r="69" spans="1:69" x14ac:dyDescent="0.25">
      <c r="A69" s="106">
        <v>62</v>
      </c>
      <c r="C69" s="202" t="s">
        <v>194</v>
      </c>
      <c r="D69" s="203" t="s">
        <v>181</v>
      </c>
      <c r="E69" s="216">
        <v>1</v>
      </c>
      <c r="F69" s="216">
        <v>1</v>
      </c>
      <c r="G69" s="216">
        <v>2</v>
      </c>
      <c r="H69" s="216">
        <v>1</v>
      </c>
      <c r="I69" s="217">
        <v>1</v>
      </c>
      <c r="K69" s="266">
        <f>HLOOKUP($D$5,$E$8:$I$99,$A69,FALSE)</f>
        <v>1</v>
      </c>
      <c r="L69" s="202"/>
      <c r="M69" s="203"/>
      <c r="N69" s="203"/>
      <c r="O69" s="203">
        <f>'Manuell filtrering og justering'!D67</f>
        <v>0</v>
      </c>
      <c r="P69" s="204">
        <f>VLOOKUP(C69,'Manuell filtrering og justering'!$A$7:$G$97,'Manuell filtrering og justering'!$G$1,FALSE)</f>
        <v>2</v>
      </c>
      <c r="Q69" s="205">
        <f t="shared" si="62"/>
        <v>0</v>
      </c>
      <c r="R69" s="206">
        <f>IF($S$4='Manuell filtrering og justering'!$I$2,P69,(K69-Q69))</f>
        <v>1</v>
      </c>
      <c r="T69" s="207">
        <f>(BP_39/Wst_Credits)*Wst03_credits</f>
        <v>1.2499999999999999E-2</v>
      </c>
      <c r="U69" s="207">
        <f>(Wst03_12/Wst03_credits)*Wst03_user</f>
        <v>0</v>
      </c>
      <c r="W69" s="259">
        <f>IF(VLOOKUP(D69,'Pre-Assessment Estimator'!$C$10:$W$100,'Pre-Assessment Estimator'!$E$2,FALSE)&gt;R69,R69,VLOOKUP(D69,'Pre-Assessment Estimator'!$C$10:$W$100,'Pre-Assessment Estimator'!$E$2,FALSE))</f>
        <v>0</v>
      </c>
      <c r="X69" s="208">
        <f>IF(VLOOKUP(D69,'Pre-Assessment Estimator'!$C$10:$W$100,'Pre-Assessment Estimator'!$L$2,FALSE)&gt;R69,R69,VLOOKUP(D69,'Pre-Assessment Estimator'!$C$10:$W$100,'Pre-Assessment Estimator'!$L$2,FALSE))</f>
        <v>0</v>
      </c>
      <c r="Y69" s="208">
        <f>IF(VLOOKUP(D69,'Pre-Assessment Estimator'!$C$10:$W$100,'Pre-Assessment Estimator'!$R$2,FALSE)&gt;R69,R69,VLOOKUP(D69,'Pre-Assessment Estimator'!$C$10:$W$100,'Pre-Assessment Estimator'!$R$2,FALSE))</f>
        <v>0</v>
      </c>
      <c r="AA69" s="361"/>
      <c r="AB69" s="362"/>
      <c r="AC69" s="362"/>
      <c r="AD69" s="362">
        <v>1</v>
      </c>
      <c r="AE69" s="363">
        <v>1</v>
      </c>
      <c r="AF69" s="169"/>
      <c r="AG69" s="361"/>
      <c r="AH69" s="362"/>
      <c r="AI69" s="362"/>
      <c r="AJ69" s="362">
        <v>1</v>
      </c>
      <c r="AK69" s="363">
        <v>1</v>
      </c>
      <c r="AM69" s="226"/>
      <c r="AN69" s="227"/>
      <c r="AO69" s="227"/>
      <c r="AP69" s="227">
        <f t="shared" ref="AP69" si="63">IF($D$5=$G$8,AJ69,AD69)</f>
        <v>1</v>
      </c>
      <c r="AQ69" s="228">
        <f t="shared" si="0"/>
        <v>1</v>
      </c>
      <c r="AR69" s="220">
        <f t="shared" si="14"/>
        <v>3</v>
      </c>
      <c r="AS69" s="203" t="str">
        <f>VLOOKUP(AR69,$BB$8:$BC$14,2,FALSE)</f>
        <v>Very Good</v>
      </c>
      <c r="AT69" s="223"/>
      <c r="AU69" s="220">
        <f>IF(AQ69=0,9,IF(X69&gt;=AQ69,5,IF(X69&gt;=AP69,4,IF(X69&gt;=AO69,3,IF(X69&gt;=AN69,2,IF(X69&lt;AM69,0,1))))))</f>
        <v>3</v>
      </c>
      <c r="AV69" s="203" t="str">
        <f>VLOOKUP(AU69,$BB$8:$BC$14,2,FALSE)</f>
        <v>Very Good</v>
      </c>
      <c r="AW69" s="223"/>
      <c r="AX69" s="220">
        <f t="shared" si="8"/>
        <v>3</v>
      </c>
      <c r="AY69" s="203" t="str">
        <f>VLOOKUP(AX69,$BB$8:$BC$14,2,FALSE)</f>
        <v>Very Good</v>
      </c>
      <c r="AZ69" s="223"/>
      <c r="BK69" s="203" t="str">
        <f t="shared" si="61"/>
        <v>Wst 03</v>
      </c>
      <c r="BL69" s="203" t="str">
        <f>IFERROR(VLOOKUP($D69,'Pre-Assessment Estimator'!$C$10:$X$100,'Pre-Assessment Estimator'!X$2,FALSE),"")</f>
        <v>No</v>
      </c>
      <c r="BM69" s="203">
        <f>IFERROR(VLOOKUP($D69,'Pre-Assessment Estimator'!$C$10:$AE$100,'Pre-Assessment Estimator'!AE$2,FALSE),"")</f>
        <v>0</v>
      </c>
      <c r="BN69" s="203">
        <f t="shared" si="10"/>
        <v>1</v>
      </c>
      <c r="BO69" s="203">
        <f t="shared" si="11"/>
        <v>0</v>
      </c>
      <c r="BP69" s="203"/>
      <c r="BQ69" s="106" t="str">
        <f t="shared" si="12"/>
        <v/>
      </c>
    </row>
    <row r="70" spans="1:69" ht="15.75" thickBot="1" x14ac:dyDescent="0.3">
      <c r="A70" s="106">
        <v>63</v>
      </c>
      <c r="C70" s="202" t="s">
        <v>195</v>
      </c>
      <c r="D70" s="203" t="s">
        <v>231</v>
      </c>
      <c r="E70" s="216">
        <v>1</v>
      </c>
      <c r="F70" s="216"/>
      <c r="G70" s="216"/>
      <c r="H70" s="216"/>
      <c r="I70" s="217"/>
      <c r="K70" s="266">
        <f>HLOOKUP($D$5,$E$8:$I$99,$A70,FALSE)</f>
        <v>1</v>
      </c>
      <c r="L70" s="202"/>
      <c r="M70" s="203"/>
      <c r="N70" s="203"/>
      <c r="O70" s="203">
        <f>'Manuell filtrering og justering'!D68</f>
        <v>0</v>
      </c>
      <c r="P70" s="204">
        <f>VLOOKUP(C70,'Manuell filtrering og justering'!$A$7:$G$97,'Manuell filtrering og justering'!$G$1,FALSE)</f>
        <v>0</v>
      </c>
      <c r="Q70" s="205">
        <f t="shared" si="62"/>
        <v>0</v>
      </c>
      <c r="R70" s="206">
        <f>IF($S$4='Manuell filtrering og justering'!$I$2,P70,(K70-Q70))</f>
        <v>1</v>
      </c>
      <c r="T70" s="207">
        <f>(BP_39/Wst_Credits)*Wst04_credits</f>
        <v>1.2499999999999999E-2</v>
      </c>
      <c r="U70" s="207">
        <f>IFERROR((Wst04_08/Wst04_credits)*Wst04_user,0)</f>
        <v>0</v>
      </c>
      <c r="W70" s="259">
        <f>IF(VLOOKUP(D70,'Pre-Assessment Estimator'!$C$10:$W$100,'Pre-Assessment Estimator'!$E$2,FALSE)&gt;R70,R70,VLOOKUP(D70,'Pre-Assessment Estimator'!$C$10:$W$100,'Pre-Assessment Estimator'!$E$2,FALSE))</f>
        <v>0</v>
      </c>
      <c r="X70" s="208">
        <f>IF(VLOOKUP(D70,'Pre-Assessment Estimator'!$C$10:$W$100,'Pre-Assessment Estimator'!$L$2,FALSE)&gt;R70,R70,VLOOKUP(D70,'Pre-Assessment Estimator'!$C$10:$W$100,'Pre-Assessment Estimator'!$L$2,FALSE))</f>
        <v>0</v>
      </c>
      <c r="Y70" s="208">
        <f>IF(VLOOKUP(D70,'Pre-Assessment Estimator'!$C$10:$W$100,'Pre-Assessment Estimator'!$R$2,FALSE)&gt;R70,R70,VLOOKUP(D70,'Pre-Assessment Estimator'!$C$10:$W$100,'Pre-Assessment Estimator'!$R$2,FALSE))</f>
        <v>0</v>
      </c>
      <c r="AA70" s="364"/>
      <c r="AB70" s="365"/>
      <c r="AC70" s="365"/>
      <c r="AD70" s="365"/>
      <c r="AE70" s="366"/>
      <c r="AF70" s="169"/>
      <c r="AG70" s="364"/>
      <c r="AH70" s="365"/>
      <c r="AI70" s="365"/>
      <c r="AJ70" s="365"/>
      <c r="AK70" s="366"/>
      <c r="AM70" s="237"/>
      <c r="AN70" s="239"/>
      <c r="AO70" s="239"/>
      <c r="AP70" s="239"/>
      <c r="AQ70" s="240">
        <f t="shared" ref="AQ70:AQ96" si="64">IF($D$5=$G$8,AK70,AE70)</f>
        <v>0</v>
      </c>
      <c r="AR70" s="241">
        <f t="shared" si="14"/>
        <v>9</v>
      </c>
      <c r="AS70" s="242" t="str">
        <f>VLOOKUP(AR70,$BB$8:$BC$14,2,FALSE)</f>
        <v>N/A</v>
      </c>
      <c r="AT70" s="243"/>
      <c r="AU70" s="241">
        <f>IF(AQ70=0,9,IF(X70&gt;=AQ70,5,IF(X70&gt;=AP70,4,IF(X70&gt;=AO70,3,IF(X70&gt;=AN70,2,IF(X70&lt;AM70,0,1))))))</f>
        <v>9</v>
      </c>
      <c r="AV70" s="242" t="str">
        <f>VLOOKUP(AU70,$BB$8:$BC$14,2,FALSE)</f>
        <v>N/A</v>
      </c>
      <c r="AW70" s="243"/>
      <c r="AX70" s="241">
        <f t="shared" si="8"/>
        <v>9</v>
      </c>
      <c r="AY70" s="242" t="str">
        <f>VLOOKUP(AX70,$BB$8:$BC$14,2,FALSE)</f>
        <v>N/A</v>
      </c>
      <c r="AZ70" s="243"/>
      <c r="BK70" s="203" t="str">
        <f t="shared" si="61"/>
        <v>Wst 04</v>
      </c>
      <c r="BL70" s="203" t="str">
        <f>IFERROR(VLOOKUP($D70,'Pre-Assessment Estimator'!$C$10:$X$100,'Pre-Assessment Estimator'!X$2,FALSE),"")</f>
        <v>No</v>
      </c>
      <c r="BM70" s="203">
        <f>IFERROR(VLOOKUP($D70,'Pre-Assessment Estimator'!$C$10:$AE$100,'Pre-Assessment Estimator'!AE$2,FALSE),"")</f>
        <v>0</v>
      </c>
      <c r="BN70" s="203">
        <f t="shared" si="10"/>
        <v>1</v>
      </c>
      <c r="BO70" s="203">
        <f t="shared" si="11"/>
        <v>0</v>
      </c>
      <c r="BP70" s="203"/>
      <c r="BQ70" s="106" t="str">
        <f t="shared" si="12"/>
        <v/>
      </c>
    </row>
    <row r="71" spans="1:69" ht="15.75" thickBot="1" x14ac:dyDescent="0.3">
      <c r="A71" s="106">
        <v>64</v>
      </c>
      <c r="C71" s="244"/>
      <c r="D71" s="245" t="s">
        <v>230</v>
      </c>
      <c r="E71" s="245">
        <f>SUM(E67:E70)</f>
        <v>6</v>
      </c>
      <c r="F71" s="245">
        <f>SUM(F67:F70)</f>
        <v>5</v>
      </c>
      <c r="G71" s="245">
        <f>SUM(G67:G70)</f>
        <v>6</v>
      </c>
      <c r="H71" s="245">
        <f>SUM(H67:H70)</f>
        <v>5</v>
      </c>
      <c r="I71" s="246">
        <f>SUM(I67:I70)</f>
        <v>5</v>
      </c>
      <c r="K71" s="272">
        <f>HLOOKUP($D$5,$E$8:$I$99,$A71,FALSE)</f>
        <v>6</v>
      </c>
      <c r="L71" s="248"/>
      <c r="M71" s="249"/>
      <c r="N71" s="249"/>
      <c r="O71" s="249"/>
      <c r="P71" s="250"/>
      <c r="Q71" s="251">
        <f>SUM(Q67:Q70)</f>
        <v>0</v>
      </c>
      <c r="R71" s="273">
        <f>SUM(R67:R70)</f>
        <v>6</v>
      </c>
      <c r="T71" s="253">
        <f>SUM(T67:T70)</f>
        <v>7.4999999999999997E-2</v>
      </c>
      <c r="U71" s="253">
        <f>SUM(U67:U70)</f>
        <v>0</v>
      </c>
      <c r="W71" s="19">
        <f>SUM(W67:W70)</f>
        <v>0</v>
      </c>
      <c r="X71" s="19">
        <f t="shared" ref="X71:Y71" si="65">SUM(X67:X70)</f>
        <v>0</v>
      </c>
      <c r="Y71" s="19">
        <f t="shared" si="65"/>
        <v>0</v>
      </c>
      <c r="AA71" s="169"/>
      <c r="AB71" s="169"/>
      <c r="AC71" s="169"/>
      <c r="AD71" s="169"/>
      <c r="AE71" s="169"/>
      <c r="AF71" s="169"/>
      <c r="AG71" s="169"/>
      <c r="AH71" s="169"/>
      <c r="AI71" s="169"/>
      <c r="AJ71" s="169"/>
      <c r="AK71" s="169"/>
      <c r="AM71" s="107"/>
      <c r="AN71" s="254"/>
      <c r="AO71" s="107"/>
      <c r="AP71" s="107"/>
      <c r="AQ71" s="107"/>
      <c r="BK71" s="245"/>
      <c r="BL71" s="245" t="str">
        <f>IFERROR(VLOOKUP($D71,'Pre-Assessment Estimator'!$C$10:$X$100,'Pre-Assessment Estimator'!X$2,FALSE),"")</f>
        <v/>
      </c>
      <c r="BM71" s="245" t="str">
        <f>IFERROR(VLOOKUP($D71,'Pre-Assessment Estimator'!$C$10:$AE$100,'Pre-Assessment Estimator'!AE$2,FALSE),"")</f>
        <v/>
      </c>
      <c r="BN71" s="245" t="str">
        <f t="shared" si="10"/>
        <v/>
      </c>
      <c r="BO71" s="245" t="str">
        <f t="shared" si="11"/>
        <v/>
      </c>
      <c r="BP71" s="245"/>
      <c r="BQ71" s="106" t="str">
        <f t="shared" si="12"/>
        <v/>
      </c>
    </row>
    <row r="72" spans="1:69" ht="15.75" thickBot="1" x14ac:dyDescent="0.3">
      <c r="A72" s="106">
        <v>65</v>
      </c>
      <c r="W72" s="3"/>
      <c r="X72" s="3"/>
      <c r="Y72" s="3"/>
      <c r="AA72" s="169"/>
      <c r="AB72" s="169"/>
      <c r="AC72" s="169"/>
      <c r="AD72" s="169"/>
      <c r="AE72" s="169"/>
      <c r="AF72" s="169"/>
      <c r="AG72" s="169"/>
      <c r="AH72" s="169"/>
      <c r="AI72" s="169"/>
      <c r="AJ72" s="169"/>
      <c r="AK72" s="169"/>
      <c r="AM72" s="107"/>
      <c r="AN72" s="107"/>
      <c r="AO72" s="107"/>
      <c r="AP72" s="107"/>
      <c r="AQ72" s="107"/>
      <c r="BL72" s="106" t="str">
        <f>IFERROR(VLOOKUP($D72,'Pre-Assessment Estimator'!$C$10:$X$100,'Pre-Assessment Estimator'!X$2,FALSE),"")</f>
        <v/>
      </c>
      <c r="BM72" s="106" t="str">
        <f>IFERROR(VLOOKUP($D72,'Pre-Assessment Estimator'!$C$10:$AE$100,'Pre-Assessment Estimator'!AE$2,FALSE),"")</f>
        <v/>
      </c>
      <c r="BN72" s="106" t="str">
        <f t="shared" si="10"/>
        <v/>
      </c>
      <c r="BO72" s="106" t="str">
        <f t="shared" si="11"/>
        <v/>
      </c>
      <c r="BQ72" s="106" t="str">
        <f t="shared" si="12"/>
        <v/>
      </c>
    </row>
    <row r="73" spans="1:69" ht="15.75" thickBot="1" x14ac:dyDescent="0.3">
      <c r="A73" s="106">
        <v>66</v>
      </c>
      <c r="C73" s="176"/>
      <c r="D73" s="177" t="s">
        <v>243</v>
      </c>
      <c r="E73" s="178" t="str">
        <f>$E$8</f>
        <v>Office</v>
      </c>
      <c r="F73" s="178" t="str">
        <f>$F$8</f>
        <v>Retail</v>
      </c>
      <c r="G73" s="178" t="str">
        <f>$G$8</f>
        <v>Residential</v>
      </c>
      <c r="H73" s="178" t="str">
        <f>$H$8</f>
        <v>Industrial</v>
      </c>
      <c r="I73" s="179" t="str">
        <f>$I$8</f>
        <v>Education</v>
      </c>
      <c r="K73" s="168" t="str">
        <f>$D$5</f>
        <v>Office</v>
      </c>
      <c r="L73" s="255"/>
      <c r="M73" s="256"/>
      <c r="N73" s="256"/>
      <c r="O73" s="256"/>
      <c r="P73" s="444" t="s">
        <v>405</v>
      </c>
      <c r="Q73" s="183" t="s">
        <v>230</v>
      </c>
      <c r="R73" s="168"/>
      <c r="W73" s="44"/>
      <c r="X73" s="64"/>
      <c r="Y73" s="64"/>
      <c r="AA73" s="169"/>
      <c r="AB73" s="169"/>
      <c r="AC73" s="169"/>
      <c r="AD73" s="169"/>
      <c r="AE73" s="169"/>
      <c r="AF73" s="169"/>
      <c r="AG73" s="169"/>
      <c r="AH73" s="169"/>
      <c r="AI73" s="169"/>
      <c r="AJ73" s="169"/>
      <c r="AK73" s="169"/>
      <c r="AM73" s="107"/>
      <c r="AN73" s="107"/>
      <c r="AO73" s="107"/>
      <c r="AP73" s="107"/>
      <c r="AQ73" s="107"/>
      <c r="BK73" s="177"/>
      <c r="BL73" s="177" t="str">
        <f>D73</f>
        <v>Land &amp; Ecology</v>
      </c>
      <c r="BM73" s="177" t="str">
        <f>IFERROR(VLOOKUP($D73,'Pre-Assessment Estimator'!$C$10:$AE$100,'Pre-Assessment Estimator'!AE$2,FALSE),"")</f>
        <v/>
      </c>
      <c r="BN73" s="177" t="str">
        <f t="shared" si="10"/>
        <v/>
      </c>
      <c r="BO73" s="177" t="str">
        <f t="shared" si="11"/>
        <v/>
      </c>
      <c r="BP73" s="177"/>
      <c r="BQ73" s="106" t="str">
        <f t="shared" si="12"/>
        <v/>
      </c>
    </row>
    <row r="74" spans="1:69" x14ac:dyDescent="0.25">
      <c r="A74" s="106">
        <v>67</v>
      </c>
      <c r="C74" s="197" t="s">
        <v>196</v>
      </c>
      <c r="D74" s="198" t="s">
        <v>173</v>
      </c>
      <c r="E74" s="199">
        <v>3</v>
      </c>
      <c r="F74" s="199">
        <v>3</v>
      </c>
      <c r="G74" s="199">
        <v>3</v>
      </c>
      <c r="H74" s="199">
        <v>3</v>
      </c>
      <c r="I74" s="200">
        <v>3</v>
      </c>
      <c r="K74" s="257">
        <f t="shared" ref="K74:K79" si="66">HLOOKUP($D$5,$E$8:$I$99,$A74,FALSE)</f>
        <v>3</v>
      </c>
      <c r="L74" s="202"/>
      <c r="M74" s="203"/>
      <c r="N74" s="203"/>
      <c r="O74" s="203">
        <f>'Manuell filtrering og justering'!D72</f>
        <v>0</v>
      </c>
      <c r="P74" s="204">
        <f>VLOOKUP(C74,'Manuell filtrering og justering'!$A$7:$G$97,'Manuell filtrering og justering'!$G$1,FALSE)</f>
        <v>3</v>
      </c>
      <c r="Q74" s="205">
        <f>IF(SUM(L74:O74)&gt;K74,K74,SUM(L74:O74))</f>
        <v>0</v>
      </c>
      <c r="R74" s="206">
        <f>IF($S$4='Manuell filtrering og justering'!$I$2,P74,(K74-Q74))</f>
        <v>3</v>
      </c>
      <c r="T74" s="207">
        <f>(BP_40/LE_Credits)*LE01_credits</f>
        <v>0.03</v>
      </c>
      <c r="U74" s="207">
        <f>(LE01_07/LE01_credits)*LE01_user</f>
        <v>0</v>
      </c>
      <c r="W74" s="259">
        <f>IF(VLOOKUP(D74,'Pre-Assessment Estimator'!$C$10:$W$100,'Pre-Assessment Estimator'!$E$2,FALSE)&gt;R74,R74,VLOOKUP(D74,'Pre-Assessment Estimator'!$C$10:$W$100,'Pre-Assessment Estimator'!$E$2,FALSE))</f>
        <v>0</v>
      </c>
      <c r="X74" s="208">
        <f>IF(VLOOKUP(D74,'Pre-Assessment Estimator'!$C$10:$W$100,'Pre-Assessment Estimator'!$L$2,FALSE)&gt;R74,R74,VLOOKUP(D74,'Pre-Assessment Estimator'!$C$10:$W$100,'Pre-Assessment Estimator'!$L$2,FALSE))</f>
        <v>0</v>
      </c>
      <c r="Y74" s="208">
        <f>IF(VLOOKUP(D74,'Pre-Assessment Estimator'!$C$10:$W$100,'Pre-Assessment Estimator'!$R$2,FALSE)&gt;R74,R74,VLOOKUP(D74,'Pre-Assessment Estimator'!$C$10:$W$100,'Pre-Assessment Estimator'!$R$2,FALSE))</f>
        <v>0</v>
      </c>
      <c r="AA74" s="367"/>
      <c r="AB74" s="368"/>
      <c r="AC74" s="368"/>
      <c r="AD74" s="368"/>
      <c r="AE74" s="369"/>
      <c r="AF74" s="169"/>
      <c r="AG74" s="367"/>
      <c r="AH74" s="368"/>
      <c r="AI74" s="368"/>
      <c r="AJ74" s="368"/>
      <c r="AK74" s="369"/>
      <c r="AM74" s="263"/>
      <c r="AN74" s="264"/>
      <c r="AO74" s="264"/>
      <c r="AP74" s="264"/>
      <c r="AQ74" s="265">
        <f t="shared" si="64"/>
        <v>0</v>
      </c>
      <c r="AR74" s="211">
        <f t="shared" si="14"/>
        <v>9</v>
      </c>
      <c r="AS74" s="214" t="str">
        <f>VLOOKUP(AR74,$BB$8:$BC$14,2,FALSE)</f>
        <v>N/A</v>
      </c>
      <c r="AT74" s="215"/>
      <c r="AU74" s="211">
        <f>IF(AQ74=0,9,IF(X74&gt;=AQ74,5,IF(X74&gt;=AP74,4,IF(X74&gt;=AO74,3,IF(X74&gt;=AN74,2,IF(X74&lt;AM74,0,1))))))</f>
        <v>9</v>
      </c>
      <c r="AV74" s="214" t="str">
        <f>VLOOKUP(AU74,$BB$8:$BC$14,2,FALSE)</f>
        <v>N/A</v>
      </c>
      <c r="AW74" s="215"/>
      <c r="AX74" s="211">
        <f t="shared" ref="AX74:AX98" si="67">IF(AQ74=0,9,IF(Y74&gt;=AQ74,5,IF(Y74&gt;=AP74,4,IF(Y74&gt;=AO74,3,IF(Y74&gt;=AN74,2,IF(Y74&lt;AM74,0,1))))))</f>
        <v>9</v>
      </c>
      <c r="AY74" s="214" t="str">
        <f>VLOOKUP(AX74,$BB$8:$BC$14,2,FALSE)</f>
        <v>N/A</v>
      </c>
      <c r="AZ74" s="215"/>
      <c r="BK74" s="198" t="str">
        <f t="shared" ref="BK74:BK78" si="68">C74</f>
        <v>LE 01</v>
      </c>
      <c r="BL74" s="198" t="str">
        <f>IFERROR(VLOOKUP($D74,'Pre-Assessment Estimator'!$C$10:$X$100,'Pre-Assessment Estimator'!X$2,FALSE),"")</f>
        <v>N/A</v>
      </c>
      <c r="BM74" s="198">
        <f>IFERROR(VLOOKUP($D74,'Pre-Assessment Estimator'!$C$10:$AE$100,'Pre-Assessment Estimator'!AE$2,FALSE),"")</f>
        <v>0</v>
      </c>
      <c r="BN74" s="198">
        <f t="shared" ref="BN74:BN104" si="69">IFERROR(VLOOKUP($BL74,$D$140:$G$173,E$138,FALSE),"")</f>
        <v>1</v>
      </c>
      <c r="BO74" s="198">
        <f t="shared" ref="BO74:BO104" si="70">IFERROR(VLOOKUP($BL74,$D$140:$G$173,F$138,FALSE),"")</f>
        <v>0</v>
      </c>
      <c r="BP74" s="198"/>
      <c r="BQ74" s="106" t="str">
        <f t="shared" ref="BQ74:BQ104" si="71">IFERROR(VLOOKUP($BL74,$D$140:$G$173,H$138,FALSE),"")</f>
        <v/>
      </c>
    </row>
    <row r="75" spans="1:69" x14ac:dyDescent="0.25">
      <c r="A75" s="106">
        <v>68</v>
      </c>
      <c r="C75" s="202" t="s">
        <v>197</v>
      </c>
      <c r="D75" s="203" t="s">
        <v>174</v>
      </c>
      <c r="E75" s="216">
        <v>2</v>
      </c>
      <c r="F75" s="216">
        <v>2</v>
      </c>
      <c r="G75" s="216">
        <v>2</v>
      </c>
      <c r="H75" s="216">
        <v>2</v>
      </c>
      <c r="I75" s="217">
        <v>2</v>
      </c>
      <c r="K75" s="266">
        <f t="shared" si="66"/>
        <v>2</v>
      </c>
      <c r="L75" s="202"/>
      <c r="M75" s="203"/>
      <c r="N75" s="203"/>
      <c r="O75" s="203">
        <f>'Manuell filtrering og justering'!D73</f>
        <v>0</v>
      </c>
      <c r="P75" s="204">
        <f>VLOOKUP(C75,'Manuell filtrering og justering'!$A$7:$G$97,'Manuell filtrering og justering'!$G$1,FALSE)</f>
        <v>2</v>
      </c>
      <c r="Q75" s="205">
        <f t="shared" ref="Q75:Q78" si="72">IF(SUM(L75:O75)&gt;K75,K75,SUM(L75:O75))</f>
        <v>0</v>
      </c>
      <c r="R75" s="206">
        <f>IF($S$4='Manuell filtrering og justering'!$I$2,P75,(K75-Q75))</f>
        <v>2</v>
      </c>
      <c r="T75" s="207">
        <f>(BP_40/LE_Credits)*LE02_credits</f>
        <v>0.02</v>
      </c>
      <c r="U75" s="207">
        <f>(LE02_07/LE02_credits)*LE02_user</f>
        <v>0</v>
      </c>
      <c r="W75" s="259">
        <f>IF(VLOOKUP(D75,'Pre-Assessment Estimator'!$C$10:$W$100,'Pre-Assessment Estimator'!$E$2,FALSE)&gt;R75,R75,VLOOKUP(D75,'Pre-Assessment Estimator'!$C$10:$W$100,'Pre-Assessment Estimator'!$E$2,FALSE))</f>
        <v>0</v>
      </c>
      <c r="X75" s="208">
        <f>IF(VLOOKUP(D75,'Pre-Assessment Estimator'!$C$10:$W$100,'Pre-Assessment Estimator'!$L$2,FALSE)&gt;R75,R75,VLOOKUP(D75,'Pre-Assessment Estimator'!$C$10:$W$100,'Pre-Assessment Estimator'!$L$2,FALSE))</f>
        <v>0</v>
      </c>
      <c r="Y75" s="208">
        <f>IF(VLOOKUP(D75,'Pre-Assessment Estimator'!$C$10:$W$100,'Pre-Assessment Estimator'!$R$2,FALSE)&gt;R75,R75,VLOOKUP(D75,'Pre-Assessment Estimator'!$C$10:$W$100,'Pre-Assessment Estimator'!$R$2,FALSE))</f>
        <v>0</v>
      </c>
      <c r="AA75" s="361"/>
      <c r="AB75" s="362"/>
      <c r="AC75" s="362"/>
      <c r="AD75" s="362"/>
      <c r="AE75" s="363"/>
      <c r="AF75" s="169"/>
      <c r="AG75" s="361"/>
      <c r="AH75" s="362"/>
      <c r="AI75" s="362"/>
      <c r="AJ75" s="362"/>
      <c r="AK75" s="363"/>
      <c r="AM75" s="226"/>
      <c r="AN75" s="227"/>
      <c r="AO75" s="227"/>
      <c r="AP75" s="227"/>
      <c r="AQ75" s="228">
        <f t="shared" si="64"/>
        <v>0</v>
      </c>
      <c r="AR75" s="220">
        <f t="shared" ref="AR75:AR98" si="73">IF(AQ75=0,9,IF(W75&gt;=AQ75,5,IF(W75&gt;=AP75,4,IF(W75&gt;=AO75,3,IF(W75&gt;=AN75,2,IF(W75&lt;AM75,0,1))))))</f>
        <v>9</v>
      </c>
      <c r="AS75" s="203" t="str">
        <f>VLOOKUP(AR75,$BB$8:$BC$14,2,FALSE)</f>
        <v>N/A</v>
      </c>
      <c r="AT75" s="223"/>
      <c r="AU75" s="220">
        <f>IF(AQ75=0,9,IF(X75&gt;=AQ75,5,IF(X75&gt;=AP75,4,IF(X75&gt;=AO75,3,IF(X75&gt;=AN75,2,IF(X75&lt;AM75,0,1))))))</f>
        <v>9</v>
      </c>
      <c r="AV75" s="203" t="str">
        <f>VLOOKUP(AU75,$BB$8:$BC$14,2,FALSE)</f>
        <v>N/A</v>
      </c>
      <c r="AW75" s="223"/>
      <c r="AX75" s="220">
        <f t="shared" si="67"/>
        <v>9</v>
      </c>
      <c r="AY75" s="203" t="str">
        <f>VLOOKUP(AX75,$BB$8:$BC$14,2,FALSE)</f>
        <v>N/A</v>
      </c>
      <c r="AZ75" s="223"/>
      <c r="BK75" s="203" t="str">
        <f t="shared" si="68"/>
        <v>LE 02</v>
      </c>
      <c r="BL75" s="203" t="str">
        <f>IFERROR(VLOOKUP($D75,'Pre-Assessment Estimator'!$C$10:$X$100,'Pre-Assessment Estimator'!X$2,FALSE),"")</f>
        <v>N/A</v>
      </c>
      <c r="BM75" s="203">
        <f>IFERROR(VLOOKUP($D75,'Pre-Assessment Estimator'!$C$10:$AE$100,'Pre-Assessment Estimator'!AE$2,FALSE),"")</f>
        <v>0</v>
      </c>
      <c r="BN75" s="203">
        <f t="shared" si="69"/>
        <v>1</v>
      </c>
      <c r="BO75" s="203">
        <f t="shared" si="70"/>
        <v>0</v>
      </c>
      <c r="BP75" s="203"/>
      <c r="BQ75" s="106" t="str">
        <f t="shared" si="71"/>
        <v/>
      </c>
    </row>
    <row r="76" spans="1:69" x14ac:dyDescent="0.25">
      <c r="A76" s="106">
        <v>69</v>
      </c>
      <c r="C76" s="202" t="s">
        <v>198</v>
      </c>
      <c r="D76" s="203" t="s">
        <v>175</v>
      </c>
      <c r="E76" s="216">
        <v>3</v>
      </c>
      <c r="F76" s="216">
        <v>3</v>
      </c>
      <c r="G76" s="216">
        <v>3</v>
      </c>
      <c r="H76" s="216">
        <v>3</v>
      </c>
      <c r="I76" s="217">
        <v>3</v>
      </c>
      <c r="K76" s="266">
        <f t="shared" si="66"/>
        <v>3</v>
      </c>
      <c r="L76" s="202"/>
      <c r="M76" s="203"/>
      <c r="N76" s="203"/>
      <c r="O76" s="203">
        <f>'Manuell filtrering og justering'!D74</f>
        <v>0</v>
      </c>
      <c r="P76" s="204">
        <f>VLOOKUP(C76,'Manuell filtrering og justering'!$A$7:$G$97,'Manuell filtrering og justering'!$G$1,FALSE)</f>
        <v>3</v>
      </c>
      <c r="Q76" s="205">
        <f t="shared" si="72"/>
        <v>0</v>
      </c>
      <c r="R76" s="206">
        <f>IF($S$4='Manuell filtrering og justering'!$I$2,P76,(K76-Q76))</f>
        <v>3</v>
      </c>
      <c r="T76" s="207">
        <f>(BP_40/LE_Credits)*LE04_credits</f>
        <v>0.03</v>
      </c>
      <c r="U76" s="207">
        <f>(LE04_13/LE04_credits)*LE04_user</f>
        <v>0</v>
      </c>
      <c r="W76" s="259">
        <f>IF(VLOOKUP(D76,'Pre-Assessment Estimator'!$C$10:$W$100,'Pre-Assessment Estimator'!$E$2,FALSE)&gt;R76,R76,VLOOKUP(D76,'Pre-Assessment Estimator'!$C$10:$W$100,'Pre-Assessment Estimator'!$E$2,FALSE))</f>
        <v>0</v>
      </c>
      <c r="X76" s="208">
        <f>IF(VLOOKUP(D76,'Pre-Assessment Estimator'!$C$10:$W$100,'Pre-Assessment Estimator'!$L$2,FALSE)&gt;R76,R76,VLOOKUP(D76,'Pre-Assessment Estimator'!$C$10:$W$100,'Pre-Assessment Estimator'!$L$2,FALSE))</f>
        <v>0</v>
      </c>
      <c r="Y76" s="208">
        <f>IF(VLOOKUP(D76,'Pre-Assessment Estimator'!$C$10:$W$100,'Pre-Assessment Estimator'!$R$2,FALSE)&gt;R76,R76,VLOOKUP(D76,'Pre-Assessment Estimator'!$C$10:$W$100,'Pre-Assessment Estimator'!$R$2,FALSE))</f>
        <v>0</v>
      </c>
      <c r="AA76" s="361"/>
      <c r="AB76" s="362"/>
      <c r="AC76" s="362"/>
      <c r="AD76" s="362"/>
      <c r="AE76" s="363"/>
      <c r="AF76" s="169"/>
      <c r="AG76" s="361"/>
      <c r="AH76" s="362"/>
      <c r="AI76" s="362"/>
      <c r="AJ76" s="362"/>
      <c r="AK76" s="363"/>
      <c r="AM76" s="226"/>
      <c r="AN76" s="227"/>
      <c r="AO76" s="227"/>
      <c r="AP76" s="227"/>
      <c r="AQ76" s="228">
        <f t="shared" si="64"/>
        <v>0</v>
      </c>
      <c r="AR76" s="220">
        <f t="shared" si="73"/>
        <v>9</v>
      </c>
      <c r="AS76" s="203" t="str">
        <f>VLOOKUP(AR76,$BB$8:$BC$14,2,FALSE)</f>
        <v>N/A</v>
      </c>
      <c r="AT76" s="223"/>
      <c r="AU76" s="220">
        <f>IF(AQ76=0,9,IF(X76&gt;=AQ76,5,IF(X76&gt;=AP76,4,IF(X76&gt;=AO76,3,IF(X76&gt;=AN76,2,IF(X76&lt;AM76,0,1))))))</f>
        <v>9</v>
      </c>
      <c r="AV76" s="203" t="str">
        <f>VLOOKUP(AU76,$BB$8:$BC$14,2,FALSE)</f>
        <v>N/A</v>
      </c>
      <c r="AW76" s="223"/>
      <c r="AX76" s="220">
        <f t="shared" si="67"/>
        <v>9</v>
      </c>
      <c r="AY76" s="203" t="str">
        <f>VLOOKUP(AX76,$BB$8:$BC$14,2,FALSE)</f>
        <v>N/A</v>
      </c>
      <c r="AZ76" s="223"/>
      <c r="BK76" s="203" t="str">
        <f t="shared" si="68"/>
        <v>LE 04</v>
      </c>
      <c r="BL76" s="203" t="str">
        <f>IFERROR(VLOOKUP($D76,'Pre-Assessment Estimator'!$C$10:$X$100,'Pre-Assessment Estimator'!X$2,FALSE),"")</f>
        <v>N/A</v>
      </c>
      <c r="BM76" s="203">
        <f>IFERROR(VLOOKUP($D76,'Pre-Assessment Estimator'!$C$10:$AE$100,'Pre-Assessment Estimator'!AE$2,FALSE),"")</f>
        <v>0</v>
      </c>
      <c r="BN76" s="203">
        <f t="shared" si="69"/>
        <v>1</v>
      </c>
      <c r="BO76" s="203">
        <f t="shared" si="70"/>
        <v>0</v>
      </c>
      <c r="BP76" s="203"/>
      <c r="BQ76" s="106" t="str">
        <f t="shared" si="71"/>
        <v/>
      </c>
    </row>
    <row r="77" spans="1:69" x14ac:dyDescent="0.25">
      <c r="A77" s="106">
        <v>70</v>
      </c>
      <c r="C77" s="202" t="s">
        <v>199</v>
      </c>
      <c r="D77" s="203" t="s">
        <v>176</v>
      </c>
      <c r="E77" s="216">
        <v>2</v>
      </c>
      <c r="F77" s="216">
        <v>2</v>
      </c>
      <c r="G77" s="216">
        <v>2</v>
      </c>
      <c r="H77" s="216">
        <v>2</v>
      </c>
      <c r="I77" s="217">
        <v>2</v>
      </c>
      <c r="K77" s="266">
        <f t="shared" si="66"/>
        <v>2</v>
      </c>
      <c r="L77" s="202"/>
      <c r="M77" s="203"/>
      <c r="N77" s="203"/>
      <c r="O77" s="203">
        <f>'Manuell filtrering og justering'!D75</f>
        <v>0</v>
      </c>
      <c r="P77" s="204">
        <f>VLOOKUP(C77,'Manuell filtrering og justering'!$A$7:$G$97,'Manuell filtrering og justering'!$G$1,FALSE)</f>
        <v>2</v>
      </c>
      <c r="Q77" s="205">
        <f t="shared" si="72"/>
        <v>0</v>
      </c>
      <c r="R77" s="206">
        <f>IF($S$4='Manuell filtrering og justering'!$I$2,P77,(K77-Q77))</f>
        <v>2</v>
      </c>
      <c r="T77" s="207">
        <f>(BP_40/LE_Credits)*LE05_credits</f>
        <v>0.02</v>
      </c>
      <c r="U77" s="207">
        <f>(LE05_14/LE05_credits)*LE05_user</f>
        <v>0</v>
      </c>
      <c r="W77" s="259">
        <f>IF(VLOOKUP(D77,'Pre-Assessment Estimator'!$C$10:$W$100,'Pre-Assessment Estimator'!$E$2,FALSE)&gt;R77,R77,VLOOKUP(D77,'Pre-Assessment Estimator'!$C$10:$W$100,'Pre-Assessment Estimator'!$E$2,FALSE))</f>
        <v>0</v>
      </c>
      <c r="X77" s="208">
        <f>IF(VLOOKUP(D77,'Pre-Assessment Estimator'!$C$10:$W$100,'Pre-Assessment Estimator'!$L$2,FALSE)&gt;R77,R77,VLOOKUP(D77,'Pre-Assessment Estimator'!$C$10:$W$100,'Pre-Assessment Estimator'!$L$2,FALSE))</f>
        <v>0</v>
      </c>
      <c r="Y77" s="208">
        <f>IF(VLOOKUP(D77,'Pre-Assessment Estimator'!$C$10:$W$100,'Pre-Assessment Estimator'!$R$2,FALSE)&gt;R77,R77,VLOOKUP(D77,'Pre-Assessment Estimator'!$C$10:$W$100,'Pre-Assessment Estimator'!$R$2,FALSE))</f>
        <v>0</v>
      </c>
      <c r="AA77" s="361"/>
      <c r="AB77" s="362"/>
      <c r="AC77" s="362"/>
      <c r="AD77" s="362"/>
      <c r="AE77" s="363"/>
      <c r="AF77" s="169"/>
      <c r="AG77" s="361"/>
      <c r="AH77" s="362"/>
      <c r="AI77" s="362"/>
      <c r="AJ77" s="362"/>
      <c r="AK77" s="363"/>
      <c r="AM77" s="226"/>
      <c r="AN77" s="227"/>
      <c r="AO77" s="227"/>
      <c r="AP77" s="227"/>
      <c r="AQ77" s="228">
        <f t="shared" si="64"/>
        <v>0</v>
      </c>
      <c r="AR77" s="220">
        <f t="shared" si="73"/>
        <v>9</v>
      </c>
      <c r="AS77" s="203" t="str">
        <f>VLOOKUP(AR77,$BB$8:$BC$14,2,FALSE)</f>
        <v>N/A</v>
      </c>
      <c r="AT77" s="223"/>
      <c r="AU77" s="220">
        <f>IF(AQ77=0,9,IF(X77&gt;=AQ77,5,IF(X77&gt;=AP77,4,IF(X77&gt;=AO77,3,IF(X77&gt;=AN77,2,IF(X77&lt;AM77,0,1))))))</f>
        <v>9</v>
      </c>
      <c r="AV77" s="203" t="str">
        <f>VLOOKUP(AU77,$BB$8:$BC$14,2,FALSE)</f>
        <v>N/A</v>
      </c>
      <c r="AW77" s="223"/>
      <c r="AX77" s="220">
        <f t="shared" si="67"/>
        <v>9</v>
      </c>
      <c r="AY77" s="203" t="str">
        <f>VLOOKUP(AX77,$BB$8:$BC$14,2,FALSE)</f>
        <v>N/A</v>
      </c>
      <c r="AZ77" s="223"/>
      <c r="BK77" s="203" t="str">
        <f t="shared" si="68"/>
        <v>LE 05</v>
      </c>
      <c r="BL77" s="203" t="str">
        <f>IFERROR(VLOOKUP($D77,'Pre-Assessment Estimator'!$C$10:$X$100,'Pre-Assessment Estimator'!X$2,FALSE),"")</f>
        <v>N/A</v>
      </c>
      <c r="BM77" s="203">
        <f>IFERROR(VLOOKUP($D77,'Pre-Assessment Estimator'!$C$10:$AE$100,'Pre-Assessment Estimator'!AE$2,FALSE),"")</f>
        <v>0</v>
      </c>
      <c r="BN77" s="203">
        <f t="shared" si="69"/>
        <v>1</v>
      </c>
      <c r="BO77" s="203">
        <f t="shared" si="70"/>
        <v>0</v>
      </c>
      <c r="BP77" s="203"/>
      <c r="BQ77" s="106" t="str">
        <f t="shared" si="71"/>
        <v/>
      </c>
    </row>
    <row r="78" spans="1:69" ht="15.75" thickBot="1" x14ac:dyDescent="0.3">
      <c r="A78" s="106">
        <v>71</v>
      </c>
      <c r="C78" s="202" t="s">
        <v>200</v>
      </c>
      <c r="D78" s="203" t="s">
        <v>182</v>
      </c>
      <c r="E78" s="216"/>
      <c r="F78" s="216"/>
      <c r="G78" s="216">
        <v>2</v>
      </c>
      <c r="H78" s="216"/>
      <c r="I78" s="217"/>
      <c r="K78" s="266">
        <f t="shared" si="66"/>
        <v>0</v>
      </c>
      <c r="L78" s="202"/>
      <c r="M78" s="203"/>
      <c r="N78" s="203"/>
      <c r="O78" s="203">
        <f>'Manuell filtrering og justering'!D76</f>
        <v>0</v>
      </c>
      <c r="P78" s="204">
        <f>VLOOKUP(C78,'Manuell filtrering og justering'!$A$7:$G$97,'Manuell filtrering og justering'!$G$1,FALSE)</f>
        <v>0</v>
      </c>
      <c r="Q78" s="205">
        <f t="shared" si="72"/>
        <v>0</v>
      </c>
      <c r="R78" s="206">
        <f>IF($S$4='Manuell filtrering og justering'!$I$2,P78,(K78-Q78))</f>
        <v>0</v>
      </c>
      <c r="T78" s="207">
        <f>(BP_40/LE_Credits)*LE06_credits</f>
        <v>0</v>
      </c>
      <c r="U78" s="207">
        <f>IFERROR((T78/LE06_credits)*LE06_user,0)</f>
        <v>0</v>
      </c>
      <c r="W78" s="259">
        <f>IF(VLOOKUP(D78,'Pre-Assessment Estimator'!$C$10:$W$100,'Pre-Assessment Estimator'!$E$2,FALSE)&gt;R78,R78,VLOOKUP(D78,'Pre-Assessment Estimator'!$C$10:$W$100,'Pre-Assessment Estimator'!$E$2,FALSE))</f>
        <v>0</v>
      </c>
      <c r="X78" s="208">
        <f>IF(VLOOKUP(D78,'Pre-Assessment Estimator'!$C$10:$W$100,'Pre-Assessment Estimator'!$L$2,FALSE)&gt;R78,R78,VLOOKUP(D78,'Pre-Assessment Estimator'!$C$10:$W$100,'Pre-Assessment Estimator'!$L$2,FALSE))</f>
        <v>0</v>
      </c>
      <c r="Y78" s="208">
        <f>IF(VLOOKUP(D78,'Pre-Assessment Estimator'!$C$10:$W$100,'Pre-Assessment Estimator'!$R$2,FALSE)&gt;R78,R78,VLOOKUP(D78,'Pre-Assessment Estimator'!$C$10:$W$100,'Pre-Assessment Estimator'!$R$2,FALSE))</f>
        <v>0</v>
      </c>
      <c r="AA78" s="364"/>
      <c r="AB78" s="365"/>
      <c r="AC78" s="365"/>
      <c r="AD78" s="365"/>
      <c r="AE78" s="366"/>
      <c r="AF78" s="169"/>
      <c r="AG78" s="364"/>
      <c r="AH78" s="365"/>
      <c r="AI78" s="365"/>
      <c r="AJ78" s="365"/>
      <c r="AK78" s="366"/>
      <c r="AM78" s="237"/>
      <c r="AN78" s="239"/>
      <c r="AO78" s="239"/>
      <c r="AP78" s="239"/>
      <c r="AQ78" s="240">
        <f t="shared" si="64"/>
        <v>0</v>
      </c>
      <c r="AR78" s="241">
        <f t="shared" si="73"/>
        <v>9</v>
      </c>
      <c r="AS78" s="242" t="str">
        <f>VLOOKUP(AR78,$BB$8:$BC$14,2,FALSE)</f>
        <v>N/A</v>
      </c>
      <c r="AT78" s="243"/>
      <c r="AU78" s="241">
        <f>IF(AQ78=0,9,IF(X78&gt;=AQ78,5,IF(X78&gt;=AP78,4,IF(X78&gt;=AO78,3,IF(X78&gt;=AN78,2,IF(X78&lt;AM78,0,1))))))</f>
        <v>9</v>
      </c>
      <c r="AV78" s="242" t="str">
        <f>VLOOKUP(AU78,$BB$8:$BC$14,2,FALSE)</f>
        <v>N/A</v>
      </c>
      <c r="AW78" s="243"/>
      <c r="AX78" s="241">
        <f t="shared" si="67"/>
        <v>9</v>
      </c>
      <c r="AY78" s="242" t="str">
        <f>VLOOKUP(AX78,$BB$8:$BC$14,2,FALSE)</f>
        <v>N/A</v>
      </c>
      <c r="AZ78" s="243"/>
      <c r="BK78" s="203" t="str">
        <f t="shared" si="68"/>
        <v>LE 06</v>
      </c>
      <c r="BL78" s="203" t="str">
        <f>IFERROR(VLOOKUP($D78,'Pre-Assessment Estimator'!$C$10:$X$100,'Pre-Assessment Estimator'!X$2,FALSE),"")</f>
        <v>N/A</v>
      </c>
      <c r="BM78" s="203">
        <f>IFERROR(VLOOKUP($D78,'Pre-Assessment Estimator'!$C$10:$AE$100,'Pre-Assessment Estimator'!AE$2,FALSE),"")</f>
        <v>0</v>
      </c>
      <c r="BN78" s="203">
        <f t="shared" si="69"/>
        <v>1</v>
      </c>
      <c r="BO78" s="203">
        <f t="shared" si="70"/>
        <v>0</v>
      </c>
      <c r="BP78" s="203"/>
      <c r="BQ78" s="106" t="str">
        <f t="shared" si="71"/>
        <v/>
      </c>
    </row>
    <row r="79" spans="1:69" ht="15.75" thickBot="1" x14ac:dyDescent="0.3">
      <c r="A79" s="106">
        <v>72</v>
      </c>
      <c r="C79" s="244"/>
      <c r="D79" s="245" t="s">
        <v>230</v>
      </c>
      <c r="E79" s="245">
        <f>SUM(E74:E78)</f>
        <v>10</v>
      </c>
      <c r="F79" s="245">
        <f>SUM(F74:F78)</f>
        <v>10</v>
      </c>
      <c r="G79" s="245">
        <f>SUM(G74:G78)</f>
        <v>12</v>
      </c>
      <c r="H79" s="245">
        <f>SUM(H74:H78)</f>
        <v>10</v>
      </c>
      <c r="I79" s="246">
        <f>SUM(I74:I78)</f>
        <v>10</v>
      </c>
      <c r="K79" s="272">
        <f t="shared" si="66"/>
        <v>10</v>
      </c>
      <c r="L79" s="248"/>
      <c r="M79" s="249"/>
      <c r="N79" s="249"/>
      <c r="O79" s="249"/>
      <c r="P79" s="250"/>
      <c r="Q79" s="251">
        <f>SUM(Q74:Q78)</f>
        <v>0</v>
      </c>
      <c r="R79" s="273">
        <f>SUM(R74:R78)</f>
        <v>10</v>
      </c>
      <c r="T79" s="253">
        <f>SUM(T74:T78)</f>
        <v>0.1</v>
      </c>
      <c r="U79" s="253">
        <f>SUM(U74:U78)</f>
        <v>0</v>
      </c>
      <c r="W79" s="19">
        <f>SUM(W74:W78)</f>
        <v>0</v>
      </c>
      <c r="X79" s="19">
        <f t="shared" ref="X79:Y79" si="74">SUM(X74:X78)</f>
        <v>0</v>
      </c>
      <c r="Y79" s="19">
        <f t="shared" si="74"/>
        <v>0</v>
      </c>
      <c r="AA79" s="169"/>
      <c r="AB79" s="169"/>
      <c r="AC79" s="169"/>
      <c r="AD79" s="169"/>
      <c r="AE79" s="169"/>
      <c r="AF79" s="169"/>
      <c r="AG79" s="169"/>
      <c r="AH79" s="169"/>
      <c r="AI79" s="169"/>
      <c r="AJ79" s="169"/>
      <c r="AK79" s="169"/>
      <c r="AM79" s="107"/>
      <c r="AN79" s="254"/>
      <c r="AO79" s="107"/>
      <c r="AP79" s="107"/>
      <c r="AQ79" s="107"/>
      <c r="BK79" s="245"/>
      <c r="BL79" s="245" t="str">
        <f>IFERROR(VLOOKUP($D79,'Pre-Assessment Estimator'!$C$10:$X$100,'Pre-Assessment Estimator'!X$2,FALSE),"")</f>
        <v/>
      </c>
      <c r="BM79" s="245" t="str">
        <f>IFERROR(VLOOKUP($D79,'Pre-Assessment Estimator'!$C$10:$AE$100,'Pre-Assessment Estimator'!AE$2,FALSE),"")</f>
        <v/>
      </c>
      <c r="BN79" s="245" t="str">
        <f t="shared" si="69"/>
        <v/>
      </c>
      <c r="BO79" s="245" t="str">
        <f t="shared" si="70"/>
        <v/>
      </c>
      <c r="BP79" s="245"/>
      <c r="BQ79" s="106" t="str">
        <f t="shared" si="71"/>
        <v/>
      </c>
    </row>
    <row r="80" spans="1:69" ht="15.75" thickBot="1" x14ac:dyDescent="0.3">
      <c r="A80" s="106">
        <v>73</v>
      </c>
      <c r="W80" s="3"/>
      <c r="X80" s="3"/>
      <c r="Y80" s="3"/>
      <c r="AA80" s="169"/>
      <c r="AB80" s="169"/>
      <c r="AC80" s="169"/>
      <c r="AD80" s="169"/>
      <c r="AE80" s="169"/>
      <c r="AF80" s="169"/>
      <c r="AG80" s="169"/>
      <c r="AH80" s="169"/>
      <c r="AI80" s="169"/>
      <c r="AJ80" s="169"/>
      <c r="AK80" s="169"/>
      <c r="AM80" s="107"/>
      <c r="AN80" s="107"/>
      <c r="AO80" s="107"/>
      <c r="AP80" s="107"/>
      <c r="AQ80" s="107"/>
      <c r="BL80" s="106" t="str">
        <f>IFERROR(VLOOKUP($D80,'Pre-Assessment Estimator'!$C$10:$X$100,'Pre-Assessment Estimator'!X$2,FALSE),"")</f>
        <v/>
      </c>
      <c r="BM80" s="106" t="str">
        <f>IFERROR(VLOOKUP($D80,'Pre-Assessment Estimator'!$C$10:$AE$100,'Pre-Assessment Estimator'!AE$2,FALSE),"")</f>
        <v/>
      </c>
      <c r="BN80" s="106" t="str">
        <f t="shared" si="69"/>
        <v/>
      </c>
      <c r="BO80" s="106" t="str">
        <f t="shared" si="70"/>
        <v/>
      </c>
      <c r="BQ80" s="106" t="str">
        <f t="shared" si="71"/>
        <v/>
      </c>
    </row>
    <row r="81" spans="1:73" ht="15.75" thickBot="1" x14ac:dyDescent="0.3">
      <c r="A81" s="106">
        <v>74</v>
      </c>
      <c r="C81" s="176"/>
      <c r="D81" s="177" t="s">
        <v>75</v>
      </c>
      <c r="E81" s="178" t="str">
        <f>$E$8</f>
        <v>Office</v>
      </c>
      <c r="F81" s="178" t="str">
        <f>$F$8</f>
        <v>Retail</v>
      </c>
      <c r="G81" s="178" t="str">
        <f>$G$8</f>
        <v>Residential</v>
      </c>
      <c r="H81" s="178" t="str">
        <f>$H$8</f>
        <v>Industrial</v>
      </c>
      <c r="I81" s="179" t="str">
        <f>$I$8</f>
        <v>Education</v>
      </c>
      <c r="K81" s="168" t="str">
        <f>$D$5</f>
        <v>Office</v>
      </c>
      <c r="L81" s="255"/>
      <c r="M81" s="256"/>
      <c r="N81" s="256"/>
      <c r="O81" s="256"/>
      <c r="P81" s="444" t="s">
        <v>405</v>
      </c>
      <c r="Q81" s="183" t="s">
        <v>230</v>
      </c>
      <c r="R81" s="168"/>
      <c r="W81" s="44"/>
      <c r="X81" s="64"/>
      <c r="Y81" s="64"/>
      <c r="AA81" s="169"/>
      <c r="AB81" s="169"/>
      <c r="AC81" s="169"/>
      <c r="AD81" s="169"/>
      <c r="AE81" s="169"/>
      <c r="AF81" s="169"/>
      <c r="AG81" s="169"/>
      <c r="AH81" s="169"/>
      <c r="AI81" s="169"/>
      <c r="AJ81" s="169"/>
      <c r="AK81" s="169"/>
      <c r="AM81" s="107"/>
      <c r="AN81" s="107"/>
      <c r="AO81" s="107"/>
      <c r="AP81" s="107"/>
      <c r="AQ81" s="107"/>
      <c r="BK81" s="177"/>
      <c r="BL81" s="177" t="str">
        <f>D81</f>
        <v>Pollution</v>
      </c>
      <c r="BM81" s="177">
        <f>IFERROR(VLOOKUP($D81,'Pre-Assessment Estimator'!$C$10:$AE$100,'Pre-Assessment Estimator'!AE$2,FALSE),"")</f>
        <v>0</v>
      </c>
      <c r="BN81" s="177" t="str">
        <f t="shared" si="69"/>
        <v/>
      </c>
      <c r="BO81" s="177" t="str">
        <f t="shared" si="70"/>
        <v/>
      </c>
      <c r="BP81" s="177"/>
      <c r="BQ81" s="106" t="str">
        <f t="shared" si="71"/>
        <v/>
      </c>
    </row>
    <row r="82" spans="1:73" x14ac:dyDescent="0.25">
      <c r="A82" s="106">
        <v>75</v>
      </c>
      <c r="C82" s="197" t="s">
        <v>201</v>
      </c>
      <c r="D82" s="198" t="s">
        <v>177</v>
      </c>
      <c r="E82" s="351">
        <v>3</v>
      </c>
      <c r="F82" s="351">
        <v>3</v>
      </c>
      <c r="G82" s="351">
        <v>3</v>
      </c>
      <c r="H82" s="351">
        <v>3</v>
      </c>
      <c r="I82" s="352">
        <v>3</v>
      </c>
      <c r="K82" s="257">
        <f t="shared" ref="K82:K87" si="75">HLOOKUP($D$5,$E$8:$I$99,$A82,FALSE)</f>
        <v>3</v>
      </c>
      <c r="L82" s="267">
        <f>IF(AD_Ozoneleg=AD_Yes,1,0)*0</f>
        <v>0</v>
      </c>
      <c r="M82" s="278">
        <f>IF(AND(ADBT0=ADBT1,ADIND_option02=AD_no,ADIND_option03=AD_no),Poeng!K82,0)</f>
        <v>0</v>
      </c>
      <c r="N82" s="203"/>
      <c r="O82" s="203">
        <f>'Manuell filtrering og justering'!D80</f>
        <v>0</v>
      </c>
      <c r="P82" s="204">
        <f>VLOOKUP(C82,'Manuell filtrering og justering'!$A$7:$G$97,'Manuell filtrering og justering'!$G$1,FALSE)</f>
        <v>3</v>
      </c>
      <c r="Q82" s="205">
        <f>IF(SUM(L82:O82)&gt;K82,K82,SUM(L82:O82))</f>
        <v>0</v>
      </c>
      <c r="R82" s="206">
        <f>IF($S$4='Manuell filtrering og justering'!$I$2,P82,(K82-Q82))</f>
        <v>3</v>
      </c>
      <c r="T82" s="207">
        <f>(Pol_Weight/Pol_Credits)*Pol01_credits</f>
        <v>1.846153846153846E-2</v>
      </c>
      <c r="U82" s="207">
        <f>IF(R82=0,0,(Pol01_19/Pol01_credits)*Pol01_user)</f>
        <v>0</v>
      </c>
      <c r="W82" s="259">
        <f>IF(VLOOKUP(D82,'Pre-Assessment Estimator'!$C$10:$W$100,'Pre-Assessment Estimator'!$E$2,FALSE)&gt;R82,R82,VLOOKUP(D82,'Pre-Assessment Estimator'!$C$10:$W$100,'Pre-Assessment Estimator'!$E$2,FALSE))*BU82</f>
        <v>0</v>
      </c>
      <c r="X82" s="208">
        <f>IF(VLOOKUP(D82,'Pre-Assessment Estimator'!$C$10:$W$100,'Pre-Assessment Estimator'!$L$2,FALSE)&gt;R82,R82,VLOOKUP(D82,'Pre-Assessment Estimator'!$C$10:$W$100,'Pre-Assessment Estimator'!$L$2,FALSE))*BU82</f>
        <v>0</v>
      </c>
      <c r="Y82" s="208">
        <f>IF(VLOOKUP(D82,'Pre-Assessment Estimator'!$C$10:$W$100,'Pre-Assessment Estimator'!$R$2,FALSE)&gt;R82,R82,VLOOKUP(D82,'Pre-Assessment Estimator'!$C$10:$W$100,'Pre-Assessment Estimator'!$R$2,FALSE))*BU82</f>
        <v>0</v>
      </c>
      <c r="Z82" s="106" t="s">
        <v>546</v>
      </c>
      <c r="AA82" s="367"/>
      <c r="AB82" s="368"/>
      <c r="AC82" s="368"/>
      <c r="AD82" s="368"/>
      <c r="AE82" s="369"/>
      <c r="AF82" s="169"/>
      <c r="AG82" s="367"/>
      <c r="AH82" s="368"/>
      <c r="AI82" s="368"/>
      <c r="AJ82" s="368"/>
      <c r="AK82" s="369"/>
      <c r="AM82" s="263"/>
      <c r="AN82" s="264"/>
      <c r="AO82" s="264"/>
      <c r="AP82" s="264"/>
      <c r="AQ82" s="265">
        <f t="shared" si="64"/>
        <v>0</v>
      </c>
      <c r="AR82" s="211">
        <f t="shared" si="73"/>
        <v>9</v>
      </c>
      <c r="AS82" s="214" t="str">
        <f>VLOOKUP(AR82,$BB$8:$BC$14,2,FALSE)</f>
        <v>N/A</v>
      </c>
      <c r="AT82" s="215"/>
      <c r="AU82" s="211">
        <f>IF(AQ82=0,9,IF(X82&gt;=AQ82,5,IF(X82&gt;=AP82,4,IF(X82&gt;=AO82,3,IF(X82&gt;=AN82,2,IF(X82&lt;AM82,0,1))))))</f>
        <v>9</v>
      </c>
      <c r="AV82" s="214" t="str">
        <f>VLOOKUP(AU82,$BB$8:$BC$14,2,FALSE)</f>
        <v>N/A</v>
      </c>
      <c r="AW82" s="215"/>
      <c r="AX82" s="211">
        <f t="shared" si="67"/>
        <v>9</v>
      </c>
      <c r="AY82" s="214" t="str">
        <f>VLOOKUP(AX82,$BB$8:$BC$14,2,FALSE)</f>
        <v>N/A</v>
      </c>
      <c r="AZ82" s="215"/>
      <c r="BK82" s="198" t="str">
        <f t="shared" ref="BK82:BK86" si="76">C82</f>
        <v>POL 01</v>
      </c>
      <c r="BL82" s="198" t="str">
        <f>IFERROR(VLOOKUP($D82,'Pre-Assessment Estimator'!$C$10:$X$100,'Pre-Assessment Estimator'!X$2,FALSE),"")</f>
        <v>No</v>
      </c>
      <c r="BM82" s="856" t="str">
        <f>IFERROR(VLOOKUP($D82,'Pre-Assessment Estimator'!$C$10:$AE$100,'Pre-Assessment Estimator'!AE$2,FALSE),"")</f>
        <v>Ja</v>
      </c>
      <c r="BN82" s="198">
        <f t="shared" si="69"/>
        <v>1</v>
      </c>
      <c r="BO82" s="862" t="s">
        <v>551</v>
      </c>
      <c r="BP82" s="198"/>
      <c r="BQ82" s="106" t="str">
        <f t="shared" si="71"/>
        <v/>
      </c>
      <c r="BR82" s="106" t="s">
        <v>557</v>
      </c>
      <c r="BS82" s="203">
        <f>VLOOKUP(BO82,$BO$3:$BP$4,2,FALSE)</f>
        <v>1</v>
      </c>
      <c r="BU82" s="863">
        <f>IF($BL$4=ais_no,BS82,IF(AND(BO82=$BO$3,BL82=$BQ$3),0,BN82))</f>
        <v>1</v>
      </c>
    </row>
    <row r="83" spans="1:73" x14ac:dyDescent="0.25">
      <c r="A83" s="106">
        <v>76</v>
      </c>
      <c r="C83" s="202" t="s">
        <v>202</v>
      </c>
      <c r="D83" s="203" t="s">
        <v>506</v>
      </c>
      <c r="E83" s="216">
        <v>3</v>
      </c>
      <c r="F83" s="216">
        <v>3</v>
      </c>
      <c r="G83" s="216">
        <v>3</v>
      </c>
      <c r="H83" s="216">
        <v>3</v>
      </c>
      <c r="I83" s="217">
        <v>3</v>
      </c>
      <c r="K83" s="266">
        <f t="shared" si="75"/>
        <v>3</v>
      </c>
      <c r="L83" s="267">
        <f>IF(AND(ADBT0=ADBT1,ADIND_option02=AD_no,ADIND_option03=AD_no),Poeng!K83,0)</f>
        <v>0</v>
      </c>
      <c r="M83" s="203"/>
      <c r="N83" s="203"/>
      <c r="O83" s="203">
        <f>'Manuell filtrering og justering'!D81</f>
        <v>0</v>
      </c>
      <c r="P83" s="204">
        <f>VLOOKUP(C83,'Manuell filtrering og justering'!$A$7:$G$97,'Manuell filtrering og justering'!$G$1,FALSE)</f>
        <v>3</v>
      </c>
      <c r="Q83" s="205">
        <f t="shared" ref="Q83:Q86" si="77">IF(SUM(L83:O83)&gt;K83,K83,SUM(L83:O83))</f>
        <v>0</v>
      </c>
      <c r="R83" s="206">
        <f>IF($S$4='Manuell filtrering og justering'!$I$2,P83,(K83-Q83))</f>
        <v>3</v>
      </c>
      <c r="T83" s="207">
        <f>(Pol_Weight/Pol_Credits)*Pol02_credits</f>
        <v>1.846153846153846E-2</v>
      </c>
      <c r="U83" s="207">
        <f>IFERROR((Pol02_26/Pol02_credits)*Pol02_user,0)</f>
        <v>0</v>
      </c>
      <c r="W83" s="259">
        <f>IF(VLOOKUP(D83,'Pre-Assessment Estimator'!$C$10:$W$100,'Pre-Assessment Estimator'!$E$2,FALSE)&gt;R83,R83,VLOOKUP(D83,'Pre-Assessment Estimator'!$C$10:$W$100,'Pre-Assessment Estimator'!$E$2,FALSE))*BU83</f>
        <v>0</v>
      </c>
      <c r="X83" s="208">
        <f>IF(VLOOKUP(D83,'Pre-Assessment Estimator'!$C$10:$W$100,'Pre-Assessment Estimator'!$L$2,FALSE)&gt;R83,R83,VLOOKUP(D83,'Pre-Assessment Estimator'!$C$10:$W$100,'Pre-Assessment Estimator'!$L$2,FALSE))*BU83</f>
        <v>0</v>
      </c>
      <c r="Y83" s="208">
        <f>IF(VLOOKUP(D83,'Pre-Assessment Estimator'!$C$10:$W$100,'Pre-Assessment Estimator'!$R$2,FALSE)&gt;R83,R83,VLOOKUP(D83,'Pre-Assessment Estimator'!$C$10:$W$100,'Pre-Assessment Estimator'!$R$2,FALSE))*BU83</f>
        <v>0</v>
      </c>
      <c r="Z83" s="106" t="s">
        <v>546</v>
      </c>
      <c r="AA83" s="361"/>
      <c r="AB83" s="362"/>
      <c r="AC83" s="362"/>
      <c r="AD83" s="362"/>
      <c r="AE83" s="363"/>
      <c r="AF83" s="169"/>
      <c r="AG83" s="361"/>
      <c r="AH83" s="362"/>
      <c r="AI83" s="362"/>
      <c r="AJ83" s="362"/>
      <c r="AK83" s="363"/>
      <c r="AM83" s="226"/>
      <c r="AN83" s="227"/>
      <c r="AO83" s="227"/>
      <c r="AP83" s="227"/>
      <c r="AQ83" s="228">
        <f t="shared" si="64"/>
        <v>0</v>
      </c>
      <c r="AR83" s="220">
        <f t="shared" si="73"/>
        <v>9</v>
      </c>
      <c r="AS83" s="203" t="str">
        <f>VLOOKUP(AR83,$BB$8:$BC$14,2,FALSE)</f>
        <v>N/A</v>
      </c>
      <c r="AT83" s="223"/>
      <c r="AU83" s="220">
        <f>IF(AQ83=0,9,IF(X83&gt;=AQ83,5,IF(X83&gt;=AP83,4,IF(X83&gt;=AO83,3,IF(X83&gt;=AN83,2,IF(X83&lt;AM83,0,1))))))</f>
        <v>9</v>
      </c>
      <c r="AV83" s="203" t="str">
        <f>VLOOKUP(AU83,$BB$8:$BC$14,2,FALSE)</f>
        <v>N/A</v>
      </c>
      <c r="AW83" s="223"/>
      <c r="AX83" s="220">
        <f t="shared" si="67"/>
        <v>9</v>
      </c>
      <c r="AY83" s="203" t="str">
        <f>VLOOKUP(AX83,$BB$8:$BC$14,2,FALSE)</f>
        <v>N/A</v>
      </c>
      <c r="AZ83" s="223"/>
      <c r="BK83" s="203" t="str">
        <f t="shared" si="76"/>
        <v>POL 02</v>
      </c>
      <c r="BL83" s="203" t="str">
        <f>IFERROR(VLOOKUP($D83,'Pre-Assessment Estimator'!$C$10:$X$100,'Pre-Assessment Estimator'!X$2,FALSE),"")</f>
        <v>No</v>
      </c>
      <c r="BM83" s="278" t="str">
        <f>IFERROR(VLOOKUP($D83,'Pre-Assessment Estimator'!$C$10:$AE$100,'Pre-Assessment Estimator'!AE$2,FALSE),"")</f>
        <v>Ja</v>
      </c>
      <c r="BN83" s="203">
        <f t="shared" si="69"/>
        <v>1</v>
      </c>
      <c r="BO83" s="862" t="s">
        <v>551</v>
      </c>
      <c r="BP83" s="203"/>
      <c r="BQ83" s="106" t="str">
        <f t="shared" si="71"/>
        <v/>
      </c>
      <c r="BR83" s="106" t="s">
        <v>557</v>
      </c>
      <c r="BS83" s="203">
        <f>VLOOKUP(BO83,$BO$3:$BP$4,2,FALSE)</f>
        <v>1</v>
      </c>
      <c r="BU83" s="863">
        <f>IF($BL$4=ais_no,BS83,IF(AND(BO83=$BO$3,BL83=$BQ$3),0,BN83))</f>
        <v>1</v>
      </c>
    </row>
    <row r="84" spans="1:73" x14ac:dyDescent="0.25">
      <c r="A84" s="106">
        <v>77</v>
      </c>
      <c r="C84" s="202" t="s">
        <v>203</v>
      </c>
      <c r="D84" s="203" t="s">
        <v>179</v>
      </c>
      <c r="E84" s="216">
        <v>5</v>
      </c>
      <c r="F84" s="216">
        <v>5</v>
      </c>
      <c r="G84" s="216">
        <v>5</v>
      </c>
      <c r="H84" s="216">
        <v>5</v>
      </c>
      <c r="I84" s="217">
        <v>5</v>
      </c>
      <c r="K84" s="266">
        <f t="shared" si="75"/>
        <v>5</v>
      </c>
      <c r="L84" s="202"/>
      <c r="M84" s="203"/>
      <c r="N84" s="203"/>
      <c r="O84" s="203">
        <f>'Manuell filtrering og justering'!D82</f>
        <v>0</v>
      </c>
      <c r="P84" s="204">
        <f>VLOOKUP(C84,'Manuell filtrering og justering'!$A$7:$G$97,'Manuell filtrering og justering'!$G$1,FALSE)</f>
        <v>5</v>
      </c>
      <c r="Q84" s="205">
        <f t="shared" si="77"/>
        <v>0</v>
      </c>
      <c r="R84" s="206">
        <f>IF($S$4='Manuell filtrering og justering'!$I$2,P84,(K84-Q84))</f>
        <v>5</v>
      </c>
      <c r="T84" s="207">
        <f>(Pol_Weight/Pol_Credits)*Pol03_credits</f>
        <v>3.0769230769230771E-2</v>
      </c>
      <c r="U84" s="207">
        <f>(Pol03_14/Pol03_credits)*Pol03_user</f>
        <v>0</v>
      </c>
      <c r="W84" s="259">
        <f>IF(VLOOKUP(D84,'Pre-Assessment Estimator'!$C$10:$W$100,'Pre-Assessment Estimator'!$E$2,FALSE)&gt;R84,R84,VLOOKUP(D84,'Pre-Assessment Estimator'!$C$10:$W$100,'Pre-Assessment Estimator'!$E$2,FALSE))</f>
        <v>0</v>
      </c>
      <c r="X84" s="208">
        <f>IF(VLOOKUP(D84,'Pre-Assessment Estimator'!$C$10:$W$100,'Pre-Assessment Estimator'!$L$2,FALSE)&gt;R84,R84,VLOOKUP(D84,'Pre-Assessment Estimator'!$C$10:$W$100,'Pre-Assessment Estimator'!$L$2,FALSE))</f>
        <v>0</v>
      </c>
      <c r="Y84" s="208">
        <f>IF(VLOOKUP(D84,'Pre-Assessment Estimator'!$C$10:$W$100,'Pre-Assessment Estimator'!$R$2,FALSE)&gt;R84,R84,VLOOKUP(D84,'Pre-Assessment Estimator'!$C$10:$W$100,'Pre-Assessment Estimator'!$R$2,FALSE))</f>
        <v>0</v>
      </c>
      <c r="AA84" s="361"/>
      <c r="AB84" s="362"/>
      <c r="AC84" s="362"/>
      <c r="AD84" s="362"/>
      <c r="AE84" s="363"/>
      <c r="AF84" s="169"/>
      <c r="AG84" s="361"/>
      <c r="AH84" s="362"/>
      <c r="AI84" s="362"/>
      <c r="AJ84" s="362"/>
      <c r="AK84" s="363"/>
      <c r="AM84" s="226"/>
      <c r="AN84" s="227"/>
      <c r="AO84" s="227"/>
      <c r="AP84" s="227"/>
      <c r="AQ84" s="228">
        <f t="shared" si="64"/>
        <v>0</v>
      </c>
      <c r="AR84" s="220">
        <f t="shared" si="73"/>
        <v>9</v>
      </c>
      <c r="AS84" s="203" t="str">
        <f>VLOOKUP(AR84,$BB$8:$BC$14,2,FALSE)</f>
        <v>N/A</v>
      </c>
      <c r="AT84" s="223"/>
      <c r="AU84" s="220">
        <f>IF(AQ84=0,9,IF(X84&gt;=AQ84,5,IF(X84&gt;=AP84,4,IF(X84&gt;=AO84,3,IF(X84&gt;=AN84,2,IF(X84&lt;AM84,0,1))))))</f>
        <v>9</v>
      </c>
      <c r="AV84" s="203" t="str">
        <f>VLOOKUP(AU84,$BB$8:$BC$14,2,FALSE)</f>
        <v>N/A</v>
      </c>
      <c r="AW84" s="223"/>
      <c r="AX84" s="220">
        <f t="shared" si="67"/>
        <v>9</v>
      </c>
      <c r="AY84" s="203" t="str">
        <f>VLOOKUP(AX84,$BB$8:$BC$14,2,FALSE)</f>
        <v>N/A</v>
      </c>
      <c r="AZ84" s="223"/>
      <c r="BK84" s="203" t="str">
        <f t="shared" si="76"/>
        <v>POL 03</v>
      </c>
      <c r="BL84" s="203" t="str">
        <f>IFERROR(VLOOKUP($D84,'Pre-Assessment Estimator'!$C$10:$X$100,'Pre-Assessment Estimator'!X$2,FALSE),"")</f>
        <v>N/A</v>
      </c>
      <c r="BM84" s="203">
        <f>IFERROR(VLOOKUP($D84,'Pre-Assessment Estimator'!$C$10:$AE$100,'Pre-Assessment Estimator'!AE$2,FALSE),"")</f>
        <v>0</v>
      </c>
      <c r="BN84" s="203">
        <f t="shared" si="69"/>
        <v>1</v>
      </c>
      <c r="BO84" s="203">
        <f t="shared" si="70"/>
        <v>0</v>
      </c>
      <c r="BP84" s="203"/>
      <c r="BQ84" s="106" t="str">
        <f t="shared" si="71"/>
        <v/>
      </c>
    </row>
    <row r="85" spans="1:73" x14ac:dyDescent="0.25">
      <c r="A85" s="106">
        <v>78</v>
      </c>
      <c r="C85" s="202" t="s">
        <v>204</v>
      </c>
      <c r="D85" s="203" t="s">
        <v>180</v>
      </c>
      <c r="E85" s="216">
        <v>1</v>
      </c>
      <c r="F85" s="216">
        <v>1</v>
      </c>
      <c r="G85" s="216">
        <v>1</v>
      </c>
      <c r="H85" s="216">
        <v>1</v>
      </c>
      <c r="I85" s="217">
        <v>1</v>
      </c>
      <c r="K85" s="266">
        <f t="shared" si="75"/>
        <v>1</v>
      </c>
      <c r="L85" s="202"/>
      <c r="M85" s="203"/>
      <c r="N85" s="203"/>
      <c r="O85" s="203">
        <f>'Manuell filtrering og justering'!D83</f>
        <v>0</v>
      </c>
      <c r="P85" s="204">
        <f>VLOOKUP(C85,'Manuell filtrering og justering'!$A$7:$G$97,'Manuell filtrering og justering'!$G$1,FALSE)</f>
        <v>1</v>
      </c>
      <c r="Q85" s="205">
        <f t="shared" si="77"/>
        <v>0</v>
      </c>
      <c r="R85" s="206">
        <f>IF($S$4='Manuell filtrering og justering'!$I$2,P85,(K85-Q85))</f>
        <v>1</v>
      </c>
      <c r="T85" s="207">
        <f>(Pol_Weight/Pol_Credits)*Pol04_credits</f>
        <v>6.1538461538461538E-3</v>
      </c>
      <c r="U85" s="207">
        <f>(Pol04_05/Pol04_credits)*Pol04_user</f>
        <v>0</v>
      </c>
      <c r="W85" s="259">
        <f>IF(VLOOKUP(D85,'Pre-Assessment Estimator'!$C$10:$W$100,'Pre-Assessment Estimator'!$E$2,FALSE)&gt;R85,R85,VLOOKUP(D85,'Pre-Assessment Estimator'!$C$10:$W$100,'Pre-Assessment Estimator'!$E$2,FALSE))*BU85</f>
        <v>0</v>
      </c>
      <c r="X85" s="208">
        <f>IF(VLOOKUP(D85,'Pre-Assessment Estimator'!$C$10:$W$100,'Pre-Assessment Estimator'!$L$2,FALSE)&gt;R85,R85,VLOOKUP(D85,'Pre-Assessment Estimator'!$C$10:$W$100,'Pre-Assessment Estimator'!$L$2,FALSE))*BU85</f>
        <v>0</v>
      </c>
      <c r="Y85" s="208">
        <f>IF(VLOOKUP(D85,'Pre-Assessment Estimator'!$C$10:$W$100,'Pre-Assessment Estimator'!$R$2,FALSE)&gt;R85,R85,VLOOKUP(D85,'Pre-Assessment Estimator'!$C$10:$W$100,'Pre-Assessment Estimator'!$R$2,FALSE))*BU85</f>
        <v>0</v>
      </c>
      <c r="Z85" s="106" t="s">
        <v>546</v>
      </c>
      <c r="AA85" s="361"/>
      <c r="AB85" s="362"/>
      <c r="AC85" s="362"/>
      <c r="AD85" s="362"/>
      <c r="AE85" s="363"/>
      <c r="AF85" s="169"/>
      <c r="AG85" s="361"/>
      <c r="AH85" s="362"/>
      <c r="AI85" s="362"/>
      <c r="AJ85" s="362"/>
      <c r="AK85" s="363"/>
      <c r="AM85" s="226"/>
      <c r="AN85" s="227"/>
      <c r="AO85" s="227"/>
      <c r="AP85" s="227"/>
      <c r="AQ85" s="228">
        <f t="shared" si="64"/>
        <v>0</v>
      </c>
      <c r="AR85" s="220">
        <f t="shared" si="73"/>
        <v>9</v>
      </c>
      <c r="AS85" s="203" t="str">
        <f>VLOOKUP(AR85,$BB$8:$BC$14,2,FALSE)</f>
        <v>N/A</v>
      </c>
      <c r="AT85" s="223"/>
      <c r="AU85" s="220">
        <f>IF(AQ85=0,9,IF(X85&gt;=AQ85,5,IF(X85&gt;=AP85,4,IF(X85&gt;=AO85,3,IF(X85&gt;=AN85,2,IF(X85&lt;AM85,0,1))))))</f>
        <v>9</v>
      </c>
      <c r="AV85" s="203" t="str">
        <f>VLOOKUP(AU85,$BB$8:$BC$14,2,FALSE)</f>
        <v>N/A</v>
      </c>
      <c r="AW85" s="223"/>
      <c r="AX85" s="220">
        <f t="shared" si="67"/>
        <v>9</v>
      </c>
      <c r="AY85" s="203" t="str">
        <f>VLOOKUP(AX85,$BB$8:$BC$14,2,FALSE)</f>
        <v>N/A</v>
      </c>
      <c r="AZ85" s="223"/>
      <c r="BK85" s="203" t="str">
        <f t="shared" si="76"/>
        <v>POL 04</v>
      </c>
      <c r="BL85" s="203" t="str">
        <f>IFERROR(VLOOKUP($D85,'Pre-Assessment Estimator'!$C$10:$X$100,'Pre-Assessment Estimator'!X$2,FALSE),"")</f>
        <v>No</v>
      </c>
      <c r="BM85" s="278" t="str">
        <f>IFERROR(VLOOKUP($D85,'Pre-Assessment Estimator'!$C$10:$AE$100,'Pre-Assessment Estimator'!AE$2,FALSE),"")</f>
        <v>Ja</v>
      </c>
      <c r="BN85" s="203">
        <f t="shared" si="69"/>
        <v>1</v>
      </c>
      <c r="BO85" s="862" t="s">
        <v>551</v>
      </c>
      <c r="BP85" s="203"/>
      <c r="BQ85" s="106" t="str">
        <f t="shared" si="71"/>
        <v/>
      </c>
      <c r="BR85" s="106" t="s">
        <v>557</v>
      </c>
      <c r="BS85" s="203">
        <f>VLOOKUP(BO85,$BO$3:$BP$4,2,FALSE)</f>
        <v>1</v>
      </c>
      <c r="BU85" s="863">
        <f>IF($BL$4=ais_no,BS85,IF(AND(BO85=$BO$3,BL85=$BQ$3),0,BN85))</f>
        <v>1</v>
      </c>
    </row>
    <row r="86" spans="1:73" ht="15.75" thickBot="1" x14ac:dyDescent="0.3">
      <c r="A86" s="106">
        <v>79</v>
      </c>
      <c r="C86" s="202" t="s">
        <v>205</v>
      </c>
      <c r="D86" s="203" t="s">
        <v>183</v>
      </c>
      <c r="E86" s="216">
        <v>1</v>
      </c>
      <c r="F86" s="216">
        <v>1</v>
      </c>
      <c r="G86" s="216"/>
      <c r="H86" s="350">
        <v>1</v>
      </c>
      <c r="I86" s="217">
        <v>1</v>
      </c>
      <c r="K86" s="266">
        <f t="shared" si="75"/>
        <v>1</v>
      </c>
      <c r="L86" s="202"/>
      <c r="M86" s="203"/>
      <c r="N86" s="203"/>
      <c r="O86" s="203">
        <f>'Manuell filtrering og justering'!D84</f>
        <v>0</v>
      </c>
      <c r="P86" s="204">
        <f>VLOOKUP(C86,'Manuell filtrering og justering'!$A$7:$G$97,'Manuell filtrering og justering'!$G$1,FALSE)</f>
        <v>1</v>
      </c>
      <c r="Q86" s="205">
        <f t="shared" si="77"/>
        <v>0</v>
      </c>
      <c r="R86" s="206">
        <f>IF($S$4='Manuell filtrering og justering'!$I$2,P86,(K86-Q86))</f>
        <v>1</v>
      </c>
      <c r="T86" s="207">
        <f>(Pol_Weight/Pol_Credits)*Pol05_credits</f>
        <v>6.1538461538461538E-3</v>
      </c>
      <c r="U86" s="207">
        <f>IFERROR((Pol05_10/Pol05_credits)*Pol05_user,0)</f>
        <v>0</v>
      </c>
      <c r="W86" s="259">
        <f>IF(VLOOKUP(D86,'Pre-Assessment Estimator'!$C$10:$W$100,'Pre-Assessment Estimator'!$E$2,FALSE)&gt;R86,R86,VLOOKUP(D86,'Pre-Assessment Estimator'!$C$10:$W$100,'Pre-Assessment Estimator'!$E$2,FALSE))*BU86</f>
        <v>0</v>
      </c>
      <c r="X86" s="208">
        <f>IF(VLOOKUP(D86,'Pre-Assessment Estimator'!$C$10:$W$100,'Pre-Assessment Estimator'!$L$2,FALSE)&gt;R86,R86,VLOOKUP(D86,'Pre-Assessment Estimator'!$C$10:$W$100,'Pre-Assessment Estimator'!$L$2,FALSE))*BU86</f>
        <v>0</v>
      </c>
      <c r="Y86" s="208">
        <f>IF(VLOOKUP(D86,'Pre-Assessment Estimator'!$C$10:$W$100,'Pre-Assessment Estimator'!$R$2,FALSE)&gt;R86,R86,VLOOKUP(D86,'Pre-Assessment Estimator'!$C$10:$W$100,'Pre-Assessment Estimator'!$R$2,FALSE))*BU86</f>
        <v>0</v>
      </c>
      <c r="Z86" s="106" t="s">
        <v>546</v>
      </c>
      <c r="AA86" s="364"/>
      <c r="AB86" s="365"/>
      <c r="AC86" s="365"/>
      <c r="AD86" s="365"/>
      <c r="AE86" s="366"/>
      <c r="AF86" s="169"/>
      <c r="AG86" s="364"/>
      <c r="AH86" s="365"/>
      <c r="AI86" s="365"/>
      <c r="AJ86" s="365"/>
      <c r="AK86" s="366"/>
      <c r="AM86" s="237"/>
      <c r="AN86" s="239"/>
      <c r="AO86" s="239"/>
      <c r="AP86" s="239"/>
      <c r="AQ86" s="240">
        <f t="shared" si="64"/>
        <v>0</v>
      </c>
      <c r="AR86" s="241">
        <f t="shared" si="73"/>
        <v>9</v>
      </c>
      <c r="AS86" s="242" t="str">
        <f>VLOOKUP(AR86,$BB$8:$BC$14,2,FALSE)</f>
        <v>N/A</v>
      </c>
      <c r="AT86" s="243"/>
      <c r="AU86" s="241">
        <f>IF(AQ86=0,9,IF(X86&gt;=AQ86,5,IF(X86&gt;=AP86,4,IF(X86&gt;=AO86,3,IF(X86&gt;=AN86,2,IF(X86&lt;AM86,0,1))))))</f>
        <v>9</v>
      </c>
      <c r="AV86" s="242" t="str">
        <f>VLOOKUP(AU86,$BB$8:$BC$14,2,FALSE)</f>
        <v>N/A</v>
      </c>
      <c r="AW86" s="243"/>
      <c r="AX86" s="241">
        <f t="shared" si="67"/>
        <v>9</v>
      </c>
      <c r="AY86" s="242" t="str">
        <f>VLOOKUP(AX86,$BB$8:$BC$14,2,FALSE)</f>
        <v>N/A</v>
      </c>
      <c r="AZ86" s="243"/>
      <c r="BK86" s="203" t="str">
        <f t="shared" si="76"/>
        <v>POL 05</v>
      </c>
      <c r="BL86" s="203" t="str">
        <f>IFERROR(VLOOKUP($D86,'Pre-Assessment Estimator'!$C$10:$X$100,'Pre-Assessment Estimator'!X$2,FALSE),"")</f>
        <v>No</v>
      </c>
      <c r="BM86" s="278" t="str">
        <f>IFERROR(VLOOKUP($D86,'Pre-Assessment Estimator'!$C$10:$AE$100,'Pre-Assessment Estimator'!AE$2,FALSE),"")</f>
        <v>Ja</v>
      </c>
      <c r="BN86" s="203">
        <f t="shared" si="69"/>
        <v>1</v>
      </c>
      <c r="BO86" s="862" t="s">
        <v>551</v>
      </c>
      <c r="BP86" s="203"/>
      <c r="BQ86" s="106" t="str">
        <f t="shared" si="71"/>
        <v/>
      </c>
      <c r="BR86" s="106" t="s">
        <v>524</v>
      </c>
      <c r="BS86" s="203">
        <f>VLOOKUP(BO86,$BO$3:$BP$4,2,FALSE)</f>
        <v>1</v>
      </c>
      <c r="BU86" s="863">
        <f>IF($BL$4=ais_no,BS86,IF(AND(BO86=$BO$3,BL86=$BQ$3),0,BN86))</f>
        <v>1</v>
      </c>
    </row>
    <row r="87" spans="1:73" ht="15.75" thickBot="1" x14ac:dyDescent="0.3">
      <c r="A87" s="106">
        <v>80</v>
      </c>
      <c r="C87" s="244"/>
      <c r="D87" s="245" t="s">
        <v>230</v>
      </c>
      <c r="E87" s="245">
        <f>SUM(E82:E86)</f>
        <v>13</v>
      </c>
      <c r="F87" s="245">
        <f>SUM(F82:F86)</f>
        <v>13</v>
      </c>
      <c r="G87" s="245">
        <f>SUM(G82:G86)</f>
        <v>12</v>
      </c>
      <c r="H87" s="245">
        <f>SUM(H82:H86)</f>
        <v>13</v>
      </c>
      <c r="I87" s="246">
        <f>SUM(I82:I86)</f>
        <v>13</v>
      </c>
      <c r="K87" s="272">
        <f t="shared" si="75"/>
        <v>13</v>
      </c>
      <c r="L87" s="248"/>
      <c r="M87" s="249"/>
      <c r="N87" s="249"/>
      <c r="O87" s="249"/>
      <c r="P87" s="250"/>
      <c r="Q87" s="251">
        <f>SUM(Q82:Q86)</f>
        <v>0</v>
      </c>
      <c r="R87" s="273">
        <f>SUM(R82:R86)</f>
        <v>13</v>
      </c>
      <c r="T87" s="253">
        <f>SUM(T82:T86)</f>
        <v>7.9999999999999988E-2</v>
      </c>
      <c r="U87" s="253">
        <f>SUM(U82:U86)</f>
        <v>0</v>
      </c>
      <c r="W87" s="47">
        <f>SUM(W82:W86)</f>
        <v>0</v>
      </c>
      <c r="X87" s="47">
        <f t="shared" ref="X87:Y87" si="78">SUM(X82:X86)</f>
        <v>0</v>
      </c>
      <c r="Y87" s="47">
        <f t="shared" si="78"/>
        <v>0</v>
      </c>
      <c r="AA87" s="169"/>
      <c r="AB87" s="169"/>
      <c r="AC87" s="169"/>
      <c r="AD87" s="169"/>
      <c r="AE87" s="169"/>
      <c r="AF87" s="169"/>
      <c r="AG87" s="169"/>
      <c r="AH87" s="169"/>
      <c r="AI87" s="169"/>
      <c r="AJ87" s="169"/>
      <c r="AK87" s="169"/>
      <c r="AM87" s="107"/>
      <c r="AN87" s="254"/>
      <c r="AO87" s="107"/>
      <c r="AP87" s="107"/>
      <c r="AQ87" s="107"/>
      <c r="BK87" s="245"/>
      <c r="BL87" s="245" t="str">
        <f>IFERROR(VLOOKUP($D87,'Pre-Assessment Estimator'!$C$10:$X$100,'Pre-Assessment Estimator'!X$2,FALSE),"")</f>
        <v/>
      </c>
      <c r="BM87" s="245" t="str">
        <f>IFERROR(VLOOKUP($D87,'Pre-Assessment Estimator'!$C$10:$AE$100,'Pre-Assessment Estimator'!AE$2,FALSE),"")</f>
        <v/>
      </c>
      <c r="BN87" s="245" t="str">
        <f t="shared" si="69"/>
        <v/>
      </c>
      <c r="BO87" s="245" t="str">
        <f t="shared" si="70"/>
        <v/>
      </c>
      <c r="BP87" s="245"/>
      <c r="BQ87" s="106" t="str">
        <f t="shared" si="71"/>
        <v/>
      </c>
    </row>
    <row r="88" spans="1:73" ht="15.75" thickBot="1" x14ac:dyDescent="0.3">
      <c r="A88" s="106">
        <v>81</v>
      </c>
      <c r="W88" s="3"/>
      <c r="X88" s="3"/>
      <c r="Y88" s="3"/>
      <c r="AA88" s="169"/>
      <c r="AB88" s="169"/>
      <c r="AC88" s="169"/>
      <c r="AD88" s="169"/>
      <c r="AE88" s="169"/>
      <c r="AF88" s="169"/>
      <c r="AG88" s="169"/>
      <c r="AH88" s="169"/>
      <c r="AI88" s="169"/>
      <c r="AJ88" s="169"/>
      <c r="AK88" s="169"/>
      <c r="AM88" s="107"/>
      <c r="AN88" s="107"/>
      <c r="AO88" s="107"/>
      <c r="AP88" s="107"/>
      <c r="AQ88" s="107"/>
      <c r="BL88" s="106" t="str">
        <f>IFERROR(VLOOKUP($D88,'Pre-Assessment Estimator'!$C$10:$X$100,'Pre-Assessment Estimator'!X$2,FALSE),"")</f>
        <v/>
      </c>
      <c r="BM88" s="106" t="str">
        <f>IFERROR(VLOOKUP($D88,'Pre-Assessment Estimator'!$C$10:$AE$100,'Pre-Assessment Estimator'!AE$2,FALSE),"")</f>
        <v/>
      </c>
      <c r="BN88" s="106" t="str">
        <f t="shared" si="69"/>
        <v/>
      </c>
      <c r="BO88" s="106" t="str">
        <f t="shared" si="70"/>
        <v/>
      </c>
      <c r="BQ88" s="106" t="str">
        <f t="shared" si="71"/>
        <v/>
      </c>
    </row>
    <row r="89" spans="1:73" ht="15.75" thickBot="1" x14ac:dyDescent="0.3">
      <c r="A89" s="106">
        <v>82</v>
      </c>
      <c r="C89" s="176"/>
      <c r="D89" s="177" t="s">
        <v>244</v>
      </c>
      <c r="E89" s="178" t="str">
        <f>$E$8</f>
        <v>Office</v>
      </c>
      <c r="F89" s="178" t="str">
        <f>$F$8</f>
        <v>Retail</v>
      </c>
      <c r="G89" s="178" t="str">
        <f>$G$8</f>
        <v>Residential</v>
      </c>
      <c r="H89" s="178" t="str">
        <f>$H$8</f>
        <v>Industrial</v>
      </c>
      <c r="I89" s="179" t="str">
        <f>$I$8</f>
        <v>Education</v>
      </c>
      <c r="K89" s="168" t="str">
        <f>$D$5</f>
        <v>Office</v>
      </c>
      <c r="L89" s="255"/>
      <c r="M89" s="256"/>
      <c r="N89" s="256"/>
      <c r="O89" s="256"/>
      <c r="P89" s="444" t="s">
        <v>405</v>
      </c>
      <c r="Q89" s="183" t="s">
        <v>230</v>
      </c>
      <c r="R89" s="168"/>
      <c r="W89" s="44"/>
      <c r="X89" s="64"/>
      <c r="Y89" s="64"/>
      <c r="AA89" s="169"/>
      <c r="AB89" s="169"/>
      <c r="AC89" s="169"/>
      <c r="AD89" s="169"/>
      <c r="AE89" s="169"/>
      <c r="AF89" s="169"/>
      <c r="AG89" s="169"/>
      <c r="AH89" s="169"/>
      <c r="AI89" s="169"/>
      <c r="AJ89" s="169"/>
      <c r="AK89" s="169"/>
      <c r="AM89" s="107"/>
      <c r="AN89" s="107"/>
      <c r="AO89" s="107"/>
      <c r="AP89" s="107"/>
      <c r="AQ89" s="107"/>
      <c r="BK89" s="177"/>
      <c r="BL89" s="177" t="str">
        <f>D89</f>
        <v>BREEAM innovation credits</v>
      </c>
      <c r="BM89" s="177" t="str">
        <f>IFERROR(VLOOKUP($D89,'Pre-Assessment Estimator'!$C$10:$AE$100,'Pre-Assessment Estimator'!AE$2,FALSE),"")</f>
        <v/>
      </c>
      <c r="BN89" s="177" t="str">
        <f t="shared" si="69"/>
        <v/>
      </c>
      <c r="BO89" s="177" t="str">
        <f t="shared" si="70"/>
        <v/>
      </c>
      <c r="BP89" s="177"/>
      <c r="BQ89" s="106" t="str">
        <f t="shared" si="71"/>
        <v/>
      </c>
    </row>
    <row r="90" spans="1:73" x14ac:dyDescent="0.25">
      <c r="A90" s="106">
        <v>83</v>
      </c>
      <c r="C90" s="197" t="s">
        <v>206</v>
      </c>
      <c r="D90" s="198" t="str">
        <f t="shared" ref="D90:D92" si="79">C90&amp;" - "&amp;D109</f>
        <v>Inn 01 - Man 05 Aftercare</v>
      </c>
      <c r="E90" s="199">
        <v>1</v>
      </c>
      <c r="F90" s="199">
        <v>1</v>
      </c>
      <c r="G90" s="199">
        <v>1</v>
      </c>
      <c r="H90" s="199">
        <v>1</v>
      </c>
      <c r="I90" s="200">
        <v>1</v>
      </c>
      <c r="K90" s="257">
        <f t="shared" ref="K90:K99" si="80">HLOOKUP($D$5,$E$8:$I$99,$A90,FALSE)</f>
        <v>1</v>
      </c>
      <c r="L90" s="202"/>
      <c r="M90" s="203"/>
      <c r="N90" s="203"/>
      <c r="O90" s="203">
        <f>'Manuell filtrering og justering'!D88</f>
        <v>0</v>
      </c>
      <c r="P90" s="204">
        <f>VLOOKUP(C90,'Manuell filtrering og justering'!$A$7:$G$97,'Manuell filtrering og justering'!$G$1,FALSE)</f>
        <v>1</v>
      </c>
      <c r="Q90" s="205">
        <f>IF(SUM(L90:O90)&gt;K90,K90,SUM(L90:O90))</f>
        <v>0</v>
      </c>
      <c r="R90" s="206">
        <f>IF($S$4='Manuell filtrering og justering'!$I$2,P90,(K90-Q90))</f>
        <v>1</v>
      </c>
      <c r="T90" s="207">
        <f>(Inn_Weight/Inn_Credits)*Inn01_credits</f>
        <v>0.01</v>
      </c>
      <c r="U90" s="207">
        <f>(T90/Inn01_credits)*Inn01_user</f>
        <v>0</v>
      </c>
      <c r="W90" s="259">
        <f>IF(VLOOKUP(D90,'Pre-Assessment Estimator'!$C$10:$W$100,'Pre-Assessment Estimator'!$E$2,FALSE)&gt;R90,R90,VLOOKUP(D90,'Pre-Assessment Estimator'!$C$10:$W$100,'Pre-Assessment Estimator'!$E$2,FALSE))</f>
        <v>0</v>
      </c>
      <c r="X90" s="208">
        <f>IF(VLOOKUP(D90,'Pre-Assessment Estimator'!$C$10:$W$100,'Pre-Assessment Estimator'!$L$2,FALSE)&gt;R90,R90,VLOOKUP(D90,'Pre-Assessment Estimator'!$C$10:$W$100,'Pre-Assessment Estimator'!$L$2,FALSE))</f>
        <v>0</v>
      </c>
      <c r="Y90" s="208">
        <f>IF(VLOOKUP(D90,'Pre-Assessment Estimator'!$C$10:$W$100,'Pre-Assessment Estimator'!$R$2,FALSE)&gt;R90,R90,VLOOKUP(D90,'Pre-Assessment Estimator'!$C$10:$W$100,'Pre-Assessment Estimator'!$R$2,FALSE))</f>
        <v>0</v>
      </c>
      <c r="AA90" s="367"/>
      <c r="AB90" s="368"/>
      <c r="AC90" s="368"/>
      <c r="AD90" s="368"/>
      <c r="AE90" s="369"/>
      <c r="AF90" s="169"/>
      <c r="AG90" s="367"/>
      <c r="AH90" s="368"/>
      <c r="AI90" s="368"/>
      <c r="AJ90" s="368"/>
      <c r="AK90" s="369"/>
      <c r="AM90" s="263"/>
      <c r="AN90" s="264"/>
      <c r="AO90" s="264"/>
      <c r="AP90" s="264"/>
      <c r="AQ90" s="265">
        <f t="shared" si="64"/>
        <v>0</v>
      </c>
      <c r="AR90" s="211">
        <f t="shared" si="73"/>
        <v>9</v>
      </c>
      <c r="AS90" s="214" t="str">
        <f t="shared" ref="AS90:AS98" si="81">VLOOKUP(AR90,$BB$8:$BC$14,2,FALSE)</f>
        <v>N/A</v>
      </c>
      <c r="AT90" s="215"/>
      <c r="AU90" s="211">
        <f t="shared" ref="AU90:AU98" si="82">IF(AQ90=0,9,IF(X90&gt;=AQ90,5,IF(X90&gt;=AP90,4,IF(X90&gt;=AO90,3,IF(X90&gt;=AN90,2,IF(X90&lt;AM90,0,1))))))</f>
        <v>9</v>
      </c>
      <c r="AV90" s="214" t="str">
        <f t="shared" ref="AV90:AV98" si="83">VLOOKUP(AU90,$BB$8:$BC$14,2,FALSE)</f>
        <v>N/A</v>
      </c>
      <c r="AW90" s="215"/>
      <c r="AX90" s="211">
        <f t="shared" si="67"/>
        <v>9</v>
      </c>
      <c r="AY90" s="214" t="str">
        <f t="shared" ref="AY90:AY98" si="84">VLOOKUP(AX90,$BB$8:$BC$14,2,FALSE)</f>
        <v>N/A</v>
      </c>
      <c r="AZ90" s="215"/>
      <c r="BK90" s="198" t="str">
        <f t="shared" ref="BK90:BK98" si="85">C90</f>
        <v>Inn 01</v>
      </c>
      <c r="BL90" s="198" t="str">
        <f>IFERROR(VLOOKUP($D90,'Pre-Assessment Estimator'!$C$10:$X$100,'Pre-Assessment Estimator'!X$2,FALSE),"")</f>
        <v>N/A</v>
      </c>
      <c r="BM90" s="198">
        <f>IFERROR(VLOOKUP($D90,'Pre-Assessment Estimator'!$C$10:$AE$100,'Pre-Assessment Estimator'!AE$2,FALSE),"")</f>
        <v>0</v>
      </c>
      <c r="BN90" s="198">
        <f t="shared" si="69"/>
        <v>1</v>
      </c>
      <c r="BO90" s="198">
        <f t="shared" si="70"/>
        <v>0</v>
      </c>
      <c r="BP90" s="198"/>
      <c r="BQ90" s="106" t="str">
        <f t="shared" si="71"/>
        <v/>
      </c>
    </row>
    <row r="91" spans="1:73" x14ac:dyDescent="0.25">
      <c r="A91" s="106">
        <v>84</v>
      </c>
      <c r="C91" s="202" t="s">
        <v>207</v>
      </c>
      <c r="D91" s="203" t="str">
        <f t="shared" si="79"/>
        <v>Inn 02 - Hea 02 Indoor air quality</v>
      </c>
      <c r="E91" s="216">
        <v>1</v>
      </c>
      <c r="F91" s="216">
        <v>1</v>
      </c>
      <c r="G91" s="216">
        <v>1</v>
      </c>
      <c r="H91" s="216">
        <v>1</v>
      </c>
      <c r="I91" s="217">
        <v>1</v>
      </c>
      <c r="K91" s="266">
        <f t="shared" si="80"/>
        <v>1</v>
      </c>
      <c r="L91" s="202"/>
      <c r="M91" s="203"/>
      <c r="N91" s="203"/>
      <c r="O91" s="203">
        <f>'Manuell filtrering og justering'!D89</f>
        <v>0</v>
      </c>
      <c r="P91" s="204">
        <f>VLOOKUP(C91,'Manuell filtrering og justering'!$A$7:$G$97,'Manuell filtrering og justering'!$G$1,FALSE)</f>
        <v>1</v>
      </c>
      <c r="Q91" s="205">
        <f t="shared" ref="Q91:Q98" si="86">IF(SUM(L91:O91)&gt;K91,K91,SUM(L91:O91))</f>
        <v>0</v>
      </c>
      <c r="R91" s="206">
        <f>IF($S$4='Manuell filtrering og justering'!$I$2,P91,(K91-Q91))</f>
        <v>1</v>
      </c>
      <c r="T91" s="207">
        <f>(Inn_Weight/Inn_Credits)*Inn02_credits</f>
        <v>0.01</v>
      </c>
      <c r="U91" s="207">
        <f>(T91/Inn02_credits)*Inn02_user</f>
        <v>0</v>
      </c>
      <c r="W91" s="259">
        <f>IF(VLOOKUP(D91,'Pre-Assessment Estimator'!$C$10:$W$100,'Pre-Assessment Estimator'!$E$2,FALSE)&gt;R91,R91,VLOOKUP(D91,'Pre-Assessment Estimator'!$C$10:$W$100,'Pre-Assessment Estimator'!$E$2,FALSE))</f>
        <v>0</v>
      </c>
      <c r="X91" s="208">
        <f>IF(VLOOKUP(D91,'Pre-Assessment Estimator'!$C$10:$W$100,'Pre-Assessment Estimator'!$L$2,FALSE)&gt;R91,R91,VLOOKUP(D91,'Pre-Assessment Estimator'!$C$10:$W$100,'Pre-Assessment Estimator'!$L$2,FALSE))</f>
        <v>0</v>
      </c>
      <c r="Y91" s="208">
        <f>IF(VLOOKUP(D91,'Pre-Assessment Estimator'!$C$10:$W$100,'Pre-Assessment Estimator'!$R$2,FALSE)&gt;R91,R91,VLOOKUP(D91,'Pre-Assessment Estimator'!$C$10:$W$100,'Pre-Assessment Estimator'!$R$2,FALSE))</f>
        <v>0</v>
      </c>
      <c r="AA91" s="361"/>
      <c r="AB91" s="362"/>
      <c r="AC91" s="362"/>
      <c r="AD91" s="362"/>
      <c r="AE91" s="363"/>
      <c r="AF91" s="169"/>
      <c r="AG91" s="361"/>
      <c r="AH91" s="362"/>
      <c r="AI91" s="362"/>
      <c r="AJ91" s="362"/>
      <c r="AK91" s="363"/>
      <c r="AM91" s="226"/>
      <c r="AN91" s="227"/>
      <c r="AO91" s="227"/>
      <c r="AP91" s="227"/>
      <c r="AQ91" s="228">
        <f t="shared" si="64"/>
        <v>0</v>
      </c>
      <c r="AR91" s="220">
        <f t="shared" si="73"/>
        <v>9</v>
      </c>
      <c r="AS91" s="203" t="str">
        <f t="shared" si="81"/>
        <v>N/A</v>
      </c>
      <c r="AT91" s="223"/>
      <c r="AU91" s="220">
        <f t="shared" si="82"/>
        <v>9</v>
      </c>
      <c r="AV91" s="203" t="str">
        <f t="shared" si="83"/>
        <v>N/A</v>
      </c>
      <c r="AW91" s="223"/>
      <c r="AX91" s="220">
        <f t="shared" si="67"/>
        <v>9</v>
      </c>
      <c r="AY91" s="203" t="str">
        <f t="shared" si="84"/>
        <v>N/A</v>
      </c>
      <c r="AZ91" s="223"/>
      <c r="BK91" s="203" t="str">
        <f t="shared" si="85"/>
        <v>Inn 02</v>
      </c>
      <c r="BL91" s="203" t="str">
        <f>IFERROR(VLOOKUP($D91,'Pre-Assessment Estimator'!$C$10:$X$100,'Pre-Assessment Estimator'!X$2,FALSE),"")</f>
        <v>N/A</v>
      </c>
      <c r="BM91" s="203">
        <f>IFERROR(VLOOKUP($D91,'Pre-Assessment Estimator'!$C$10:$AE$100,'Pre-Assessment Estimator'!AE$2,FALSE),"")</f>
        <v>0</v>
      </c>
      <c r="BN91" s="203">
        <f t="shared" si="69"/>
        <v>1</v>
      </c>
      <c r="BO91" s="203">
        <f t="shared" si="70"/>
        <v>0</v>
      </c>
      <c r="BP91" s="203"/>
      <c r="BQ91" s="106" t="str">
        <f t="shared" si="71"/>
        <v/>
      </c>
    </row>
    <row r="92" spans="1:73" x14ac:dyDescent="0.25">
      <c r="A92" s="106">
        <v>85</v>
      </c>
      <c r="C92" s="202" t="s">
        <v>208</v>
      </c>
      <c r="D92" s="203" t="str">
        <f t="shared" si="79"/>
        <v>Inn 03 - Tra 03 Alternative modes of transport</v>
      </c>
      <c r="E92" s="216">
        <v>1</v>
      </c>
      <c r="F92" s="216">
        <v>1</v>
      </c>
      <c r="G92" s="216">
        <v>1</v>
      </c>
      <c r="H92" s="216">
        <v>1</v>
      </c>
      <c r="I92" s="217">
        <v>1</v>
      </c>
      <c r="K92" s="266">
        <f t="shared" si="80"/>
        <v>1</v>
      </c>
      <c r="L92" s="202"/>
      <c r="M92" s="203"/>
      <c r="N92" s="203"/>
      <c r="O92" s="203">
        <f>'Manuell filtrering og justering'!D90</f>
        <v>0</v>
      </c>
      <c r="P92" s="204">
        <f>VLOOKUP(C92,'Manuell filtrering og justering'!$A$7:$G$97,'Manuell filtrering og justering'!$G$1,FALSE)</f>
        <v>1</v>
      </c>
      <c r="Q92" s="205">
        <f t="shared" si="86"/>
        <v>0</v>
      </c>
      <c r="R92" s="206">
        <f>IF($S$4='Manuell filtrering og justering'!$I$2,P92,(K92-Q92))</f>
        <v>1</v>
      </c>
      <c r="T92" s="207">
        <f>(Inn_Weight/Inn_Credits)*Inn03_credits</f>
        <v>0.01</v>
      </c>
      <c r="U92" s="207">
        <f>(T92/Inn03_credits)*Inn03_user</f>
        <v>0</v>
      </c>
      <c r="W92" s="259">
        <f>IF(VLOOKUP(D92,'Pre-Assessment Estimator'!$C$10:$W$100,'Pre-Assessment Estimator'!$E$2,FALSE)&gt;R92,R92,VLOOKUP(D92,'Pre-Assessment Estimator'!$C$10:$W$100,'Pre-Assessment Estimator'!$E$2,FALSE))</f>
        <v>0</v>
      </c>
      <c r="X92" s="208">
        <f>IF(VLOOKUP(D92,'Pre-Assessment Estimator'!$C$10:$W$100,'Pre-Assessment Estimator'!$L$2,FALSE)&gt;R92,R92,VLOOKUP(D92,'Pre-Assessment Estimator'!$C$10:$W$100,'Pre-Assessment Estimator'!$L$2,FALSE))</f>
        <v>0</v>
      </c>
      <c r="Y92" s="208">
        <f>IF(VLOOKUP(D92,'Pre-Assessment Estimator'!$C$10:$W$100,'Pre-Assessment Estimator'!$R$2,FALSE)&gt;R92,R92,VLOOKUP(D92,'Pre-Assessment Estimator'!$C$10:$W$100,'Pre-Assessment Estimator'!$R$2,FALSE))</f>
        <v>0</v>
      </c>
      <c r="AA92" s="361"/>
      <c r="AB92" s="362"/>
      <c r="AC92" s="362"/>
      <c r="AD92" s="362"/>
      <c r="AE92" s="363"/>
      <c r="AF92" s="169"/>
      <c r="AG92" s="361"/>
      <c r="AH92" s="362"/>
      <c r="AI92" s="362"/>
      <c r="AJ92" s="362"/>
      <c r="AK92" s="363"/>
      <c r="AM92" s="226"/>
      <c r="AN92" s="227"/>
      <c r="AO92" s="227"/>
      <c r="AP92" s="227"/>
      <c r="AQ92" s="228">
        <f t="shared" si="64"/>
        <v>0</v>
      </c>
      <c r="AR92" s="220">
        <f t="shared" si="73"/>
        <v>9</v>
      </c>
      <c r="AS92" s="203" t="str">
        <f t="shared" si="81"/>
        <v>N/A</v>
      </c>
      <c r="AT92" s="223"/>
      <c r="AU92" s="220">
        <f t="shared" si="82"/>
        <v>9</v>
      </c>
      <c r="AV92" s="203" t="str">
        <f t="shared" si="83"/>
        <v>N/A</v>
      </c>
      <c r="AW92" s="223"/>
      <c r="AX92" s="220">
        <f t="shared" si="67"/>
        <v>9</v>
      </c>
      <c r="AY92" s="203" t="str">
        <f t="shared" si="84"/>
        <v>N/A</v>
      </c>
      <c r="AZ92" s="223"/>
      <c r="BK92" s="203" t="str">
        <f t="shared" si="85"/>
        <v>Inn 03</v>
      </c>
      <c r="BL92" s="203" t="str">
        <f>IFERROR(VLOOKUP($D92,'Pre-Assessment Estimator'!$C$10:$X$100,'Pre-Assessment Estimator'!X$2,FALSE),"")</f>
        <v>N/A</v>
      </c>
      <c r="BM92" s="203">
        <f>IFERROR(VLOOKUP($D92,'Pre-Assessment Estimator'!$C$10:$AE$100,'Pre-Assessment Estimator'!AE$2,FALSE),"")</f>
        <v>0</v>
      </c>
      <c r="BN92" s="203">
        <f t="shared" si="69"/>
        <v>1</v>
      </c>
      <c r="BO92" s="203">
        <f t="shared" si="70"/>
        <v>0</v>
      </c>
      <c r="BP92" s="203"/>
      <c r="BQ92" s="106" t="str">
        <f t="shared" si="71"/>
        <v/>
      </c>
    </row>
    <row r="93" spans="1:73" x14ac:dyDescent="0.25">
      <c r="A93" s="106">
        <v>86</v>
      </c>
      <c r="C93" s="202" t="s">
        <v>209</v>
      </c>
      <c r="D93" s="203" t="str">
        <f t="shared" ref="D93:D98" si="87">C93&amp;" - "&amp;D112</f>
        <v>Inn 04 - Wat 01 Water consumption</v>
      </c>
      <c r="E93" s="216">
        <v>1</v>
      </c>
      <c r="F93" s="216">
        <v>1</v>
      </c>
      <c r="G93" s="216">
        <v>1</v>
      </c>
      <c r="H93" s="216">
        <v>1</v>
      </c>
      <c r="I93" s="217">
        <v>1</v>
      </c>
      <c r="K93" s="266">
        <f t="shared" si="80"/>
        <v>1</v>
      </c>
      <c r="L93" s="202"/>
      <c r="M93" s="203"/>
      <c r="N93" s="203"/>
      <c r="O93" s="203">
        <f>'Manuell filtrering og justering'!D91</f>
        <v>0</v>
      </c>
      <c r="P93" s="204">
        <f>VLOOKUP(C93,'Manuell filtrering og justering'!$A$7:$G$97,'Manuell filtrering og justering'!$G$1,FALSE)</f>
        <v>1</v>
      </c>
      <c r="Q93" s="205">
        <f t="shared" si="86"/>
        <v>0</v>
      </c>
      <c r="R93" s="206">
        <f>IF($S$4='Manuell filtrering og justering'!$I$2,P93,(K93-Q93))</f>
        <v>1</v>
      </c>
      <c r="T93" s="207">
        <f>(Inn_Weight/Inn_Credits)*Inn04_credits</f>
        <v>0.01</v>
      </c>
      <c r="U93" s="207">
        <f>IF(Inn04_credits=0,0,(T93/Inn04_credits)*Inn04_user)</f>
        <v>0</v>
      </c>
      <c r="W93" s="259">
        <f>IF(VLOOKUP(D93,'Pre-Assessment Estimator'!$C$10:$W$100,'Pre-Assessment Estimator'!$E$2,FALSE)&gt;R93,R93,VLOOKUP(D93,'Pre-Assessment Estimator'!$C$10:$W$100,'Pre-Assessment Estimator'!$E$2,FALSE))</f>
        <v>0</v>
      </c>
      <c r="X93" s="208">
        <f>IF(VLOOKUP(D93,'Pre-Assessment Estimator'!$C$10:$W$100,'Pre-Assessment Estimator'!$L$2,FALSE)&gt;R93,R93,VLOOKUP(D93,'Pre-Assessment Estimator'!$C$10:$W$100,'Pre-Assessment Estimator'!$L$2,FALSE))</f>
        <v>0</v>
      </c>
      <c r="Y93" s="208">
        <f>IF(VLOOKUP(D93,'Pre-Assessment Estimator'!$C$10:$W$100,'Pre-Assessment Estimator'!$R$2,FALSE)&gt;R93,R93,VLOOKUP(D93,'Pre-Assessment Estimator'!$C$10:$W$100,'Pre-Assessment Estimator'!$R$2,FALSE))</f>
        <v>0</v>
      </c>
      <c r="AA93" s="361"/>
      <c r="AB93" s="362"/>
      <c r="AC93" s="362"/>
      <c r="AD93" s="362"/>
      <c r="AE93" s="363"/>
      <c r="AF93" s="169"/>
      <c r="AG93" s="361"/>
      <c r="AH93" s="362"/>
      <c r="AI93" s="362"/>
      <c r="AJ93" s="362"/>
      <c r="AK93" s="363"/>
      <c r="AM93" s="226"/>
      <c r="AN93" s="227"/>
      <c r="AO93" s="227"/>
      <c r="AP93" s="227"/>
      <c r="AQ93" s="228">
        <f t="shared" si="64"/>
        <v>0</v>
      </c>
      <c r="AR93" s="220">
        <f t="shared" si="73"/>
        <v>9</v>
      </c>
      <c r="AS93" s="203" t="str">
        <f t="shared" si="81"/>
        <v>N/A</v>
      </c>
      <c r="AT93" s="223"/>
      <c r="AU93" s="220">
        <f t="shared" si="82"/>
        <v>9</v>
      </c>
      <c r="AV93" s="203" t="str">
        <f t="shared" si="83"/>
        <v>N/A</v>
      </c>
      <c r="AW93" s="223"/>
      <c r="AX93" s="220">
        <f t="shared" si="67"/>
        <v>9</v>
      </c>
      <c r="AY93" s="203" t="str">
        <f t="shared" si="84"/>
        <v>N/A</v>
      </c>
      <c r="AZ93" s="223"/>
      <c r="BK93" s="203" t="str">
        <f t="shared" si="85"/>
        <v>Inn 04</v>
      </c>
      <c r="BL93" s="203" t="str">
        <f>IFERROR(VLOOKUP($D93,'Pre-Assessment Estimator'!$C$10:$X$100,'Pre-Assessment Estimator'!X$2,FALSE),"")</f>
        <v>N/A</v>
      </c>
      <c r="BM93" s="203">
        <f>IFERROR(VLOOKUP($D93,'Pre-Assessment Estimator'!$C$10:$AE$100,'Pre-Assessment Estimator'!AE$2,FALSE),"")</f>
        <v>0</v>
      </c>
      <c r="BN93" s="203">
        <f t="shared" si="69"/>
        <v>1</v>
      </c>
      <c r="BO93" s="203">
        <f t="shared" si="70"/>
        <v>0</v>
      </c>
      <c r="BP93" s="203"/>
      <c r="BQ93" s="106" t="str">
        <f t="shared" si="71"/>
        <v/>
      </c>
    </row>
    <row r="94" spans="1:73" x14ac:dyDescent="0.25">
      <c r="A94" s="106">
        <v>87</v>
      </c>
      <c r="C94" s="202" t="s">
        <v>210</v>
      </c>
      <c r="D94" s="203" t="str">
        <f t="shared" si="87"/>
        <v>Inn 05 - Mat 01 Life cycle impacts</v>
      </c>
      <c r="E94" s="216">
        <v>2</v>
      </c>
      <c r="F94" s="216">
        <v>2</v>
      </c>
      <c r="G94" s="216">
        <v>2</v>
      </c>
      <c r="H94" s="216">
        <v>2</v>
      </c>
      <c r="I94" s="217">
        <v>2</v>
      </c>
      <c r="K94" s="266">
        <f t="shared" si="80"/>
        <v>2</v>
      </c>
      <c r="L94" s="202"/>
      <c r="M94" s="203"/>
      <c r="N94" s="203"/>
      <c r="O94" s="203">
        <f>'Manuell filtrering og justering'!D92</f>
        <v>0</v>
      </c>
      <c r="P94" s="204">
        <f>VLOOKUP(C94,'Manuell filtrering og justering'!$A$7:$G$97,'Manuell filtrering og justering'!$G$1,FALSE)</f>
        <v>1</v>
      </c>
      <c r="Q94" s="205">
        <f t="shared" si="86"/>
        <v>0</v>
      </c>
      <c r="R94" s="206">
        <f>IF($S$4='Manuell filtrering og justering'!$I$2,P94,(K94-Q94))</f>
        <v>2</v>
      </c>
      <c r="T94" s="207">
        <f>(Inn_Weight/Inn_Credits)*Inn05_credits</f>
        <v>0.02</v>
      </c>
      <c r="U94" s="207">
        <f>(T94/Inn05_credits)*Inn05_user</f>
        <v>0</v>
      </c>
      <c r="W94" s="259">
        <f>IF(VLOOKUP(D94,'Pre-Assessment Estimator'!$C$10:$W$100,'Pre-Assessment Estimator'!$E$2,FALSE)&gt;R94,R94,VLOOKUP(D94,'Pre-Assessment Estimator'!$C$10:$W$100,'Pre-Assessment Estimator'!$E$2,FALSE))</f>
        <v>0</v>
      </c>
      <c r="X94" s="208">
        <f>IF(VLOOKUP(D94,'Pre-Assessment Estimator'!$C$10:$W$100,'Pre-Assessment Estimator'!$L$2,FALSE)&gt;R94,R94,VLOOKUP(D94,'Pre-Assessment Estimator'!$C$10:$W$100,'Pre-Assessment Estimator'!$L$2,FALSE))</f>
        <v>0</v>
      </c>
      <c r="Y94" s="208">
        <f>IF(VLOOKUP(D94,'Pre-Assessment Estimator'!$C$10:$W$100,'Pre-Assessment Estimator'!$R$2,FALSE)&gt;R94,R94,VLOOKUP(D94,'Pre-Assessment Estimator'!$C$10:$W$100,'Pre-Assessment Estimator'!$R$2,FALSE))</f>
        <v>0</v>
      </c>
      <c r="AA94" s="361"/>
      <c r="AB94" s="362"/>
      <c r="AC94" s="362"/>
      <c r="AD94" s="362"/>
      <c r="AE94" s="363"/>
      <c r="AF94" s="169"/>
      <c r="AG94" s="361"/>
      <c r="AH94" s="362"/>
      <c r="AI94" s="362"/>
      <c r="AJ94" s="362"/>
      <c r="AK94" s="363"/>
      <c r="AM94" s="226"/>
      <c r="AN94" s="227"/>
      <c r="AO94" s="227"/>
      <c r="AP94" s="227"/>
      <c r="AQ94" s="228">
        <f t="shared" si="64"/>
        <v>0</v>
      </c>
      <c r="AR94" s="220">
        <f t="shared" si="73"/>
        <v>9</v>
      </c>
      <c r="AS94" s="203" t="str">
        <f t="shared" si="81"/>
        <v>N/A</v>
      </c>
      <c r="AT94" s="223"/>
      <c r="AU94" s="220">
        <f t="shared" si="82"/>
        <v>9</v>
      </c>
      <c r="AV94" s="203" t="str">
        <f t="shared" si="83"/>
        <v>N/A</v>
      </c>
      <c r="AW94" s="223"/>
      <c r="AX94" s="220">
        <f t="shared" si="67"/>
        <v>9</v>
      </c>
      <c r="AY94" s="203" t="str">
        <f t="shared" si="84"/>
        <v>N/A</v>
      </c>
      <c r="AZ94" s="223"/>
      <c r="BK94" s="203" t="str">
        <f t="shared" si="85"/>
        <v>Inn 05</v>
      </c>
      <c r="BL94" s="203" t="str">
        <f>IFERROR(VLOOKUP($D94,'Pre-Assessment Estimator'!$C$10:$X$100,'Pre-Assessment Estimator'!X$2,FALSE),"")</f>
        <v>N/A</v>
      </c>
      <c r="BM94" s="203">
        <f>IFERROR(VLOOKUP($D94,'Pre-Assessment Estimator'!$C$10:$AE$100,'Pre-Assessment Estimator'!AE$2,FALSE),"")</f>
        <v>0</v>
      </c>
      <c r="BN94" s="203">
        <f t="shared" si="69"/>
        <v>1</v>
      </c>
      <c r="BO94" s="203">
        <f t="shared" si="70"/>
        <v>0</v>
      </c>
      <c r="BP94" s="203"/>
      <c r="BQ94" s="106" t="str">
        <f t="shared" si="71"/>
        <v/>
      </c>
    </row>
    <row r="95" spans="1:73" x14ac:dyDescent="0.25">
      <c r="A95" s="106">
        <v>88</v>
      </c>
      <c r="C95" s="202" t="s">
        <v>211</v>
      </c>
      <c r="D95" s="203" t="str">
        <f t="shared" si="87"/>
        <v>Inn 06 - Mat 03 Responsible sourcing of materials</v>
      </c>
      <c r="E95" s="216">
        <v>1</v>
      </c>
      <c r="F95" s="216">
        <v>1</v>
      </c>
      <c r="G95" s="216">
        <v>1</v>
      </c>
      <c r="H95" s="216">
        <v>1</v>
      </c>
      <c r="I95" s="217">
        <v>1</v>
      </c>
      <c r="K95" s="266">
        <f t="shared" si="80"/>
        <v>1</v>
      </c>
      <c r="L95" s="202"/>
      <c r="M95" s="203"/>
      <c r="N95" s="203"/>
      <c r="O95" s="203">
        <f>'Manuell filtrering og justering'!D93</f>
        <v>0</v>
      </c>
      <c r="P95" s="204">
        <f>VLOOKUP(C95,'Manuell filtrering og justering'!$A$7:$G$97,'Manuell filtrering og justering'!$G$1,FALSE)</f>
        <v>1</v>
      </c>
      <c r="Q95" s="205">
        <f t="shared" si="86"/>
        <v>0</v>
      </c>
      <c r="R95" s="206">
        <f>IF($S$4='Manuell filtrering og justering'!$I$2,P95,(K95-Q95))</f>
        <v>1</v>
      </c>
      <c r="T95" s="207">
        <f>(Inn_Weight/Inn_Credits)*Inn06_credits</f>
        <v>0.01</v>
      </c>
      <c r="U95" s="207">
        <f>(T95/Inn06_credits)*Inn06_user</f>
        <v>0</v>
      </c>
      <c r="W95" s="259">
        <f>IF(VLOOKUP(D95,'Pre-Assessment Estimator'!$C$10:$W$100,'Pre-Assessment Estimator'!$E$2,FALSE)&gt;R95,R95,VLOOKUP(D95,'Pre-Assessment Estimator'!$C$10:$W$100,'Pre-Assessment Estimator'!$E$2,FALSE))</f>
        <v>0</v>
      </c>
      <c r="X95" s="208">
        <f>IF(VLOOKUP(D95,'Pre-Assessment Estimator'!$C$10:$W$100,'Pre-Assessment Estimator'!$L$2,FALSE)&gt;R95,R95,VLOOKUP(D95,'Pre-Assessment Estimator'!$C$10:$W$100,'Pre-Assessment Estimator'!$L$2,FALSE))</f>
        <v>0</v>
      </c>
      <c r="Y95" s="208">
        <f>IF(VLOOKUP(D95,'Pre-Assessment Estimator'!$C$10:$W$100,'Pre-Assessment Estimator'!$R$2,FALSE)&gt;R95,R95,VLOOKUP(D95,'Pre-Assessment Estimator'!$C$10:$W$100,'Pre-Assessment Estimator'!$R$2,FALSE))</f>
        <v>0</v>
      </c>
      <c r="AA95" s="361"/>
      <c r="AB95" s="362"/>
      <c r="AC95" s="362"/>
      <c r="AD95" s="362"/>
      <c r="AE95" s="363"/>
      <c r="AF95" s="169"/>
      <c r="AG95" s="361"/>
      <c r="AH95" s="362"/>
      <c r="AI95" s="362"/>
      <c r="AJ95" s="362"/>
      <c r="AK95" s="363"/>
      <c r="AM95" s="226"/>
      <c r="AN95" s="227"/>
      <c r="AO95" s="227"/>
      <c r="AP95" s="227"/>
      <c r="AQ95" s="228">
        <f t="shared" si="64"/>
        <v>0</v>
      </c>
      <c r="AR95" s="220">
        <f t="shared" si="73"/>
        <v>9</v>
      </c>
      <c r="AS95" s="203" t="str">
        <f t="shared" si="81"/>
        <v>N/A</v>
      </c>
      <c r="AT95" s="223"/>
      <c r="AU95" s="220">
        <f t="shared" si="82"/>
        <v>9</v>
      </c>
      <c r="AV95" s="203" t="str">
        <f t="shared" si="83"/>
        <v>N/A</v>
      </c>
      <c r="AW95" s="223"/>
      <c r="AX95" s="220">
        <f t="shared" si="67"/>
        <v>9</v>
      </c>
      <c r="AY95" s="203" t="str">
        <f t="shared" si="84"/>
        <v>N/A</v>
      </c>
      <c r="AZ95" s="223"/>
      <c r="BK95" s="203" t="str">
        <f t="shared" si="85"/>
        <v>Inn 06</v>
      </c>
      <c r="BL95" s="203" t="str">
        <f>IFERROR(VLOOKUP($D95,'Pre-Assessment Estimator'!$C$10:$X$100,'Pre-Assessment Estimator'!X$2,FALSE),"")</f>
        <v>N/A</v>
      </c>
      <c r="BM95" s="203">
        <f>IFERROR(VLOOKUP($D95,'Pre-Assessment Estimator'!$C$10:$AE$100,'Pre-Assessment Estimator'!AE$2,FALSE),"")</f>
        <v>0</v>
      </c>
      <c r="BN95" s="203">
        <f t="shared" si="69"/>
        <v>1</v>
      </c>
      <c r="BO95" s="203">
        <f t="shared" si="70"/>
        <v>0</v>
      </c>
      <c r="BP95" s="203"/>
      <c r="BQ95" s="106" t="str">
        <f t="shared" si="71"/>
        <v/>
      </c>
    </row>
    <row r="96" spans="1:73" x14ac:dyDescent="0.25">
      <c r="A96" s="106">
        <v>89</v>
      </c>
      <c r="C96" s="202" t="s">
        <v>212</v>
      </c>
      <c r="D96" s="203" t="str">
        <f t="shared" si="87"/>
        <v>Inn 07 - Wst 01 Construction site waste man.</v>
      </c>
      <c r="E96" s="216">
        <v>1</v>
      </c>
      <c r="F96" s="216">
        <v>1</v>
      </c>
      <c r="G96" s="216">
        <v>1</v>
      </c>
      <c r="H96" s="216">
        <v>1</v>
      </c>
      <c r="I96" s="217">
        <v>1</v>
      </c>
      <c r="K96" s="266">
        <f t="shared" si="80"/>
        <v>1</v>
      </c>
      <c r="L96" s="202"/>
      <c r="M96" s="203"/>
      <c r="N96" s="203"/>
      <c r="O96" s="203">
        <f>'Manuell filtrering og justering'!D94</f>
        <v>0</v>
      </c>
      <c r="P96" s="204">
        <f>VLOOKUP(C96,'Manuell filtrering og justering'!$A$7:$G$97,'Manuell filtrering og justering'!$G$1,FALSE)</f>
        <v>1</v>
      </c>
      <c r="Q96" s="205">
        <f t="shared" si="86"/>
        <v>0</v>
      </c>
      <c r="R96" s="206">
        <f>IF($S$4='Manuell filtrering og justering'!$I$2,P96,(K96-Q96))</f>
        <v>1</v>
      </c>
      <c r="T96" s="207">
        <f>(Inn_Weight/Inn_Credits)*Inn07_credits</f>
        <v>0.01</v>
      </c>
      <c r="U96" s="207">
        <f>(T96/Inn07_credits)*Inn07_user</f>
        <v>0</v>
      </c>
      <c r="W96" s="259">
        <f>IF(VLOOKUP(D96,'Pre-Assessment Estimator'!$C$10:$W$100,'Pre-Assessment Estimator'!$E$2,FALSE)&gt;R96,R96,VLOOKUP(D96,'Pre-Assessment Estimator'!$C$10:$W$100,'Pre-Assessment Estimator'!$E$2,FALSE))</f>
        <v>0</v>
      </c>
      <c r="X96" s="208">
        <f>IF(VLOOKUP(D96,'Pre-Assessment Estimator'!$C$10:$W$100,'Pre-Assessment Estimator'!$L$2,FALSE)&gt;R96,R96,VLOOKUP(D96,'Pre-Assessment Estimator'!$C$10:$W$100,'Pre-Assessment Estimator'!$L$2,FALSE))</f>
        <v>0</v>
      </c>
      <c r="Y96" s="208">
        <f>IF(VLOOKUP(D96,'Pre-Assessment Estimator'!$C$10:$W$100,'Pre-Assessment Estimator'!$R$2,FALSE)&gt;R96,R96,VLOOKUP(D96,'Pre-Assessment Estimator'!$C$10:$W$100,'Pre-Assessment Estimator'!$R$2,FALSE))</f>
        <v>0</v>
      </c>
      <c r="AA96" s="361"/>
      <c r="AB96" s="362"/>
      <c r="AC96" s="362"/>
      <c r="AD96" s="362"/>
      <c r="AE96" s="363"/>
      <c r="AF96" s="169"/>
      <c r="AG96" s="361"/>
      <c r="AH96" s="362"/>
      <c r="AI96" s="362"/>
      <c r="AJ96" s="362"/>
      <c r="AK96" s="363"/>
      <c r="AM96" s="226"/>
      <c r="AN96" s="227"/>
      <c r="AO96" s="227"/>
      <c r="AP96" s="227"/>
      <c r="AQ96" s="228">
        <f t="shared" si="64"/>
        <v>0</v>
      </c>
      <c r="AR96" s="220">
        <f t="shared" si="73"/>
        <v>9</v>
      </c>
      <c r="AS96" s="203" t="str">
        <f t="shared" si="81"/>
        <v>N/A</v>
      </c>
      <c r="AT96" s="223"/>
      <c r="AU96" s="220">
        <f t="shared" si="82"/>
        <v>9</v>
      </c>
      <c r="AV96" s="203" t="str">
        <f t="shared" si="83"/>
        <v>N/A</v>
      </c>
      <c r="AW96" s="223"/>
      <c r="AX96" s="220">
        <f t="shared" si="67"/>
        <v>9</v>
      </c>
      <c r="AY96" s="203" t="str">
        <f t="shared" si="84"/>
        <v>N/A</v>
      </c>
      <c r="AZ96" s="223"/>
      <c r="BK96" s="203" t="str">
        <f t="shared" si="85"/>
        <v>Inn 07</v>
      </c>
      <c r="BL96" s="203" t="str">
        <f>IFERROR(VLOOKUP($D96,'Pre-Assessment Estimator'!$C$10:$X$100,'Pre-Assessment Estimator'!X$2,FALSE),"")</f>
        <v>N/A</v>
      </c>
      <c r="BM96" s="203">
        <f>IFERROR(VLOOKUP($D96,'Pre-Assessment Estimator'!$C$10:$AE$100,'Pre-Assessment Estimator'!AE$2,FALSE),"")</f>
        <v>0</v>
      </c>
      <c r="BN96" s="203">
        <f t="shared" si="69"/>
        <v>1</v>
      </c>
      <c r="BO96" s="203">
        <f t="shared" si="70"/>
        <v>0</v>
      </c>
      <c r="BP96" s="203"/>
      <c r="BQ96" s="106" t="str">
        <f t="shared" si="71"/>
        <v/>
      </c>
    </row>
    <row r="97" spans="1:69" x14ac:dyDescent="0.25">
      <c r="A97" s="106">
        <v>90</v>
      </c>
      <c r="C97" s="202" t="s">
        <v>242</v>
      </c>
      <c r="D97" s="203" t="str">
        <f t="shared" si="87"/>
        <v>Inn 08 - Wst 02 Recycled aggregates</v>
      </c>
      <c r="E97" s="216">
        <v>1</v>
      </c>
      <c r="F97" s="216">
        <v>1</v>
      </c>
      <c r="G97" s="216">
        <v>1</v>
      </c>
      <c r="H97" s="216">
        <v>1</v>
      </c>
      <c r="I97" s="217">
        <v>1</v>
      </c>
      <c r="K97" s="266">
        <f t="shared" si="80"/>
        <v>1</v>
      </c>
      <c r="L97" s="202"/>
      <c r="M97" s="203"/>
      <c r="N97" s="203"/>
      <c r="O97" s="203">
        <f>'Manuell filtrering og justering'!D95</f>
        <v>0</v>
      </c>
      <c r="P97" s="204">
        <f>VLOOKUP(C97,'Manuell filtrering og justering'!$A$7:$G$97,'Manuell filtrering og justering'!$G$1,FALSE)</f>
        <v>1</v>
      </c>
      <c r="Q97" s="205">
        <f t="shared" si="86"/>
        <v>0</v>
      </c>
      <c r="R97" s="206">
        <f>IF($S$4='Manuell filtrering og justering'!$I$2,P97,(K97-Q97))</f>
        <v>1</v>
      </c>
      <c r="T97" s="207">
        <f>(Inn_Weight/Inn_Credits)*Inn08_credits</f>
        <v>0.01</v>
      </c>
      <c r="U97" s="207">
        <f>(T97/Inn08_credits)*Inn08_user</f>
        <v>0</v>
      </c>
      <c r="W97" s="259">
        <f>IF(VLOOKUP(D97,'Pre-Assessment Estimator'!$C$10:$W$100,'Pre-Assessment Estimator'!$E$2,FALSE)&gt;R97,R97,VLOOKUP(D97,'Pre-Assessment Estimator'!$C$10:$W$100,'Pre-Assessment Estimator'!$E$2,FALSE))</f>
        <v>0</v>
      </c>
      <c r="X97" s="208">
        <f>IF(VLOOKUP(D97,'Pre-Assessment Estimator'!$C$10:$W$100,'Pre-Assessment Estimator'!$L$2,FALSE)&gt;R97,R97,VLOOKUP(D97,'Pre-Assessment Estimator'!$C$10:$W$100,'Pre-Assessment Estimator'!$L$2,FALSE))</f>
        <v>0</v>
      </c>
      <c r="Y97" s="208">
        <f>IF(VLOOKUP(D97,'Pre-Assessment Estimator'!$C$10:$W$100,'Pre-Assessment Estimator'!$R$2,FALSE)&gt;R97,R97,VLOOKUP(D97,'Pre-Assessment Estimator'!$C$10:$W$100,'Pre-Assessment Estimator'!$R$2,FALSE))</f>
        <v>0</v>
      </c>
      <c r="AA97" s="361"/>
      <c r="AB97" s="362"/>
      <c r="AC97" s="362"/>
      <c r="AD97" s="362"/>
      <c r="AE97" s="363"/>
      <c r="AF97" s="169"/>
      <c r="AG97" s="361"/>
      <c r="AH97" s="362"/>
      <c r="AI97" s="362"/>
      <c r="AJ97" s="362"/>
      <c r="AK97" s="363"/>
      <c r="AM97" s="226"/>
      <c r="AN97" s="227"/>
      <c r="AO97" s="227"/>
      <c r="AP97" s="227"/>
      <c r="AQ97" s="228">
        <f>IF($D$5=$G$8,AK97,AE97)</f>
        <v>0</v>
      </c>
      <c r="AR97" s="220">
        <f t="shared" si="73"/>
        <v>9</v>
      </c>
      <c r="AS97" s="203" t="str">
        <f t="shared" si="81"/>
        <v>N/A</v>
      </c>
      <c r="AT97" s="223"/>
      <c r="AU97" s="220">
        <f t="shared" si="82"/>
        <v>9</v>
      </c>
      <c r="AV97" s="203" t="str">
        <f t="shared" si="83"/>
        <v>N/A</v>
      </c>
      <c r="AW97" s="223"/>
      <c r="AX97" s="220">
        <f t="shared" si="67"/>
        <v>9</v>
      </c>
      <c r="AY97" s="203" t="str">
        <f t="shared" si="84"/>
        <v>N/A</v>
      </c>
      <c r="AZ97" s="223"/>
      <c r="BK97" s="203" t="str">
        <f t="shared" si="85"/>
        <v>Inn 08</v>
      </c>
      <c r="BL97" s="203" t="str">
        <f>IFERROR(VLOOKUP($D97,'Pre-Assessment Estimator'!$C$10:$X$100,'Pre-Assessment Estimator'!X$2,FALSE),"")</f>
        <v>N/A</v>
      </c>
      <c r="BM97" s="203">
        <f>IFERROR(VLOOKUP($D97,'Pre-Assessment Estimator'!$C$10:$AE$100,'Pre-Assessment Estimator'!AE$2,FALSE),"")</f>
        <v>0</v>
      </c>
      <c r="BN97" s="203">
        <f t="shared" si="69"/>
        <v>1</v>
      </c>
      <c r="BO97" s="203">
        <f t="shared" si="70"/>
        <v>0</v>
      </c>
      <c r="BP97" s="203"/>
      <c r="BQ97" s="106" t="str">
        <f t="shared" si="71"/>
        <v/>
      </c>
    </row>
    <row r="98" spans="1:69" ht="15.75" thickBot="1" x14ac:dyDescent="0.3">
      <c r="A98" s="106">
        <v>91</v>
      </c>
      <c r="C98" s="279" t="s">
        <v>272</v>
      </c>
      <c r="D98" s="203" t="str">
        <f t="shared" si="87"/>
        <v xml:space="preserve">Inn 09 - Approved innovation credits </v>
      </c>
      <c r="E98" s="280">
        <v>10</v>
      </c>
      <c r="F98" s="280">
        <v>10</v>
      </c>
      <c r="G98" s="280">
        <v>10</v>
      </c>
      <c r="H98" s="280">
        <v>10</v>
      </c>
      <c r="I98" s="281">
        <v>10</v>
      </c>
      <c r="K98" s="282">
        <f t="shared" si="80"/>
        <v>10</v>
      </c>
      <c r="L98" s="230"/>
      <c r="M98" s="231"/>
      <c r="N98" s="231"/>
      <c r="O98" s="203">
        <f>'Manuell filtrering og justering'!D96</f>
        <v>0</v>
      </c>
      <c r="P98" s="204">
        <f>VLOOKUP(C98,'Manuell filtrering og justering'!$A$7:$G$97,'Manuell filtrering og justering'!$G$1,FALSE)</f>
        <v>10</v>
      </c>
      <c r="Q98" s="205">
        <f t="shared" si="86"/>
        <v>0</v>
      </c>
      <c r="R98" s="283">
        <f t="shared" ref="R98" si="88">K98-Q98</f>
        <v>10</v>
      </c>
      <c r="T98" s="207">
        <f>(Inn_Weight/Inn_Credits)*Inn09_credits</f>
        <v>0.1</v>
      </c>
      <c r="U98" s="207">
        <f>(T98/Inn09_credits)*Inn09_user</f>
        <v>0</v>
      </c>
      <c r="W98" s="259">
        <f>IF(VLOOKUP(D98,'Pre-Assessment Estimator'!$C$10:$W$100,'Pre-Assessment Estimator'!$E$2,FALSE)&gt;R98,R98,VLOOKUP(D98,'Pre-Assessment Estimator'!$C$10:$W$100,'Pre-Assessment Estimator'!$E$2,FALSE))</f>
        <v>0</v>
      </c>
      <c r="X98" s="208">
        <f>IF(VLOOKUP(D98,'Pre-Assessment Estimator'!$C$10:$W$100,'Pre-Assessment Estimator'!$L$2,FALSE)&gt;R98,R98,VLOOKUP(D98,'Pre-Assessment Estimator'!$C$10:$W$100,'Pre-Assessment Estimator'!$L$2,FALSE))</f>
        <v>0</v>
      </c>
      <c r="Y98" s="208">
        <f>IF(VLOOKUP(D98,'Pre-Assessment Estimator'!$C$10:$W$100,'Pre-Assessment Estimator'!$R$2,FALSE)&gt;R98,R98,VLOOKUP(D98,'Pre-Assessment Estimator'!$C$10:$W$100,'Pre-Assessment Estimator'!$R$2,FALSE))</f>
        <v>0</v>
      </c>
      <c r="AA98" s="364"/>
      <c r="AB98" s="365"/>
      <c r="AC98" s="365"/>
      <c r="AD98" s="365"/>
      <c r="AE98" s="366"/>
      <c r="AF98" s="169"/>
      <c r="AG98" s="364"/>
      <c r="AH98" s="365"/>
      <c r="AI98" s="365"/>
      <c r="AJ98" s="365"/>
      <c r="AK98" s="366"/>
      <c r="AM98" s="237"/>
      <c r="AN98" s="239"/>
      <c r="AO98" s="239"/>
      <c r="AP98" s="239"/>
      <c r="AQ98" s="240">
        <f>IF($D$5=$G$8,AK98,AE98)</f>
        <v>0</v>
      </c>
      <c r="AR98" s="241">
        <f t="shared" si="73"/>
        <v>9</v>
      </c>
      <c r="AS98" s="242" t="str">
        <f t="shared" si="81"/>
        <v>N/A</v>
      </c>
      <c r="AT98" s="243"/>
      <c r="AU98" s="241">
        <f t="shared" si="82"/>
        <v>9</v>
      </c>
      <c r="AV98" s="242" t="str">
        <f t="shared" si="83"/>
        <v>N/A</v>
      </c>
      <c r="AW98" s="243"/>
      <c r="AX98" s="241">
        <f t="shared" si="67"/>
        <v>9</v>
      </c>
      <c r="AY98" s="242" t="str">
        <f t="shared" si="84"/>
        <v>N/A</v>
      </c>
      <c r="AZ98" s="243"/>
      <c r="BK98" s="203" t="str">
        <f t="shared" si="85"/>
        <v>Inn 09</v>
      </c>
      <c r="BL98" s="203" t="str">
        <f>IFERROR(VLOOKUP($D98,'Pre-Assessment Estimator'!$C$10:$X$100,'Pre-Assessment Estimator'!X$2,FALSE),"")</f>
        <v>N/A</v>
      </c>
      <c r="BM98" s="203">
        <f>IFERROR(VLOOKUP($D98,'Pre-Assessment Estimator'!$C$10:$AE$100,'Pre-Assessment Estimator'!AE$2,FALSE),"")</f>
        <v>0</v>
      </c>
      <c r="BN98" s="203">
        <f t="shared" si="69"/>
        <v>1</v>
      </c>
      <c r="BO98" s="203">
        <f t="shared" si="70"/>
        <v>0</v>
      </c>
      <c r="BP98" s="203"/>
      <c r="BQ98" s="106" t="str">
        <f t="shared" si="71"/>
        <v/>
      </c>
    </row>
    <row r="99" spans="1:69" ht="15.75" thickBot="1" x14ac:dyDescent="0.3">
      <c r="A99" s="106">
        <v>92</v>
      </c>
      <c r="C99" s="244" t="s">
        <v>230</v>
      </c>
      <c r="D99" s="245"/>
      <c r="E99" s="245">
        <f>IF(SUM(E90:E98)&gt;10,10,SUM(E90:E98))</f>
        <v>10</v>
      </c>
      <c r="F99" s="245">
        <f t="shared" ref="F99:H99" si="89">IF(SUM(F90:F98)&gt;10,10,SUM(F90:F98))</f>
        <v>10</v>
      </c>
      <c r="G99" s="245">
        <f t="shared" si="89"/>
        <v>10</v>
      </c>
      <c r="H99" s="245">
        <f t="shared" si="89"/>
        <v>10</v>
      </c>
      <c r="I99" s="246">
        <f>IF(SUM(I90:I98)&gt;10,10,SUM(I90:I98))</f>
        <v>10</v>
      </c>
      <c r="K99" s="272">
        <f t="shared" si="80"/>
        <v>10</v>
      </c>
      <c r="L99" s="248"/>
      <c r="M99" s="249"/>
      <c r="N99" s="249"/>
      <c r="O99" s="249"/>
      <c r="P99" s="250"/>
      <c r="Q99" s="251">
        <f>SUM(Q90:Q98)</f>
        <v>0</v>
      </c>
      <c r="R99" s="273">
        <f>IF(SUM(R90:R98)&gt;10,10,SUM(R90:R98))</f>
        <v>10</v>
      </c>
      <c r="T99" s="284">
        <f>IF(SUM(T90:T98)&gt;0.1,0.1,(SUM(T90:T98)))</f>
        <v>0.1</v>
      </c>
      <c r="U99" s="284">
        <f>IF(SUM(U90:U98)&gt;0.1,0.1,(SUM(U90:U98)))</f>
        <v>0</v>
      </c>
      <c r="W99" s="47">
        <f>IF(SUM(W90:W98)&gt;10,10,SUM(W90:W98))</f>
        <v>0</v>
      </c>
      <c r="X99" s="47">
        <f t="shared" ref="X99" si="90">IF(SUM(X90:X98)&gt;10,10,SUM(X90:X98))</f>
        <v>0</v>
      </c>
      <c r="Y99" s="47">
        <f>IF(SUM(Y90:Y98)&gt;10,10,SUM(Y90:Y98))</f>
        <v>0</v>
      </c>
      <c r="AM99" s="107"/>
      <c r="AN99" s="107"/>
      <c r="AO99" s="107"/>
      <c r="AP99" s="107"/>
      <c r="AQ99" s="285"/>
      <c r="AR99" s="286"/>
      <c r="BK99" s="245"/>
      <c r="BL99" s="245" t="str">
        <f>IFERROR(VLOOKUP($D99,'Pre-Assessment Estimator'!$C$10:$X$100,'Pre-Assessment Estimator'!X$2,FALSE),"")</f>
        <v/>
      </c>
      <c r="BM99" s="245" t="str">
        <f>IFERROR(VLOOKUP($D99,'Pre-Assessment Estimator'!$C$10:$AE$100,'Pre-Assessment Estimator'!AE$2,FALSE),"")</f>
        <v/>
      </c>
      <c r="BN99" s="245" t="str">
        <f t="shared" si="69"/>
        <v/>
      </c>
      <c r="BO99" s="245" t="str">
        <f t="shared" si="70"/>
        <v/>
      </c>
      <c r="BP99" s="245"/>
      <c r="BQ99" s="106" t="str">
        <f t="shared" si="71"/>
        <v/>
      </c>
    </row>
    <row r="100" spans="1:69" ht="15.75" thickBot="1" x14ac:dyDescent="0.3">
      <c r="A100" s="106">
        <v>93</v>
      </c>
      <c r="AM100" s="107"/>
      <c r="AN100" s="107"/>
      <c r="AO100" s="107"/>
      <c r="AP100" s="107"/>
      <c r="AQ100" s="285"/>
      <c r="AR100" s="286"/>
      <c r="BL100" s="106" t="str">
        <f>IFERROR(VLOOKUP($D100,'Pre-Assessment Estimator'!$C$10:$X$100,'Pre-Assessment Estimator'!X$2,FALSE),"")</f>
        <v/>
      </c>
      <c r="BM100" s="106" t="str">
        <f>IFERROR(VLOOKUP($D100,'Pre-Assessment Estimator'!$C$10:$AE$100,'Pre-Assessment Estimator'!AE$2,FALSE),"")</f>
        <v/>
      </c>
      <c r="BN100" s="106" t="str">
        <f t="shared" si="69"/>
        <v/>
      </c>
      <c r="BO100" s="106" t="str">
        <f t="shared" si="70"/>
        <v/>
      </c>
      <c r="BQ100" s="106" t="str">
        <f t="shared" si="71"/>
        <v/>
      </c>
    </row>
    <row r="101" spans="1:69" ht="15.75" thickBot="1" x14ac:dyDescent="0.3">
      <c r="A101" s="106">
        <v>94</v>
      </c>
      <c r="C101" s="185"/>
      <c r="D101" s="186" t="s">
        <v>251</v>
      </c>
      <c r="E101" s="383" t="str">
        <f>$E$8</f>
        <v>Office</v>
      </c>
      <c r="F101" s="383" t="str">
        <f>$F$8</f>
        <v>Retail</v>
      </c>
      <c r="G101" s="383" t="str">
        <f>$G$8</f>
        <v>Residential</v>
      </c>
      <c r="H101" s="383" t="str">
        <f>$H$8</f>
        <v>Industrial</v>
      </c>
      <c r="I101" s="384" t="str">
        <f>$I$8</f>
        <v>Education</v>
      </c>
      <c r="K101" s="168" t="str">
        <f>$D$5</f>
        <v>Office</v>
      </c>
      <c r="L101" s="287"/>
      <c r="M101" s="288"/>
      <c r="N101" s="256"/>
      <c r="O101" s="256"/>
      <c r="P101" s="444" t="s">
        <v>405</v>
      </c>
      <c r="Q101" s="183" t="s">
        <v>230</v>
      </c>
      <c r="R101" s="168"/>
      <c r="W101" s="44"/>
      <c r="X101" s="64"/>
      <c r="Y101" s="64"/>
      <c r="AM101" s="107"/>
      <c r="AN101" s="107"/>
      <c r="AO101" s="107"/>
      <c r="AP101" s="107"/>
      <c r="AQ101" s="285"/>
      <c r="AR101" s="286"/>
      <c r="BK101" s="177"/>
      <c r="BL101" s="177" t="str">
        <f>D101</f>
        <v>Spesialtilfeller</v>
      </c>
      <c r="BM101" s="177" t="str">
        <f>IFERROR(VLOOKUP($D101,'Pre-Assessment Estimator'!$C$10:$AE$100,'Pre-Assessment Estimator'!AE$2,FALSE),"")</f>
        <v/>
      </c>
      <c r="BN101" s="177" t="str">
        <f t="shared" si="69"/>
        <v/>
      </c>
      <c r="BO101" s="177" t="str">
        <f t="shared" si="70"/>
        <v/>
      </c>
      <c r="BP101" s="177"/>
      <c r="BQ101" s="106" t="str">
        <f t="shared" si="71"/>
        <v/>
      </c>
    </row>
    <row r="102" spans="1:69" x14ac:dyDescent="0.25">
      <c r="A102" s="106">
        <v>95</v>
      </c>
      <c r="C102" s="263" t="s">
        <v>47</v>
      </c>
      <c r="D102" s="214" t="s">
        <v>281</v>
      </c>
      <c r="E102" s="261" t="s">
        <v>252</v>
      </c>
      <c r="F102" s="261" t="s">
        <v>252</v>
      </c>
      <c r="G102" s="261" t="s">
        <v>252</v>
      </c>
      <c r="H102" s="261" t="s">
        <v>252</v>
      </c>
      <c r="I102" s="262" t="s">
        <v>252</v>
      </c>
      <c r="K102" s="257" t="str">
        <f>HLOOKUP($D$5,$E$8:$I$103,$A102,FALSE)</f>
        <v>Yes/No</v>
      </c>
      <c r="L102" s="205"/>
      <c r="M102" s="289"/>
      <c r="N102" s="203"/>
      <c r="O102" s="203"/>
      <c r="P102" s="204"/>
      <c r="Q102" s="205"/>
      <c r="R102" s="258" t="str">
        <f>K102</f>
        <v>Yes/No</v>
      </c>
      <c r="T102" s="207"/>
      <c r="U102" s="290" t="s">
        <v>253</v>
      </c>
      <c r="W102" s="259">
        <f>VLOOKUP(Hea01_Crit1,'Pre-Assessment Estimator'!$C$10:$W$100,'Pre-Assessment Estimator'!$E$2,FALSE)</f>
        <v>0</v>
      </c>
      <c r="X102" s="208">
        <f>VLOOKUP(D102,'Pre-Assessment Estimator'!$C$10:$W$100,'Pre-Assessment Estimator'!$L$2,FALSE)</f>
        <v>0</v>
      </c>
      <c r="Y102" s="208">
        <f>VLOOKUP(D102,'Pre-Assessment Estimator'!$C$10:$W$100,'Pre-Assessment Estimator'!$R$2,FALSE)</f>
        <v>0</v>
      </c>
      <c r="AA102" s="260" t="s">
        <v>13</v>
      </c>
      <c r="AB102" s="261" t="s">
        <v>13</v>
      </c>
      <c r="AC102" s="261" t="s">
        <v>13</v>
      </c>
      <c r="AD102" s="261" t="s">
        <v>13</v>
      </c>
      <c r="AE102" s="262" t="s">
        <v>13</v>
      </c>
      <c r="AG102" s="260" t="s">
        <v>13</v>
      </c>
      <c r="AH102" s="261" t="s">
        <v>13</v>
      </c>
      <c r="AI102" s="261" t="s">
        <v>13</v>
      </c>
      <c r="AJ102" s="261" t="s">
        <v>13</v>
      </c>
      <c r="AK102" s="262" t="s">
        <v>13</v>
      </c>
      <c r="AM102" s="211" t="str">
        <f t="shared" ref="AM102:AP103" si="91">IF($D$5=$G$8,AG102,AA102)</f>
        <v>Yes</v>
      </c>
      <c r="AN102" s="212" t="str">
        <f t="shared" si="91"/>
        <v>Yes</v>
      </c>
      <c r="AO102" s="212" t="str">
        <f t="shared" si="91"/>
        <v>Yes</v>
      </c>
      <c r="AP102" s="212" t="str">
        <f t="shared" si="91"/>
        <v>Yes</v>
      </c>
      <c r="AQ102" s="275" t="str">
        <f>IF($D$5=$G$8,AK102,AE102)</f>
        <v>Yes</v>
      </c>
      <c r="AR102" s="211">
        <f>IF(W102="Yes",5,0)</f>
        <v>0</v>
      </c>
      <c r="AS102" s="214" t="str">
        <f>VLOOKUP(AR102,$BB$8:$BC$14,2,FALSE)</f>
        <v>Unclassified</v>
      </c>
      <c r="AT102" s="215"/>
      <c r="AU102" s="211">
        <f>IF(X102="Yes",5,0)</f>
        <v>0</v>
      </c>
      <c r="AV102" s="214" t="str">
        <f>VLOOKUP(AU102,$BB$8:$BC$14,2,FALSE)</f>
        <v>Unclassified</v>
      </c>
      <c r="AW102" s="215"/>
      <c r="AX102" s="211">
        <f>IF(Y102="Yes",5,0)</f>
        <v>0</v>
      </c>
      <c r="AY102" s="214" t="str">
        <f>VLOOKUP(AX102,$BB$8:$BC$14,2,FALSE)</f>
        <v>Unclassified</v>
      </c>
      <c r="AZ102" s="215"/>
      <c r="BK102" s="214"/>
      <c r="BL102" s="214"/>
      <c r="BM102" s="214">
        <f>IFERROR(VLOOKUP($D102,'Pre-Assessment Estimator'!$C$10:$AE$100,'Pre-Assessment Estimator'!AE$2,FALSE),"")</f>
        <v>0</v>
      </c>
      <c r="BN102" s="214" t="str">
        <f t="shared" si="69"/>
        <v/>
      </c>
      <c r="BO102" s="214" t="str">
        <f t="shared" si="70"/>
        <v/>
      </c>
      <c r="BP102" s="214"/>
      <c r="BQ102" s="106" t="str">
        <f t="shared" si="71"/>
        <v/>
      </c>
    </row>
    <row r="103" spans="1:69" ht="15.75" thickBot="1" x14ac:dyDescent="0.3">
      <c r="A103" s="106">
        <v>96</v>
      </c>
      <c r="C103" s="226" t="s">
        <v>4</v>
      </c>
      <c r="D103" s="203" t="s">
        <v>282</v>
      </c>
      <c r="E103" s="216" t="s">
        <v>252</v>
      </c>
      <c r="F103" s="216" t="s">
        <v>252</v>
      </c>
      <c r="G103" s="216" t="s">
        <v>252</v>
      </c>
      <c r="H103" s="216" t="s">
        <v>252</v>
      </c>
      <c r="I103" s="217" t="s">
        <v>252</v>
      </c>
      <c r="K103" s="266" t="str">
        <f>HLOOKUP($D$5,$E$8:$I$103,$A103,FALSE)</f>
        <v>Yes/No</v>
      </c>
      <c r="L103" s="291"/>
      <c r="M103" s="289"/>
      <c r="N103" s="203"/>
      <c r="O103" s="203"/>
      <c r="P103" s="204"/>
      <c r="Q103" s="205"/>
      <c r="R103" s="258" t="str">
        <f>K103</f>
        <v>Yes/No</v>
      </c>
      <c r="T103" s="207"/>
      <c r="U103" s="290" t="s">
        <v>253</v>
      </c>
      <c r="W103" s="259">
        <f>VLOOKUP(Mat01_Crit1,'Pre-Assessment Estimator'!$C$10:$W$100,'Pre-Assessment Estimator'!$E$2,FALSE)</f>
        <v>0</v>
      </c>
      <c r="X103" s="208">
        <f>VLOOKUP(D103,'Pre-Assessment Estimator'!$C$10:$W$100,'Pre-Assessment Estimator'!$L$2,FALSE)</f>
        <v>0</v>
      </c>
      <c r="Y103" s="208">
        <f>VLOOKUP(D103,'Pre-Assessment Estimator'!$C$10:$W$100,'Pre-Assessment Estimator'!$R$2,FALSE)</f>
        <v>0</v>
      </c>
      <c r="AA103" s="388" t="s">
        <v>13</v>
      </c>
      <c r="AB103" s="216" t="s">
        <v>13</v>
      </c>
      <c r="AC103" s="216" t="s">
        <v>13</v>
      </c>
      <c r="AD103" s="216" t="s">
        <v>13</v>
      </c>
      <c r="AE103" s="217" t="s">
        <v>13</v>
      </c>
      <c r="AG103" s="388" t="s">
        <v>13</v>
      </c>
      <c r="AH103" s="216" t="s">
        <v>13</v>
      </c>
      <c r="AI103" s="216" t="s">
        <v>13</v>
      </c>
      <c r="AJ103" s="216" t="s">
        <v>13</v>
      </c>
      <c r="AK103" s="217" t="s">
        <v>13</v>
      </c>
      <c r="AM103" s="220" t="str">
        <f t="shared" si="91"/>
        <v>Yes</v>
      </c>
      <c r="AN103" s="221" t="str">
        <f t="shared" si="91"/>
        <v>Yes</v>
      </c>
      <c r="AO103" s="221" t="str">
        <f t="shared" si="91"/>
        <v>Yes</v>
      </c>
      <c r="AP103" s="221" t="str">
        <f t="shared" si="91"/>
        <v>Yes</v>
      </c>
      <c r="AQ103" s="225" t="str">
        <f>IF($D$5=$G$8,AK103,AE103)</f>
        <v>Yes</v>
      </c>
      <c r="AR103" s="220">
        <f>IF(W103="Yes",5,0)</f>
        <v>0</v>
      </c>
      <c r="AS103" s="203" t="str">
        <f>VLOOKUP(AR103,$BB$8:$BC$14,2,FALSE)</f>
        <v>Unclassified</v>
      </c>
      <c r="AT103" s="223"/>
      <c r="AU103" s="220">
        <f>IF(X103="Yes",5,0)</f>
        <v>0</v>
      </c>
      <c r="AV103" s="203" t="str">
        <f>VLOOKUP(AU103,$BB$8:$BC$14,2,FALSE)</f>
        <v>Unclassified</v>
      </c>
      <c r="AW103" s="223"/>
      <c r="AX103" s="220">
        <f>IF(Y103="Yes",5,0)</f>
        <v>0</v>
      </c>
      <c r="AY103" s="203" t="str">
        <f>VLOOKUP(AX103,$BB$8:$BC$14,2,FALSE)</f>
        <v>Unclassified</v>
      </c>
      <c r="AZ103" s="223"/>
      <c r="BK103" s="203"/>
      <c r="BL103" s="203"/>
      <c r="BM103" s="203">
        <f>IFERROR(VLOOKUP($D103,'Pre-Assessment Estimator'!$C$10:$AE$100,'Pre-Assessment Estimator'!AE$2,FALSE),"")</f>
        <v>0</v>
      </c>
      <c r="BN103" s="203" t="str">
        <f t="shared" si="69"/>
        <v/>
      </c>
      <c r="BO103" s="203" t="str">
        <f t="shared" si="70"/>
        <v/>
      </c>
      <c r="BP103" s="203"/>
      <c r="BQ103" s="106" t="str">
        <f t="shared" si="71"/>
        <v/>
      </c>
    </row>
    <row r="104" spans="1:69" ht="15.75" thickBot="1" x14ac:dyDescent="0.3">
      <c r="A104" s="106">
        <v>97</v>
      </c>
      <c r="C104" s="237" t="s">
        <v>350</v>
      </c>
      <c r="D104" s="239" t="s">
        <v>351</v>
      </c>
      <c r="E104" s="235" t="s">
        <v>252</v>
      </c>
      <c r="F104" s="235" t="s">
        <v>252</v>
      </c>
      <c r="G104" s="235" t="s">
        <v>252</v>
      </c>
      <c r="H104" s="235" t="s">
        <v>252</v>
      </c>
      <c r="I104" s="236" t="s">
        <v>252</v>
      </c>
      <c r="K104" s="266" t="str">
        <f>HLOOKUP($D$5,$E$8:$I$104,$A104,FALSE)</f>
        <v>Yes/No</v>
      </c>
      <c r="L104" s="291"/>
      <c r="M104" s="289"/>
      <c r="N104" s="203"/>
      <c r="O104" s="203"/>
      <c r="P104" s="204"/>
      <c r="Q104" s="205"/>
      <c r="R104" s="258" t="str">
        <f>K104</f>
        <v>Yes/No</v>
      </c>
      <c r="T104" s="207"/>
      <c r="U104" s="290" t="s">
        <v>253</v>
      </c>
      <c r="W104" s="259">
        <f>VLOOKUP(Mat03_Crit1,'Pre-Assessment Estimator'!$C$10:$W$100,'Pre-Assessment Estimator'!$E$2,FALSE)</f>
        <v>0</v>
      </c>
      <c r="X104" s="208">
        <f>VLOOKUP(D104,'Pre-Assessment Estimator'!$C$10:$W$100,'Pre-Assessment Estimator'!$L$2,FALSE)</f>
        <v>0</v>
      </c>
      <c r="Y104" s="208">
        <f>VLOOKUP(D104,'Pre-Assessment Estimator'!$C$10:$W$100,'Pre-Assessment Estimator'!$R$2,FALSE)</f>
        <v>0</v>
      </c>
      <c r="AA104" s="385" t="s">
        <v>13</v>
      </c>
      <c r="AB104" s="386" t="s">
        <v>13</v>
      </c>
      <c r="AC104" s="386" t="s">
        <v>13</v>
      </c>
      <c r="AD104" s="386" t="s">
        <v>13</v>
      </c>
      <c r="AE104" s="387" t="s">
        <v>13</v>
      </c>
      <c r="AG104" s="385" t="s">
        <v>13</v>
      </c>
      <c r="AH104" s="386" t="s">
        <v>13</v>
      </c>
      <c r="AI104" s="386" t="s">
        <v>13</v>
      </c>
      <c r="AJ104" s="386" t="s">
        <v>13</v>
      </c>
      <c r="AK104" s="387" t="s">
        <v>13</v>
      </c>
      <c r="AM104" s="389" t="str">
        <f t="shared" ref="AM104" si="92">IF($D$5=$G$8,AG104,AA104)</f>
        <v>Yes</v>
      </c>
      <c r="AN104" s="390" t="str">
        <f t="shared" ref="AN104" si="93">IF($D$5=$G$8,AH104,AB104)</f>
        <v>Yes</v>
      </c>
      <c r="AO104" s="390" t="str">
        <f t="shared" ref="AO104" si="94">IF($D$5=$G$8,AI104,AC104)</f>
        <v>Yes</v>
      </c>
      <c r="AP104" s="390" t="str">
        <f t="shared" ref="AP104" si="95">IF($D$5=$G$8,AJ104,AD104)</f>
        <v>Yes</v>
      </c>
      <c r="AQ104" s="391" t="str">
        <f>IF($D$5=$G$8,AK104,AE104)</f>
        <v>Yes</v>
      </c>
      <c r="AR104" s="389">
        <f>IF(W104="Yes",5,0)</f>
        <v>0</v>
      </c>
      <c r="AS104" s="392" t="str">
        <f>VLOOKUP(AR104,$BB$8:$BC$14,2,FALSE)</f>
        <v>Unclassified</v>
      </c>
      <c r="AT104" s="393"/>
      <c r="AU104" s="389">
        <f>IF(X104="Yes",5,0)</f>
        <v>0</v>
      </c>
      <c r="AV104" s="392" t="str">
        <f>VLOOKUP(AU104,$BB$8:$BC$14,2,FALSE)</f>
        <v>Unclassified</v>
      </c>
      <c r="AW104" s="393"/>
      <c r="AX104" s="389">
        <f>IF(Y104="Yes",5,0)</f>
        <v>0</v>
      </c>
      <c r="AY104" s="392" t="str">
        <f>VLOOKUP(AX104,$BB$8:$BC$14,2,FALSE)</f>
        <v>Unclassified</v>
      </c>
      <c r="AZ104" s="393"/>
      <c r="BK104" s="239"/>
      <c r="BL104" s="239"/>
      <c r="BM104" s="239">
        <f>IFERROR(VLOOKUP($D104,'Pre-Assessment Estimator'!$C$10:$AE$100,'Pre-Assessment Estimator'!AE$2,FALSE),"")</f>
        <v>0</v>
      </c>
      <c r="BN104" s="239" t="str">
        <f t="shared" si="69"/>
        <v/>
      </c>
      <c r="BO104" s="239" t="str">
        <f t="shared" si="70"/>
        <v/>
      </c>
      <c r="BP104" s="239"/>
      <c r="BQ104" s="106" t="str">
        <f t="shared" si="71"/>
        <v/>
      </c>
    </row>
    <row r="106" spans="1:69" ht="15.75" thickBot="1" x14ac:dyDescent="0.3">
      <c r="D106" s="292" t="s">
        <v>286</v>
      </c>
      <c r="E106" s="106">
        <f>E16+E28+E41+E50+E57+E64+E71+E79+E87</f>
        <v>132</v>
      </c>
      <c r="F106" s="106">
        <f>F16+F28+F41+F50+F57+F64+F71+F79+F87</f>
        <v>131</v>
      </c>
      <c r="G106" s="106">
        <f>G16+G28+G41+G50+G57+G64+G71+G79+G87</f>
        <v>125</v>
      </c>
      <c r="H106" s="106">
        <f>H16+H28+H41+H50+H57+H64+H71+H79+H87</f>
        <v>131</v>
      </c>
      <c r="I106" s="106">
        <f>I16+I28+I41+I50+I57+I64+I71+I79+I87</f>
        <v>133</v>
      </c>
      <c r="K106" s="106">
        <f>K16+K28+K41+K50+K57+K64+K71+K79+K87+K99</f>
        <v>142</v>
      </c>
      <c r="Q106" s="106">
        <f>Q16+Q28+Q41+Q50+Q57+Q64+Q71+Q79+Q87+Q99</f>
        <v>13</v>
      </c>
      <c r="R106" s="106">
        <f>R16+R28+R41+R50+R57+R64+R71+R79+R87+R99</f>
        <v>129</v>
      </c>
    </row>
    <row r="107" spans="1:69" x14ac:dyDescent="0.25">
      <c r="AL107" s="906" t="s">
        <v>257</v>
      </c>
      <c r="AM107" s="907"/>
      <c r="AN107" s="907"/>
      <c r="AO107" s="907"/>
      <c r="AP107" s="907"/>
      <c r="AQ107" s="908"/>
      <c r="AR107" s="293">
        <f>MIN(AR9:AR104)</f>
        <v>0</v>
      </c>
      <c r="AS107" s="92" t="str">
        <f>VLOOKUP(AR107,$BB$8:$BC$14,2,FALSE)</f>
        <v>Unclassified</v>
      </c>
      <c r="AT107" s="93">
        <f>VLOOKUP(BP_MinStandards,BE107:BG112,2,FALSE)</f>
        <v>0</v>
      </c>
      <c r="AU107" s="293">
        <f>MIN(AU9:AU104)</f>
        <v>0</v>
      </c>
      <c r="AV107" s="92" t="str">
        <f>VLOOKUP(AU107,$BB$8:$BC$14,2,FALSE)</f>
        <v>Unclassified</v>
      </c>
      <c r="AW107" s="93">
        <f>VLOOKUP(BP_MinStandards_design,BE107:BG112,2,FALSE)</f>
        <v>0</v>
      </c>
      <c r="AX107" s="293">
        <f>MIN(AX9:AX104)</f>
        <v>0</v>
      </c>
      <c r="AY107" s="92" t="str">
        <f>VLOOKUP(AX107,$BB$8:$BC$14,2,FALSE)</f>
        <v>Unclassified</v>
      </c>
      <c r="AZ107" s="93">
        <f>VLOOKUP(BP_MinStandards_const,BE107:BG112,2,FALSE)</f>
        <v>0</v>
      </c>
      <c r="BC107" s="294" t="s">
        <v>261</v>
      </c>
      <c r="BD107" s="295">
        <v>0</v>
      </c>
      <c r="BE107" s="296" t="s">
        <v>77</v>
      </c>
      <c r="BF107" s="297">
        <v>0</v>
      </c>
    </row>
    <row r="108" spans="1:69" x14ac:dyDescent="0.25">
      <c r="C108" s="301"/>
      <c r="D108" s="301" t="s">
        <v>245</v>
      </c>
      <c r="E108" s="301"/>
      <c r="F108" s="301"/>
      <c r="G108" s="301"/>
      <c r="H108" s="301"/>
      <c r="I108" s="301"/>
      <c r="U108" s="106">
        <f>Man_cont_tot+Hea_cont_tot+Ene_cont_tot+Tra_cont_tot+Wat_cont_tot+Mat_cont_tot+Wst_cont_tot+LE_cont_tot+Pol_cont_tot+Inn_cont_tot</f>
        <v>0</v>
      </c>
      <c r="AL108" s="909" t="s">
        <v>258</v>
      </c>
      <c r="AM108" s="910"/>
      <c r="AN108" s="910"/>
      <c r="AO108" s="910"/>
      <c r="AP108" s="910"/>
      <c r="AQ108" s="911"/>
      <c r="AR108" s="289">
        <f>Man_Credits+Hea_Credits+Ene_Credits+Tra_Credits+Wat__Credits+Mat_Credits+Wst_Credits+LE_Credits+Pol_Credits+Inn_Credits</f>
        <v>129</v>
      </c>
      <c r="AS108" s="203"/>
      <c r="AT108" s="223"/>
      <c r="AU108" s="289">
        <f>Man_Credits+Hea_Credits+Ene_Credits+Tra_Credits+Wat__Credits+Mat_Credits+Wst_Credits+LE_Credits+Pol_Credits+Inn_Credits</f>
        <v>129</v>
      </c>
      <c r="AV108" s="203"/>
      <c r="AW108" s="223"/>
      <c r="AX108" s="289">
        <f>Man_Credits+Hea_Credits+Ene_Credits+Tra_Credits+Wat__Credits+Mat_Credits+Wst_Credits+LE_Credits+Pol_Credits+Inn_Credits</f>
        <v>129</v>
      </c>
      <c r="AY108" s="203"/>
      <c r="AZ108" s="223"/>
      <c r="BC108" s="298" t="s">
        <v>260</v>
      </c>
      <c r="BD108" s="299">
        <v>0.3</v>
      </c>
      <c r="BE108" s="109" t="s">
        <v>79</v>
      </c>
      <c r="BF108" s="300">
        <v>1</v>
      </c>
    </row>
    <row r="109" spans="1:69" x14ac:dyDescent="0.25">
      <c r="D109" s="106" t="s">
        <v>345</v>
      </c>
      <c r="AL109" s="909" t="s">
        <v>259</v>
      </c>
      <c r="AM109" s="910"/>
      <c r="AN109" s="910"/>
      <c r="AO109" s="910"/>
      <c r="AP109" s="910"/>
      <c r="AQ109" s="911"/>
      <c r="AR109" s="289">
        <f>Achieved_initial</f>
        <v>0</v>
      </c>
      <c r="AS109" s="203"/>
      <c r="AT109" s="223"/>
      <c r="AU109" s="289">
        <f>Achieved_design</f>
        <v>0</v>
      </c>
      <c r="AV109" s="203"/>
      <c r="AW109" s="223"/>
      <c r="AX109" s="289">
        <f>Achieved_const</f>
        <v>0</v>
      </c>
      <c r="AY109" s="203"/>
      <c r="AZ109" s="223"/>
      <c r="BC109" s="298" t="s">
        <v>260</v>
      </c>
      <c r="BD109" s="299">
        <v>0.45</v>
      </c>
      <c r="BE109" s="109" t="s">
        <v>80</v>
      </c>
      <c r="BF109" s="300">
        <v>2</v>
      </c>
    </row>
    <row r="110" spans="1:69" ht="15.75" thickBot="1" x14ac:dyDescent="0.3">
      <c r="D110" s="106" t="s">
        <v>116</v>
      </c>
      <c r="AL110" s="912" t="s">
        <v>262</v>
      </c>
      <c r="AM110" s="913"/>
      <c r="AN110" s="913"/>
      <c r="AO110" s="913"/>
      <c r="AP110" s="913"/>
      <c r="AQ110" s="914"/>
      <c r="AR110" s="96">
        <f>Score_Initial</f>
        <v>0</v>
      </c>
      <c r="AS110" s="94" t="str">
        <f>IF(AR110&gt;=BD112,BE112,IF(AR110&gt;=BD111,BE111,IF(AR110&gt;=BD110,BE110,IF(AR110&gt;=BD109,BE109,IF(AR110&gt;=BD108,BE108,BE107)))))</f>
        <v>Unclassified</v>
      </c>
      <c r="AT110" s="95">
        <f>VLOOKUP(AS110,BE107:BG112,2,FALSE)</f>
        <v>0</v>
      </c>
      <c r="AU110" s="96">
        <f>Score_design</f>
        <v>0</v>
      </c>
      <c r="AV110" s="94" t="str">
        <f>IF(AU110&gt;=BD112,BE112,IF(AU110&gt;=BD111,BE111,IF(AU110&gt;=BD110,BE110,IF(AU110&gt;=BD109,BE109,IF(AU110&gt;=BD108,BE108,BE107)))))</f>
        <v>Unclassified</v>
      </c>
      <c r="AW110" s="95">
        <f>VLOOKUP(AV110,BE107:BG112,2,FALSE)</f>
        <v>0</v>
      </c>
      <c r="AX110" s="96">
        <f>Score_const</f>
        <v>0</v>
      </c>
      <c r="AY110" s="94" t="str">
        <f>IF(AX110&gt;=BD112,BE112,IF(AX110&gt;=BD111,BE111,IF(AX110&gt;=BD110,BE110,IF(AX110&gt;=BD109,BE109,IF(AX110&gt;=BD108,BE108,BE107)))))</f>
        <v>Unclassified</v>
      </c>
      <c r="AZ110" s="95">
        <f>VLOOKUP(AY110,BE107:BG112,2,FALSE)</f>
        <v>0</v>
      </c>
      <c r="BC110" s="298" t="s">
        <v>260</v>
      </c>
      <c r="BD110" s="299">
        <v>0.55000000000000004</v>
      </c>
      <c r="BE110" s="109" t="s">
        <v>81</v>
      </c>
      <c r="BF110" s="300">
        <v>3</v>
      </c>
    </row>
    <row r="111" spans="1:69" ht="15.75" thickBot="1" x14ac:dyDescent="0.3">
      <c r="D111" s="106" t="s">
        <v>158</v>
      </c>
      <c r="AL111" s="159"/>
      <c r="AM111" s="159"/>
      <c r="AN111" s="159"/>
      <c r="AO111" s="159"/>
      <c r="AP111" s="159"/>
      <c r="AQ111" s="159"/>
      <c r="AR111" s="159"/>
      <c r="AS111" s="159"/>
      <c r="BC111" s="298" t="s">
        <v>260</v>
      </c>
      <c r="BD111" s="299">
        <v>0.7</v>
      </c>
      <c r="BE111" s="109" t="s">
        <v>82</v>
      </c>
      <c r="BF111" s="300">
        <v>4</v>
      </c>
    </row>
    <row r="112" spans="1:69" ht="15.75" thickBot="1" x14ac:dyDescent="0.3">
      <c r="D112" s="106" t="s">
        <v>165</v>
      </c>
      <c r="AL112" s="302" t="s">
        <v>263</v>
      </c>
      <c r="AM112" s="303"/>
      <c r="AN112" s="303"/>
      <c r="AO112" s="303"/>
      <c r="AP112" s="303"/>
      <c r="AQ112" s="304"/>
      <c r="AR112" s="305" t="s">
        <v>264</v>
      </c>
      <c r="AS112" s="67" t="str">
        <f>IF(AT112=1,(BP_MinStandards&amp;"*"),AS110)</f>
        <v>Unclassified</v>
      </c>
      <c r="AT112" s="66">
        <f>IF(AT107&lt;AT110,1,0)</f>
        <v>0</v>
      </c>
      <c r="AV112" s="67" t="str">
        <f>IF(AW112=1,(BP_MinStandards_design&amp;"*"),AV110)</f>
        <v>Unclassified</v>
      </c>
      <c r="AW112" s="66">
        <f>IF(AW107&lt;AW110,1,0)</f>
        <v>0</v>
      </c>
      <c r="AY112" s="67" t="str">
        <f>IF(AZ112=1,(BP_MinStandards_const&amp;"*"),AY110)</f>
        <v>Unclassified</v>
      </c>
      <c r="AZ112" s="66">
        <f>IF(AZ107&lt;AZ110,1,0)</f>
        <v>0</v>
      </c>
      <c r="BC112" s="306" t="s">
        <v>260</v>
      </c>
      <c r="BD112" s="307">
        <v>0.85</v>
      </c>
      <c r="BE112" s="308" t="s">
        <v>83</v>
      </c>
      <c r="BF112" s="309">
        <v>5</v>
      </c>
    </row>
    <row r="113" spans="3:51" x14ac:dyDescent="0.25">
      <c r="D113" s="106" t="s">
        <v>169</v>
      </c>
    </row>
    <row r="114" spans="3:51" x14ac:dyDescent="0.25">
      <c r="D114" s="106" t="s">
        <v>170</v>
      </c>
      <c r="AL114" s="106" t="s">
        <v>265</v>
      </c>
    </row>
    <row r="115" spans="3:51" x14ac:dyDescent="0.25">
      <c r="D115" s="106" t="s">
        <v>352</v>
      </c>
      <c r="AS115" s="310" t="str">
        <f>IF(AT112=1,AL114,"")</f>
        <v/>
      </c>
      <c r="AV115" s="310" t="str">
        <f>IF(AW112=1,AL114,"")</f>
        <v/>
      </c>
      <c r="AY115" s="310" t="str">
        <f>IF(AZ112=1,AL114,"")</f>
        <v/>
      </c>
    </row>
    <row r="116" spans="3:51" x14ac:dyDescent="0.25">
      <c r="D116" s="106" t="s">
        <v>340</v>
      </c>
    </row>
    <row r="117" spans="3:51" x14ac:dyDescent="0.25">
      <c r="D117" s="106" t="s">
        <v>359</v>
      </c>
      <c r="AL117" s="106" t="str">
        <f>"* = "&amp;AL114</f>
        <v>* = The rating has been limited to the min. standards level achieved</v>
      </c>
    </row>
    <row r="124" spans="3:51" x14ac:dyDescent="0.25">
      <c r="C124" s="106" t="s">
        <v>13</v>
      </c>
      <c r="D124" s="106" t="s">
        <v>356</v>
      </c>
      <c r="E124" s="106" t="s">
        <v>348</v>
      </c>
    </row>
    <row r="125" spans="3:51" x14ac:dyDescent="0.25">
      <c r="C125" s="106" t="s">
        <v>14</v>
      </c>
      <c r="D125" s="106" t="s">
        <v>356</v>
      </c>
      <c r="E125" s="106" t="s">
        <v>349</v>
      </c>
    </row>
    <row r="138" spans="3:7" ht="15.75" thickBot="1" x14ac:dyDescent="0.3">
      <c r="D138" s="849">
        <v>1</v>
      </c>
      <c r="E138" s="849">
        <v>2</v>
      </c>
      <c r="F138" s="849">
        <v>3</v>
      </c>
      <c r="G138" s="849">
        <v>4</v>
      </c>
    </row>
    <row r="139" spans="3:7" ht="15.75" thickBot="1" x14ac:dyDescent="0.3">
      <c r="C139" s="176"/>
      <c r="D139" s="837" t="s">
        <v>532</v>
      </c>
      <c r="E139" s="177" t="s">
        <v>538</v>
      </c>
      <c r="F139" s="177" t="s">
        <v>540</v>
      </c>
      <c r="G139" s="188" t="s">
        <v>541</v>
      </c>
    </row>
    <row r="140" spans="3:7" x14ac:dyDescent="0.25">
      <c r="C140" s="197" t="s">
        <v>533</v>
      </c>
      <c r="D140" s="834" t="str">
        <f>'Pre-Assessment Estimator'!AG18</f>
        <v>O1: Glare ctrl/artificial light</v>
      </c>
      <c r="E140" s="198">
        <v>0</v>
      </c>
      <c r="F140" s="198" t="s">
        <v>539</v>
      </c>
      <c r="G140" s="841"/>
    </row>
    <row r="141" spans="3:7" x14ac:dyDescent="0.25">
      <c r="C141" s="202" t="s">
        <v>533</v>
      </c>
      <c r="D141" s="77" t="str">
        <f>'Pre-Assessment Estimator'!AH18</f>
        <v>O2: Glare control (-0,5 c)</v>
      </c>
      <c r="E141" s="203">
        <v>-0.5</v>
      </c>
      <c r="F141" s="203" t="s">
        <v>539</v>
      </c>
      <c r="G141" s="223"/>
    </row>
    <row r="142" spans="3:7" x14ac:dyDescent="0.25">
      <c r="C142" s="202" t="s">
        <v>533</v>
      </c>
      <c r="D142" s="77" t="str">
        <f>'Pre-Assessment Estimator'!AI18</f>
        <v>O2: Artificial lighting (-0,5 c)</v>
      </c>
      <c r="E142" s="203">
        <v>-0.5</v>
      </c>
      <c r="F142" s="203" t="s">
        <v>539</v>
      </c>
      <c r="G142" s="223"/>
    </row>
    <row r="143" spans="3:7" x14ac:dyDescent="0.25">
      <c r="C143" s="202" t="s">
        <v>533</v>
      </c>
      <c r="D143" s="77" t="str">
        <f>'Pre-Assessment Estimator'!AJ18</f>
        <v>O2: Glare ctrl &amp; artif light (-1,0 c)</v>
      </c>
      <c r="E143" s="203">
        <v>-1</v>
      </c>
      <c r="F143" s="203" t="s">
        <v>539</v>
      </c>
      <c r="G143" s="223"/>
    </row>
    <row r="144" spans="3:7" x14ac:dyDescent="0.25">
      <c r="C144" s="202" t="s">
        <v>533</v>
      </c>
      <c r="D144" s="77" t="str">
        <f>'Pre-Assessment Estimator'!AK18</f>
        <v>O3: Glare ctrl/artif lighting</v>
      </c>
      <c r="E144" s="203">
        <v>0</v>
      </c>
      <c r="F144" s="203" t="s">
        <v>539</v>
      </c>
      <c r="G144" s="223"/>
    </row>
    <row r="145" spans="3:7" ht="15.75" thickBot="1" x14ac:dyDescent="0.3">
      <c r="C145" s="276" t="s">
        <v>533</v>
      </c>
      <c r="D145" s="835" t="str">
        <f>'Pre-Assessment Estimator'!AL18</f>
        <v>Glare ctrl/artif lighting N/A</v>
      </c>
      <c r="E145" s="242">
        <v>0</v>
      </c>
      <c r="F145" s="242" t="s">
        <v>539</v>
      </c>
      <c r="G145" s="243">
        <v>2</v>
      </c>
    </row>
    <row r="146" spans="3:7" x14ac:dyDescent="0.25">
      <c r="C146" s="197" t="s">
        <v>534</v>
      </c>
      <c r="D146" s="834" t="str">
        <f>'Pre-Assessment Estimator'!AG20</f>
        <v>O1: VOC</v>
      </c>
      <c r="E146" s="198">
        <v>0</v>
      </c>
      <c r="F146" s="198" t="s">
        <v>539</v>
      </c>
      <c r="G146" s="841"/>
    </row>
    <row r="147" spans="3:7" x14ac:dyDescent="0.25">
      <c r="C147" s="202" t="s">
        <v>534</v>
      </c>
      <c r="D147" s="77" t="str">
        <f>'Pre-Assessment Estimator'!AH20</f>
        <v>O2: VOC (AC 6-7: -0,5 c)</v>
      </c>
      <c r="E147" s="203">
        <v>-0.5</v>
      </c>
      <c r="F147" s="203" t="s">
        <v>539</v>
      </c>
      <c r="G147" s="223"/>
    </row>
    <row r="148" spans="3:7" x14ac:dyDescent="0.25">
      <c r="C148" s="202" t="s">
        <v>534</v>
      </c>
      <c r="D148" s="77" t="str">
        <f>'Pre-Assessment Estimator'!AI20</f>
        <v>O2: VOC (AC 8-9: -1,0 c)</v>
      </c>
      <c r="E148" s="203">
        <v>-1</v>
      </c>
      <c r="F148" s="203" t="s">
        <v>539</v>
      </c>
      <c r="G148" s="223"/>
    </row>
    <row r="149" spans="3:7" x14ac:dyDescent="0.25">
      <c r="C149" s="202" t="s">
        <v>534</v>
      </c>
      <c r="D149" s="77" t="str">
        <f>'Pre-Assessment Estimator'!AJ20</f>
        <v>O3: VOC</v>
      </c>
      <c r="E149" s="203">
        <v>0</v>
      </c>
      <c r="F149" s="203" t="s">
        <v>539</v>
      </c>
      <c r="G149" s="223"/>
    </row>
    <row r="150" spans="3:7" ht="15.75" thickBot="1" x14ac:dyDescent="0.3">
      <c r="C150" s="230" t="s">
        <v>534</v>
      </c>
      <c r="D150" s="839" t="str">
        <f>'Pre-Assessment Estimator'!AK20</f>
        <v>VOC N/A</v>
      </c>
      <c r="E150" s="231">
        <v>0</v>
      </c>
      <c r="F150" s="231" t="s">
        <v>539</v>
      </c>
      <c r="G150" s="840">
        <v>5</v>
      </c>
    </row>
    <row r="151" spans="3:7" x14ac:dyDescent="0.25">
      <c r="C151" s="394" t="s">
        <v>535</v>
      </c>
      <c r="D151" s="838" t="str">
        <f>'Pre-Assessment Estimator'!AG32</f>
        <v>O1: Sub-metering</v>
      </c>
      <c r="E151" s="214">
        <v>0</v>
      </c>
      <c r="F151" s="214" t="s">
        <v>539</v>
      </c>
      <c r="G151" s="215"/>
    </row>
    <row r="152" spans="3:7" x14ac:dyDescent="0.25">
      <c r="C152" s="202" t="s">
        <v>535</v>
      </c>
      <c r="D152" s="77" t="str">
        <f>'Pre-Assessment Estimator'!AH32</f>
        <v>O2: Sub-met. (AC 1-3: -0,5 c)</v>
      </c>
      <c r="E152" s="203">
        <v>-0.5</v>
      </c>
      <c r="F152" s="203" t="s">
        <v>539</v>
      </c>
      <c r="G152" s="223"/>
    </row>
    <row r="153" spans="3:7" x14ac:dyDescent="0.25">
      <c r="C153" s="202" t="s">
        <v>535</v>
      </c>
      <c r="D153" s="77" t="str">
        <f>'Pre-Assessment Estimator'!AI32</f>
        <v>O2: Sub-met. (AC 4-7: -1,0 c)</v>
      </c>
      <c r="E153" s="203">
        <v>-1</v>
      </c>
      <c r="F153" s="203" t="s">
        <v>539</v>
      </c>
      <c r="G153" s="223"/>
    </row>
    <row r="154" spans="3:7" x14ac:dyDescent="0.25">
      <c r="C154" s="202" t="s">
        <v>535</v>
      </c>
      <c r="D154" s="77" t="str">
        <f>'Pre-Assessment Estimator'!AJ32</f>
        <v>O3: Sub-metering</v>
      </c>
      <c r="E154" s="203">
        <v>0</v>
      </c>
      <c r="F154" s="203" t="s">
        <v>539</v>
      </c>
      <c r="G154" s="223"/>
    </row>
    <row r="155" spans="3:7" ht="15.75" thickBot="1" x14ac:dyDescent="0.3">
      <c r="C155" s="230" t="s">
        <v>535</v>
      </c>
      <c r="D155" s="839" t="str">
        <f>'Pre-Assessment Estimator'!AK32</f>
        <v>Sub-metering N/A</v>
      </c>
      <c r="E155" s="231">
        <v>0</v>
      </c>
      <c r="F155" s="231" t="s">
        <v>539</v>
      </c>
      <c r="G155" s="840">
        <v>1</v>
      </c>
    </row>
    <row r="156" spans="3:7" x14ac:dyDescent="0.25">
      <c r="C156" s="394" t="s">
        <v>536</v>
      </c>
      <c r="D156" s="838" t="str">
        <f>'Pre-Assessment Estimator'!AG55</f>
        <v>O1: Flow control</v>
      </c>
      <c r="E156" s="214">
        <v>0</v>
      </c>
      <c r="F156" s="214" t="s">
        <v>539</v>
      </c>
      <c r="G156" s="215"/>
    </row>
    <row r="157" spans="3:7" x14ac:dyDescent="0.25">
      <c r="C157" s="202" t="s">
        <v>536</v>
      </c>
      <c r="D157" s="77" t="str">
        <f>'Pre-Assessment Estimator'!AH55</f>
        <v>O2: Flow control (-0,5 c)</v>
      </c>
      <c r="E157" s="203">
        <v>-0.5</v>
      </c>
      <c r="F157" s="203" t="s">
        <v>539</v>
      </c>
      <c r="G157" s="223"/>
    </row>
    <row r="158" spans="3:7" x14ac:dyDescent="0.25">
      <c r="C158" s="202" t="s">
        <v>536</v>
      </c>
      <c r="D158" s="77" t="str">
        <f>'Pre-Assessment Estimator'!AI55</f>
        <v xml:space="preserve">O3: Flow control </v>
      </c>
      <c r="E158" s="203">
        <v>0</v>
      </c>
      <c r="F158" s="203" t="s">
        <v>539</v>
      </c>
      <c r="G158" s="223"/>
    </row>
    <row r="159" spans="3:7" ht="15.75" thickBot="1" x14ac:dyDescent="0.3">
      <c r="C159" s="276" t="s">
        <v>536</v>
      </c>
      <c r="D159" s="835" t="str">
        <f>'Pre-Assessment Estimator'!AJ55</f>
        <v>Flow control N/A</v>
      </c>
      <c r="E159" s="242">
        <v>0</v>
      </c>
      <c r="F159" s="242" t="s">
        <v>539</v>
      </c>
      <c r="G159" s="243">
        <v>1</v>
      </c>
    </row>
    <row r="160" spans="3:7" ht="15.75" thickBot="1" x14ac:dyDescent="0.3">
      <c r="C160" s="845" t="s">
        <v>201</v>
      </c>
      <c r="D160" s="846" t="s">
        <v>531</v>
      </c>
      <c r="E160" s="847">
        <v>1</v>
      </c>
      <c r="F160" s="847" t="s">
        <v>542</v>
      </c>
      <c r="G160" s="297"/>
    </row>
    <row r="161" spans="3:7" x14ac:dyDescent="0.25">
      <c r="C161" s="394"/>
      <c r="D161" s="844" t="s">
        <v>537</v>
      </c>
      <c r="E161" s="214"/>
      <c r="F161" s="214"/>
      <c r="G161" s="215"/>
    </row>
    <row r="162" spans="3:7" x14ac:dyDescent="0.25">
      <c r="C162" s="202"/>
      <c r="D162" s="836" t="s">
        <v>537</v>
      </c>
      <c r="E162" s="203"/>
      <c r="F162" s="203"/>
      <c r="G162" s="223"/>
    </row>
    <row r="163" spans="3:7" x14ac:dyDescent="0.25">
      <c r="C163" s="202"/>
      <c r="D163" s="836" t="s">
        <v>537</v>
      </c>
      <c r="E163" s="203"/>
      <c r="F163" s="203"/>
      <c r="G163" s="223"/>
    </row>
    <row r="164" spans="3:7" x14ac:dyDescent="0.25">
      <c r="C164" s="202"/>
      <c r="D164" s="836" t="s">
        <v>537</v>
      </c>
      <c r="E164" s="203"/>
      <c r="F164" s="203"/>
      <c r="G164" s="223"/>
    </row>
    <row r="165" spans="3:7" ht="15.75" thickBot="1" x14ac:dyDescent="0.3">
      <c r="C165" s="230"/>
      <c r="D165" s="843" t="s">
        <v>537</v>
      </c>
      <c r="E165" s="231"/>
      <c r="F165" s="231"/>
      <c r="G165" s="840"/>
    </row>
    <row r="166" spans="3:7" x14ac:dyDescent="0.25">
      <c r="C166" s="394"/>
      <c r="D166" s="214" t="s">
        <v>526</v>
      </c>
      <c r="E166" s="214">
        <v>1</v>
      </c>
      <c r="F166" s="214"/>
      <c r="G166" s="215"/>
    </row>
    <row r="167" spans="3:7" x14ac:dyDescent="0.25">
      <c r="C167" s="202"/>
      <c r="D167" s="203" t="s">
        <v>530</v>
      </c>
      <c r="E167" s="203">
        <v>0.5</v>
      </c>
      <c r="F167" s="203"/>
      <c r="G167" s="223"/>
    </row>
    <row r="168" spans="3:7" ht="15.75" thickBot="1" x14ac:dyDescent="0.3">
      <c r="C168" s="276"/>
      <c r="D168" s="242" t="s">
        <v>528</v>
      </c>
      <c r="E168" s="242">
        <v>1</v>
      </c>
      <c r="F168" s="242"/>
      <c r="G168" s="243"/>
    </row>
    <row r="169" spans="3:7" x14ac:dyDescent="0.25">
      <c r="C169" s="197"/>
      <c r="D169" s="842" t="s">
        <v>537</v>
      </c>
      <c r="E169" s="198"/>
      <c r="F169" s="198"/>
      <c r="G169" s="841"/>
    </row>
    <row r="170" spans="3:7" x14ac:dyDescent="0.25">
      <c r="C170" s="202"/>
      <c r="D170" s="836" t="s">
        <v>537</v>
      </c>
      <c r="E170" s="203"/>
      <c r="F170" s="203"/>
      <c r="G170" s="223"/>
    </row>
    <row r="171" spans="3:7" x14ac:dyDescent="0.25">
      <c r="C171" s="202"/>
      <c r="D171" s="836" t="s">
        <v>537</v>
      </c>
      <c r="E171" s="203"/>
      <c r="F171" s="203"/>
      <c r="G171" s="223"/>
    </row>
    <row r="172" spans="3:7" x14ac:dyDescent="0.25">
      <c r="C172" s="202"/>
      <c r="D172" s="203" t="str">
        <f>AIS_NA</f>
        <v>N/A</v>
      </c>
      <c r="E172" s="203">
        <v>1</v>
      </c>
      <c r="F172" s="203"/>
      <c r="G172" s="223"/>
    </row>
    <row r="173" spans="3:7" ht="15.75" thickBot="1" x14ac:dyDescent="0.3">
      <c r="C173" s="276"/>
      <c r="D173" s="242" t="s">
        <v>14</v>
      </c>
      <c r="E173" s="242">
        <v>1</v>
      </c>
      <c r="F173" s="242"/>
      <c r="G173" s="243"/>
    </row>
  </sheetData>
  <sheetProtection algorithmName="SHA-512" hashValue="bfRpUgvBBSOXrpzVGaLZaM1osRBU3OKbnjF8dgH7wf9hEsr082pH9AritbScuvp7KqYi5GNyWi4Twe3YmwPnaw==" saltValue="J59KIOfoTCEixFLrkS9qHA==" spinCount="100000" sheet="1" selectLockedCells="1"/>
  <sortState xmlns:xlrd2="http://schemas.microsoft.com/office/spreadsheetml/2017/richdata2" ref="D158:E241">
    <sortCondition ref="E158:E241"/>
  </sortState>
  <mergeCells count="12">
    <mergeCell ref="AL109:AQ109"/>
    <mergeCell ref="AL110:AQ110"/>
    <mergeCell ref="E7:I7"/>
    <mergeCell ref="L7:P7"/>
    <mergeCell ref="AA7:AE7"/>
    <mergeCell ref="AG7:AK7"/>
    <mergeCell ref="AM7:AQ7"/>
    <mergeCell ref="AX7:AZ7"/>
    <mergeCell ref="AR7:AT7"/>
    <mergeCell ref="AU7:AW7"/>
    <mergeCell ref="AL107:AQ107"/>
    <mergeCell ref="AL108:AQ108"/>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10"/>
  <sheetViews>
    <sheetView zoomScale="70" zoomScaleNormal="70" workbookViewId="0">
      <selection activeCell="H2" sqref="H2"/>
    </sheetView>
  </sheetViews>
  <sheetFormatPr defaultColWidth="8.85546875" defaultRowHeight="15" x14ac:dyDescent="0.25"/>
  <cols>
    <col min="2" max="2" width="60.28515625" bestFit="1" customWidth="1"/>
    <col min="3" max="3" width="19.85546875" customWidth="1"/>
    <col min="4" max="4" width="27.140625" bestFit="1" customWidth="1"/>
    <col min="5" max="5" width="22.5703125" style="31" bestFit="1" customWidth="1"/>
    <col min="7" max="7" width="11.140625" bestFit="1" customWidth="1"/>
    <col min="17" max="17" width="20.140625" bestFit="1" customWidth="1"/>
    <col min="18" max="18" width="45.85546875" customWidth="1"/>
    <col min="19" max="19" width="46.28515625" customWidth="1"/>
    <col min="20" max="20" width="36.140625" customWidth="1"/>
  </cols>
  <sheetData>
    <row r="1" spans="1:20" s="31" customFormat="1" ht="15.75" thickBot="1" x14ac:dyDescent="0.3">
      <c r="G1" s="31">
        <v>7</v>
      </c>
    </row>
    <row r="2" spans="1:20" s="31" customFormat="1" ht="15.75" thickBot="1" x14ac:dyDescent="0.3">
      <c r="B2" s="73" t="s">
        <v>270</v>
      </c>
      <c r="C2" s="73"/>
      <c r="D2" s="73"/>
      <c r="E2" s="73"/>
      <c r="F2" s="73"/>
      <c r="G2" s="475" t="s">
        <v>405</v>
      </c>
      <c r="H2" s="441" t="s">
        <v>14</v>
      </c>
      <c r="I2" s="31" t="s">
        <v>13</v>
      </c>
    </row>
    <row r="3" spans="1:20" s="31" customFormat="1" x14ac:dyDescent="0.25"/>
    <row r="4" spans="1:20" s="31" customFormat="1" ht="15.75" thickBot="1" x14ac:dyDescent="0.3">
      <c r="Q4" s="31" t="s">
        <v>499</v>
      </c>
    </row>
    <row r="5" spans="1:20" ht="23.25" thickBot="1" x14ac:dyDescent="0.3">
      <c r="B5" s="62" t="s">
        <v>90</v>
      </c>
      <c r="C5" s="65" t="s">
        <v>266</v>
      </c>
      <c r="D5" s="70" t="s">
        <v>269</v>
      </c>
      <c r="E5" s="65" t="s">
        <v>230</v>
      </c>
      <c r="G5" s="459" t="s">
        <v>497</v>
      </c>
      <c r="M5" s="923" t="s">
        <v>498</v>
      </c>
      <c r="N5" s="923"/>
      <c r="Q5" s="456" t="s">
        <v>413</v>
      </c>
      <c r="R5" s="457" t="s">
        <v>414</v>
      </c>
      <c r="S5" s="457" t="s">
        <v>415</v>
      </c>
      <c r="T5" s="458" t="s">
        <v>416</v>
      </c>
    </row>
    <row r="6" spans="1:20" ht="15.75" thickBot="1" x14ac:dyDescent="0.3">
      <c r="B6" s="69" t="s">
        <v>66</v>
      </c>
      <c r="C6" s="69"/>
      <c r="D6" s="69"/>
      <c r="E6" s="69"/>
      <c r="G6" s="460"/>
      <c r="M6" s="446" t="s">
        <v>417</v>
      </c>
      <c r="N6" t="b">
        <f>M6=Q6</f>
        <v>1</v>
      </c>
      <c r="Q6" s="481" t="s">
        <v>417</v>
      </c>
      <c r="R6" s="482"/>
      <c r="S6" s="482"/>
      <c r="T6" s="483"/>
    </row>
    <row r="7" spans="1:20" x14ac:dyDescent="0.25">
      <c r="A7" t="s">
        <v>96</v>
      </c>
      <c r="B7" s="56" t="s">
        <v>341</v>
      </c>
      <c r="C7" s="56">
        <f>Poeng!K9</f>
        <v>4</v>
      </c>
      <c r="D7" s="55"/>
      <c r="E7" s="56">
        <f>Poeng!R9</f>
        <v>4</v>
      </c>
      <c r="G7" s="460">
        <f t="shared" ref="G7:G13" si="0">SUMIF($P$7:$P$91,A7,$S$7:$S$91)</f>
        <v>4</v>
      </c>
      <c r="H7" s="479" t="str">
        <f>IF(E7=G7,"OK","FEIL")</f>
        <v>OK</v>
      </c>
      <c r="M7" s="450" t="s">
        <v>96</v>
      </c>
      <c r="N7" s="445" t="b">
        <f t="shared" ref="N7:N70" si="1">M7=Q7</f>
        <v>1</v>
      </c>
      <c r="P7" t="s">
        <v>96</v>
      </c>
      <c r="Q7" s="461" t="s">
        <v>96</v>
      </c>
      <c r="R7" s="488" t="s">
        <v>418</v>
      </c>
      <c r="S7" s="486">
        <v>4</v>
      </c>
      <c r="T7" s="462" t="s">
        <v>419</v>
      </c>
    </row>
    <row r="8" spans="1:20" x14ac:dyDescent="0.25">
      <c r="A8" t="s">
        <v>97</v>
      </c>
      <c r="B8" s="54" t="s">
        <v>342</v>
      </c>
      <c r="C8" s="54">
        <f>Poeng!K10</f>
        <v>4</v>
      </c>
      <c r="D8" s="53"/>
      <c r="E8" s="56">
        <f>Poeng!R10</f>
        <v>4</v>
      </c>
      <c r="G8" s="460">
        <f t="shared" si="0"/>
        <v>4</v>
      </c>
      <c r="H8" s="479" t="str">
        <f t="shared" ref="H8:H71" si="2">IF(E8=G8,"OK","FEIL")</f>
        <v>OK</v>
      </c>
      <c r="M8" s="450" t="s">
        <v>97</v>
      </c>
      <c r="N8" s="445" t="b">
        <f t="shared" si="1"/>
        <v>1</v>
      </c>
      <c r="P8" t="s">
        <v>97</v>
      </c>
      <c r="Q8" s="461" t="s">
        <v>97</v>
      </c>
      <c r="R8" s="488" t="s">
        <v>420</v>
      </c>
      <c r="S8" s="487">
        <v>4</v>
      </c>
      <c r="T8" s="463" t="s">
        <v>419</v>
      </c>
    </row>
    <row r="9" spans="1:20" x14ac:dyDescent="0.25">
      <c r="A9" t="s">
        <v>98</v>
      </c>
      <c r="B9" s="54" t="s">
        <v>343</v>
      </c>
      <c r="C9" s="54">
        <f>Poeng!K11</f>
        <v>6</v>
      </c>
      <c r="D9" s="53"/>
      <c r="E9" s="56">
        <f>Poeng!R11</f>
        <v>6</v>
      </c>
      <c r="G9" s="460">
        <f t="shared" si="0"/>
        <v>6</v>
      </c>
      <c r="H9" s="479" t="str">
        <f t="shared" si="2"/>
        <v>OK</v>
      </c>
      <c r="J9" s="445"/>
      <c r="M9" s="450" t="s">
        <v>98</v>
      </c>
      <c r="N9" s="445" t="b">
        <f t="shared" si="1"/>
        <v>1</v>
      </c>
      <c r="P9" t="s">
        <v>98</v>
      </c>
      <c r="Q9" s="461" t="s">
        <v>98</v>
      </c>
      <c r="R9" s="488" t="s">
        <v>421</v>
      </c>
      <c r="S9" s="486">
        <v>6</v>
      </c>
      <c r="T9" s="462" t="s">
        <v>419</v>
      </c>
    </row>
    <row r="10" spans="1:20" x14ac:dyDescent="0.25">
      <c r="A10" t="s">
        <v>99</v>
      </c>
      <c r="B10" s="54" t="s">
        <v>344</v>
      </c>
      <c r="C10" s="54">
        <f>Poeng!K12</f>
        <v>3</v>
      </c>
      <c r="D10" s="53"/>
      <c r="E10" s="56">
        <f>Poeng!R12</f>
        <v>3</v>
      </c>
      <c r="G10" s="460">
        <f t="shared" si="0"/>
        <v>3</v>
      </c>
      <c r="H10" s="479" t="str">
        <f t="shared" si="2"/>
        <v>OK</v>
      </c>
      <c r="J10" s="445"/>
      <c r="M10" s="450" t="s">
        <v>99</v>
      </c>
      <c r="N10" s="445" t="b">
        <f t="shared" si="1"/>
        <v>1</v>
      </c>
      <c r="P10" t="s">
        <v>99</v>
      </c>
      <c r="Q10" s="461" t="s">
        <v>99</v>
      </c>
      <c r="R10" s="488" t="s">
        <v>422</v>
      </c>
      <c r="S10" s="486">
        <v>3</v>
      </c>
      <c r="T10" s="462" t="s">
        <v>419</v>
      </c>
    </row>
    <row r="11" spans="1:20" ht="15" customHeight="1" x14ac:dyDescent="0.25">
      <c r="A11" t="s">
        <v>100</v>
      </c>
      <c r="B11" s="54" t="s">
        <v>345</v>
      </c>
      <c r="C11" s="54">
        <f>Poeng!K13</f>
        <v>3</v>
      </c>
      <c r="D11" s="53"/>
      <c r="E11" s="56">
        <f>Poeng!R13</f>
        <v>3</v>
      </c>
      <c r="G11" s="460">
        <f t="shared" si="0"/>
        <v>3</v>
      </c>
      <c r="H11" s="479" t="str">
        <f t="shared" si="2"/>
        <v>OK</v>
      </c>
      <c r="J11" s="445"/>
      <c r="M11" s="450" t="s">
        <v>100</v>
      </c>
      <c r="N11" s="445" t="b">
        <f t="shared" si="1"/>
        <v>1</v>
      </c>
      <c r="P11" t="s">
        <v>100</v>
      </c>
      <c r="Q11" s="461" t="s">
        <v>100</v>
      </c>
      <c r="R11" s="488" t="s">
        <v>423</v>
      </c>
      <c r="S11" s="486">
        <v>3</v>
      </c>
      <c r="T11" s="462" t="s">
        <v>419</v>
      </c>
    </row>
    <row r="12" spans="1:20" x14ac:dyDescent="0.25">
      <c r="B12" s="54" t="s">
        <v>101</v>
      </c>
      <c r="C12" s="54">
        <f>Poeng!K14</f>
        <v>0</v>
      </c>
      <c r="D12" s="53"/>
      <c r="E12" s="56">
        <f>Poeng!R14</f>
        <v>0</v>
      </c>
      <c r="G12" s="460">
        <f t="shared" si="0"/>
        <v>0</v>
      </c>
      <c r="H12" s="479" t="str">
        <f t="shared" si="2"/>
        <v>OK</v>
      </c>
      <c r="J12" s="445"/>
      <c r="M12" s="447"/>
      <c r="N12" s="445" t="b">
        <f t="shared" si="1"/>
        <v>1</v>
      </c>
      <c r="Q12" s="464"/>
      <c r="R12" s="485"/>
      <c r="S12" s="485"/>
      <c r="T12" s="465"/>
    </row>
    <row r="13" spans="1:20" ht="15.75" thickBot="1" x14ac:dyDescent="0.3">
      <c r="B13" s="59" t="s">
        <v>102</v>
      </c>
      <c r="C13" s="59">
        <f>Poeng!K15</f>
        <v>0</v>
      </c>
      <c r="D13" s="58"/>
      <c r="E13" s="56">
        <f>Poeng!R15</f>
        <v>0</v>
      </c>
      <c r="G13" s="460">
        <f t="shared" si="0"/>
        <v>0</v>
      </c>
      <c r="H13" s="479" t="str">
        <f t="shared" si="2"/>
        <v>OK</v>
      </c>
      <c r="J13" s="445"/>
      <c r="M13" s="448" t="s">
        <v>424</v>
      </c>
      <c r="N13" s="445" t="b">
        <f t="shared" si="1"/>
        <v>1</v>
      </c>
      <c r="Q13" s="466" t="s">
        <v>424</v>
      </c>
      <c r="R13" s="485"/>
      <c r="S13" s="485"/>
      <c r="T13" s="465"/>
    </row>
    <row r="14" spans="1:20" ht="25.5" thickBot="1" x14ac:dyDescent="0.3">
      <c r="B14" s="60" t="s">
        <v>230</v>
      </c>
      <c r="C14" s="60">
        <f>Poeng!K16</f>
        <v>20</v>
      </c>
      <c r="D14" s="60"/>
      <c r="E14" s="60">
        <f>SUM(E7:E13)</f>
        <v>20</v>
      </c>
      <c r="G14" s="60">
        <f>SUM(G7:G13)</f>
        <v>20</v>
      </c>
      <c r="H14" s="479" t="str">
        <f t="shared" si="2"/>
        <v>OK</v>
      </c>
      <c r="J14" s="445"/>
      <c r="M14" s="453" t="s">
        <v>124</v>
      </c>
      <c r="N14" s="445" t="b">
        <f t="shared" si="1"/>
        <v>1</v>
      </c>
      <c r="P14" s="445" t="s">
        <v>124</v>
      </c>
      <c r="Q14" s="924" t="s">
        <v>124</v>
      </c>
      <c r="R14" s="490" t="s">
        <v>425</v>
      </c>
      <c r="S14" s="486">
        <v>2</v>
      </c>
      <c r="T14" s="467" t="s">
        <v>419</v>
      </c>
    </row>
    <row r="15" spans="1:20" ht="15.75" thickBot="1" x14ac:dyDescent="0.3">
      <c r="B15" s="31"/>
      <c r="C15" s="31"/>
      <c r="D15" s="31"/>
      <c r="G15" s="460"/>
      <c r="H15" s="479" t="str">
        <f t="shared" si="2"/>
        <v>OK</v>
      </c>
      <c r="J15" s="445"/>
      <c r="M15" s="454"/>
      <c r="N15" s="445" t="b">
        <f t="shared" si="1"/>
        <v>1</v>
      </c>
      <c r="P15" s="445" t="s">
        <v>124</v>
      </c>
      <c r="Q15" s="925"/>
      <c r="R15" s="489" t="s">
        <v>426</v>
      </c>
      <c r="S15" s="487">
        <v>1</v>
      </c>
      <c r="T15" s="468" t="s">
        <v>419</v>
      </c>
    </row>
    <row r="16" spans="1:20" ht="15.75" thickBot="1" x14ac:dyDescent="0.3">
      <c r="B16" s="57" t="s">
        <v>69</v>
      </c>
      <c r="C16" s="57"/>
      <c r="D16" s="57"/>
      <c r="E16" s="57"/>
      <c r="G16" s="460">
        <f t="shared" ref="G16:G25" si="3">SUMIF($P$7:$P$91,A16,$S$7:$S$91)</f>
        <v>0</v>
      </c>
      <c r="H16" s="479" t="str">
        <f t="shared" si="2"/>
        <v>OK</v>
      </c>
      <c r="J16" s="445"/>
      <c r="M16" s="455"/>
      <c r="N16" s="445" t="b">
        <f t="shared" si="1"/>
        <v>1</v>
      </c>
      <c r="P16" s="445" t="s">
        <v>124</v>
      </c>
      <c r="Q16" s="926"/>
      <c r="R16" s="489" t="s">
        <v>427</v>
      </c>
      <c r="S16" s="486">
        <v>1</v>
      </c>
      <c r="T16" s="467" t="s">
        <v>419</v>
      </c>
    </row>
    <row r="17" spans="1:20" ht="24.75" x14ac:dyDescent="0.25">
      <c r="A17" t="s">
        <v>124</v>
      </c>
      <c r="B17" s="56" t="s">
        <v>122</v>
      </c>
      <c r="C17" s="56">
        <f>Poeng!K19</f>
        <v>4</v>
      </c>
      <c r="D17" s="55"/>
      <c r="E17" s="56">
        <f>Poeng!R19</f>
        <v>4</v>
      </c>
      <c r="G17" s="460">
        <f t="shared" si="3"/>
        <v>4</v>
      </c>
      <c r="H17" s="479" t="str">
        <f t="shared" si="2"/>
        <v>OK</v>
      </c>
      <c r="J17" s="445"/>
      <c r="M17" s="453" t="s">
        <v>125</v>
      </c>
      <c r="N17" s="445" t="b">
        <f t="shared" si="1"/>
        <v>1</v>
      </c>
      <c r="P17" s="445" t="s">
        <v>125</v>
      </c>
      <c r="Q17" s="924" t="s">
        <v>125</v>
      </c>
      <c r="R17" s="490" t="s">
        <v>428</v>
      </c>
      <c r="S17" s="486">
        <v>4</v>
      </c>
      <c r="T17" s="467" t="s">
        <v>419</v>
      </c>
    </row>
    <row r="18" spans="1:20" x14ac:dyDescent="0.25">
      <c r="A18" t="s">
        <v>125</v>
      </c>
      <c r="B18" s="72" t="s">
        <v>116</v>
      </c>
      <c r="C18" s="72">
        <f>Poeng!K20</f>
        <v>7</v>
      </c>
      <c r="D18" s="53"/>
      <c r="E18" s="480">
        <f>Poeng!R20</f>
        <v>5</v>
      </c>
      <c r="G18" s="460">
        <f t="shared" si="3"/>
        <v>5</v>
      </c>
      <c r="H18" s="479" t="str">
        <f t="shared" si="2"/>
        <v>OK</v>
      </c>
      <c r="J18" s="445"/>
      <c r="M18" s="454"/>
      <c r="N18" s="445" t="b">
        <f t="shared" si="1"/>
        <v>1</v>
      </c>
      <c r="P18" t="s">
        <v>125</v>
      </c>
      <c r="Q18" s="925"/>
      <c r="R18" s="489" t="s">
        <v>429</v>
      </c>
      <c r="S18" s="486">
        <v>1</v>
      </c>
      <c r="T18" s="467" t="s">
        <v>419</v>
      </c>
    </row>
    <row r="19" spans="1:20" x14ac:dyDescent="0.25">
      <c r="A19" t="s">
        <v>126</v>
      </c>
      <c r="B19" s="72" t="s">
        <v>117</v>
      </c>
      <c r="C19" s="72">
        <f>Poeng!K21</f>
        <v>2</v>
      </c>
      <c r="D19" s="53"/>
      <c r="E19" s="480">
        <f>Poeng!R21</f>
        <v>2</v>
      </c>
      <c r="G19" s="460">
        <f t="shared" si="3"/>
        <v>2</v>
      </c>
      <c r="H19" s="479" t="str">
        <f t="shared" si="2"/>
        <v>OK</v>
      </c>
      <c r="J19" s="445"/>
      <c r="M19" s="455"/>
      <c r="N19" s="445" t="b">
        <f t="shared" si="1"/>
        <v>1</v>
      </c>
      <c r="P19" s="445" t="s">
        <v>125</v>
      </c>
      <c r="Q19" s="926"/>
      <c r="R19" s="489" t="s">
        <v>430</v>
      </c>
      <c r="S19" s="486" t="s">
        <v>253</v>
      </c>
      <c r="T19" s="467" t="s">
        <v>431</v>
      </c>
    </row>
    <row r="20" spans="1:20" x14ac:dyDescent="0.25">
      <c r="A20" t="s">
        <v>127</v>
      </c>
      <c r="B20" s="54" t="s">
        <v>118</v>
      </c>
      <c r="C20" s="54">
        <f>Poeng!K22</f>
        <v>1</v>
      </c>
      <c r="D20" s="53"/>
      <c r="E20" s="56">
        <f>Poeng!R22</f>
        <v>1</v>
      </c>
      <c r="G20" s="460">
        <f t="shared" si="3"/>
        <v>1</v>
      </c>
      <c r="H20" s="479" t="str">
        <f t="shared" si="2"/>
        <v>OK</v>
      </c>
      <c r="J20" s="445"/>
      <c r="M20" s="451" t="s">
        <v>126</v>
      </c>
      <c r="N20" s="445" t="b">
        <f t="shared" si="1"/>
        <v>1</v>
      </c>
      <c r="P20" s="445" t="s">
        <v>126</v>
      </c>
      <c r="Q20" s="461" t="s">
        <v>126</v>
      </c>
      <c r="R20" s="489" t="s">
        <v>432</v>
      </c>
      <c r="S20" s="486">
        <v>2</v>
      </c>
      <c r="T20" s="467" t="s">
        <v>419</v>
      </c>
    </row>
    <row r="21" spans="1:20" x14ac:dyDescent="0.25">
      <c r="A21" t="s">
        <v>128</v>
      </c>
      <c r="B21" s="54" t="s">
        <v>134</v>
      </c>
      <c r="C21" s="54">
        <f>Poeng!K23</f>
        <v>2</v>
      </c>
      <c r="D21" s="53"/>
      <c r="E21" s="56">
        <f>Poeng!R23</f>
        <v>2</v>
      </c>
      <c r="G21" s="460">
        <f t="shared" si="3"/>
        <v>2</v>
      </c>
      <c r="H21" s="479" t="str">
        <f t="shared" si="2"/>
        <v>OK</v>
      </c>
      <c r="J21" s="445"/>
      <c r="M21" s="451" t="s">
        <v>127</v>
      </c>
      <c r="N21" s="445" t="b">
        <f t="shared" si="1"/>
        <v>1</v>
      </c>
      <c r="P21" t="s">
        <v>127</v>
      </c>
      <c r="Q21" s="461" t="s">
        <v>127</v>
      </c>
      <c r="R21" s="489" t="s">
        <v>433</v>
      </c>
      <c r="S21" s="486">
        <v>1</v>
      </c>
      <c r="T21" s="467" t="s">
        <v>419</v>
      </c>
    </row>
    <row r="22" spans="1:20" ht="48.75" customHeight="1" x14ac:dyDescent="0.25">
      <c r="A22" t="s">
        <v>129</v>
      </c>
      <c r="B22" s="72" t="s">
        <v>119</v>
      </c>
      <c r="C22" s="72">
        <f>Poeng!K24</f>
        <v>2</v>
      </c>
      <c r="D22" s="53"/>
      <c r="E22" s="480">
        <f>Poeng!R24</f>
        <v>2</v>
      </c>
      <c r="G22" s="460">
        <f t="shared" si="3"/>
        <v>2</v>
      </c>
      <c r="H22" s="479" t="str">
        <f t="shared" si="2"/>
        <v>OK</v>
      </c>
      <c r="J22" s="445"/>
      <c r="M22" s="451" t="s">
        <v>128</v>
      </c>
      <c r="N22" s="445" t="b">
        <f t="shared" si="1"/>
        <v>1</v>
      </c>
      <c r="P22" t="s">
        <v>128</v>
      </c>
      <c r="Q22" s="461" t="s">
        <v>128</v>
      </c>
      <c r="R22" s="489" t="s">
        <v>434</v>
      </c>
      <c r="S22" s="486">
        <v>2</v>
      </c>
      <c r="T22" s="467" t="s">
        <v>419</v>
      </c>
    </row>
    <row r="23" spans="1:20" x14ac:dyDescent="0.25">
      <c r="A23" t="s">
        <v>130</v>
      </c>
      <c r="B23" s="72" t="s">
        <v>120</v>
      </c>
      <c r="C23" s="72">
        <f>Poeng!K25</f>
        <v>1</v>
      </c>
      <c r="D23" s="53"/>
      <c r="E23" s="480">
        <f>Poeng!R25</f>
        <v>1</v>
      </c>
      <c r="G23" s="460">
        <f t="shared" si="3"/>
        <v>1</v>
      </c>
      <c r="H23" s="479" t="str">
        <f t="shared" si="2"/>
        <v>OK</v>
      </c>
      <c r="J23" s="445"/>
      <c r="M23" s="451" t="s">
        <v>129</v>
      </c>
      <c r="N23" s="445" t="b">
        <f t="shared" si="1"/>
        <v>1</v>
      </c>
      <c r="P23" t="s">
        <v>129</v>
      </c>
      <c r="Q23" s="461" t="s">
        <v>129</v>
      </c>
      <c r="R23" s="489" t="s">
        <v>435</v>
      </c>
      <c r="S23" s="486">
        <v>2</v>
      </c>
      <c r="T23" s="467" t="s">
        <v>419</v>
      </c>
    </row>
    <row r="24" spans="1:20" x14ac:dyDescent="0.25">
      <c r="A24" t="s">
        <v>131</v>
      </c>
      <c r="B24" s="54" t="s">
        <v>123</v>
      </c>
      <c r="C24" s="54">
        <f>Poeng!K26</f>
        <v>0</v>
      </c>
      <c r="D24" s="53"/>
      <c r="E24" s="56">
        <f>Poeng!R26</f>
        <v>0</v>
      </c>
      <c r="G24" s="460">
        <f t="shared" si="3"/>
        <v>0</v>
      </c>
      <c r="H24" s="479" t="str">
        <f t="shared" si="2"/>
        <v>OK</v>
      </c>
      <c r="J24" s="445"/>
      <c r="M24" s="451" t="s">
        <v>130</v>
      </c>
      <c r="N24" s="445" t="b">
        <f t="shared" si="1"/>
        <v>1</v>
      </c>
      <c r="P24" t="s">
        <v>130</v>
      </c>
      <c r="Q24" s="461" t="s">
        <v>130</v>
      </c>
      <c r="R24" s="489" t="s">
        <v>436</v>
      </c>
      <c r="S24" s="486">
        <v>1</v>
      </c>
      <c r="T24" s="467" t="s">
        <v>419</v>
      </c>
    </row>
    <row r="25" spans="1:20" ht="73.5" customHeight="1" thickBot="1" x14ac:dyDescent="0.3">
      <c r="A25" t="s">
        <v>132</v>
      </c>
      <c r="B25" s="59" t="s">
        <v>121</v>
      </c>
      <c r="C25" s="59">
        <f>Poeng!K27</f>
        <v>3</v>
      </c>
      <c r="D25" s="58"/>
      <c r="E25" s="56">
        <f>Poeng!R27</f>
        <v>3</v>
      </c>
      <c r="G25" s="460">
        <f t="shared" si="3"/>
        <v>3</v>
      </c>
      <c r="H25" s="479" t="str">
        <f t="shared" si="2"/>
        <v>OK</v>
      </c>
      <c r="M25" s="451" t="s">
        <v>131</v>
      </c>
      <c r="N25" s="445" t="b">
        <f t="shared" si="1"/>
        <v>1</v>
      </c>
      <c r="P25" t="s">
        <v>131</v>
      </c>
      <c r="Q25" s="461" t="s">
        <v>131</v>
      </c>
      <c r="R25" s="489" t="s">
        <v>437</v>
      </c>
      <c r="S25" s="486">
        <v>0</v>
      </c>
      <c r="T25" s="467" t="s">
        <v>431</v>
      </c>
    </row>
    <row r="26" spans="1:20" ht="15.75" thickBot="1" x14ac:dyDescent="0.3">
      <c r="B26" s="60" t="s">
        <v>230</v>
      </c>
      <c r="C26" s="60">
        <f>Poeng!K28</f>
        <v>22</v>
      </c>
      <c r="D26" s="60"/>
      <c r="E26" s="60">
        <f>SUM(E17:E25)</f>
        <v>20</v>
      </c>
      <c r="G26" s="60">
        <f>SUM(G17:G25)</f>
        <v>20</v>
      </c>
      <c r="H26" s="479" t="str">
        <f t="shared" si="2"/>
        <v>OK</v>
      </c>
      <c r="M26" s="451" t="s">
        <v>132</v>
      </c>
      <c r="N26" s="445" t="b">
        <f t="shared" si="1"/>
        <v>1</v>
      </c>
      <c r="P26" t="s">
        <v>132</v>
      </c>
      <c r="Q26" s="461" t="s">
        <v>132</v>
      </c>
      <c r="R26" s="489" t="s">
        <v>438</v>
      </c>
      <c r="S26" s="486">
        <v>3</v>
      </c>
      <c r="T26" s="467" t="s">
        <v>419</v>
      </c>
    </row>
    <row r="27" spans="1:20" ht="15.75" thickBot="1" x14ac:dyDescent="0.3">
      <c r="B27" s="31"/>
      <c r="C27" s="31"/>
      <c r="D27" s="31"/>
      <c r="G27" s="445"/>
      <c r="H27" s="479" t="str">
        <f t="shared" si="2"/>
        <v>OK</v>
      </c>
      <c r="M27" s="447"/>
      <c r="N27" s="445" t="b">
        <f t="shared" si="1"/>
        <v>1</v>
      </c>
      <c r="Q27" s="464"/>
      <c r="R27" s="485"/>
      <c r="S27" s="485"/>
      <c r="T27" s="465"/>
    </row>
    <row r="28" spans="1:20" ht="15.75" thickBot="1" x14ac:dyDescent="0.3">
      <c r="B28" s="57" t="s">
        <v>70</v>
      </c>
      <c r="C28" s="57"/>
      <c r="D28" s="57"/>
      <c r="E28" s="57"/>
      <c r="G28" s="460">
        <f t="shared" ref="G28:G38" si="4">SUMIF($P$7:$P$91,A28,$S$7:$S$91)</f>
        <v>0</v>
      </c>
      <c r="H28" s="479" t="str">
        <f t="shared" si="2"/>
        <v>OK</v>
      </c>
      <c r="M28" s="448" t="s">
        <v>439</v>
      </c>
      <c r="N28" s="445" t="b">
        <f t="shared" si="1"/>
        <v>1</v>
      </c>
      <c r="Q28" s="466" t="s">
        <v>439</v>
      </c>
      <c r="R28" s="485"/>
      <c r="S28" s="485"/>
      <c r="T28" s="465"/>
    </row>
    <row r="29" spans="1:20" x14ac:dyDescent="0.25">
      <c r="A29" t="s">
        <v>145</v>
      </c>
      <c r="B29" s="56" t="s">
        <v>135</v>
      </c>
      <c r="C29" s="56">
        <f>Poeng!K31</f>
        <v>12</v>
      </c>
      <c r="D29" s="55"/>
      <c r="E29" s="56">
        <f>Poeng!R31</f>
        <v>12</v>
      </c>
      <c r="G29" s="460">
        <f t="shared" si="4"/>
        <v>12</v>
      </c>
      <c r="H29" s="479" t="str">
        <f t="shared" si="2"/>
        <v>OK</v>
      </c>
      <c r="M29" s="451" t="s">
        <v>145</v>
      </c>
      <c r="N29" s="445" t="b">
        <f t="shared" si="1"/>
        <v>1</v>
      </c>
      <c r="P29" t="s">
        <v>145</v>
      </c>
      <c r="Q29" s="461" t="s">
        <v>145</v>
      </c>
      <c r="R29" s="489" t="s">
        <v>440</v>
      </c>
      <c r="S29" s="486">
        <v>12</v>
      </c>
      <c r="T29" s="462" t="s">
        <v>419</v>
      </c>
    </row>
    <row r="30" spans="1:20" x14ac:dyDescent="0.25">
      <c r="A30" t="s">
        <v>146</v>
      </c>
      <c r="B30" s="72" t="s">
        <v>144</v>
      </c>
      <c r="C30" s="72">
        <f>Poeng!K32</f>
        <v>3</v>
      </c>
      <c r="D30" s="53"/>
      <c r="E30" s="56">
        <f>Poeng!R32</f>
        <v>3</v>
      </c>
      <c r="G30" s="460">
        <f t="shared" si="4"/>
        <v>3</v>
      </c>
      <c r="H30" s="479" t="str">
        <f t="shared" si="2"/>
        <v>OK</v>
      </c>
      <c r="M30" s="451" t="s">
        <v>271</v>
      </c>
      <c r="N30" s="445" t="b">
        <f t="shared" si="1"/>
        <v>1</v>
      </c>
      <c r="P30" t="s">
        <v>146</v>
      </c>
      <c r="Q30" s="461" t="s">
        <v>271</v>
      </c>
      <c r="R30" s="489" t="s">
        <v>441</v>
      </c>
      <c r="S30" s="486">
        <v>3</v>
      </c>
      <c r="T30" s="462" t="s">
        <v>419</v>
      </c>
    </row>
    <row r="31" spans="1:20" x14ac:dyDescent="0.25">
      <c r="A31" t="s">
        <v>147</v>
      </c>
      <c r="B31" s="54" t="s">
        <v>136</v>
      </c>
      <c r="C31" s="54">
        <f>Poeng!K33</f>
        <v>1</v>
      </c>
      <c r="D31" s="53"/>
      <c r="E31" s="56">
        <f>Poeng!R33</f>
        <v>1</v>
      </c>
      <c r="G31" s="460">
        <f t="shared" si="4"/>
        <v>1</v>
      </c>
      <c r="H31" s="479" t="str">
        <f t="shared" si="2"/>
        <v>OK</v>
      </c>
      <c r="M31" s="451" t="s">
        <v>442</v>
      </c>
      <c r="N31" s="445" t="b">
        <f t="shared" si="1"/>
        <v>1</v>
      </c>
      <c r="P31" s="445" t="s">
        <v>146</v>
      </c>
      <c r="Q31" s="461" t="s">
        <v>442</v>
      </c>
      <c r="R31" s="489" t="s">
        <v>441</v>
      </c>
      <c r="S31" s="486" t="s">
        <v>253</v>
      </c>
      <c r="T31" s="462" t="s">
        <v>431</v>
      </c>
    </row>
    <row r="32" spans="1:20" x14ac:dyDescent="0.25">
      <c r="A32" t="s">
        <v>148</v>
      </c>
      <c r="B32" s="54" t="s">
        <v>137</v>
      </c>
      <c r="C32" s="54">
        <f>Poeng!K34</f>
        <v>2</v>
      </c>
      <c r="D32" s="53"/>
      <c r="E32" s="56">
        <f>Poeng!R34</f>
        <v>2</v>
      </c>
      <c r="G32" s="460">
        <f t="shared" si="4"/>
        <v>3</v>
      </c>
      <c r="H32" s="479" t="str">
        <f t="shared" si="2"/>
        <v>FEIL</v>
      </c>
      <c r="M32" s="451" t="s">
        <v>147</v>
      </c>
      <c r="N32" s="445" t="b">
        <f t="shared" si="1"/>
        <v>1</v>
      </c>
      <c r="P32" t="s">
        <v>147</v>
      </c>
      <c r="Q32" s="461" t="s">
        <v>147</v>
      </c>
      <c r="R32" s="489" t="s">
        <v>443</v>
      </c>
      <c r="S32" s="486">
        <v>1</v>
      </c>
      <c r="T32" s="462" t="s">
        <v>419</v>
      </c>
    </row>
    <row r="33" spans="1:20" x14ac:dyDescent="0.25">
      <c r="A33" t="s">
        <v>149</v>
      </c>
      <c r="B33" s="72" t="s">
        <v>138</v>
      </c>
      <c r="C33" s="72">
        <f>Poeng!K35</f>
        <v>3</v>
      </c>
      <c r="D33" s="53"/>
      <c r="E33" s="480">
        <f>Poeng!R35</f>
        <v>0</v>
      </c>
      <c r="G33" s="460">
        <f t="shared" si="4"/>
        <v>0</v>
      </c>
      <c r="H33" s="479" t="str">
        <f t="shared" si="2"/>
        <v>OK</v>
      </c>
      <c r="M33" s="451" t="s">
        <v>148</v>
      </c>
      <c r="N33" s="445" t="b">
        <f t="shared" si="1"/>
        <v>1</v>
      </c>
      <c r="P33" t="s">
        <v>148</v>
      </c>
      <c r="Q33" s="461" t="s">
        <v>148</v>
      </c>
      <c r="R33" s="489" t="s">
        <v>444</v>
      </c>
      <c r="S33" s="486">
        <v>3</v>
      </c>
      <c r="T33" s="462" t="s">
        <v>419</v>
      </c>
    </row>
    <row r="34" spans="1:20" x14ac:dyDescent="0.25">
      <c r="A34" t="s">
        <v>150</v>
      </c>
      <c r="B34" s="72" t="s">
        <v>139</v>
      </c>
      <c r="C34" s="72">
        <f>Poeng!K36</f>
        <v>2</v>
      </c>
      <c r="D34" s="53"/>
      <c r="E34" s="480">
        <f>Poeng!R36</f>
        <v>0</v>
      </c>
      <c r="G34" s="460">
        <f t="shared" si="4"/>
        <v>2</v>
      </c>
      <c r="H34" s="479" t="str">
        <f t="shared" si="2"/>
        <v>FEIL</v>
      </c>
      <c r="M34" s="451" t="s">
        <v>149</v>
      </c>
      <c r="N34" s="445" t="b">
        <f t="shared" si="1"/>
        <v>1</v>
      </c>
      <c r="P34" t="s">
        <v>149</v>
      </c>
      <c r="Q34" s="461" t="s">
        <v>149</v>
      </c>
      <c r="R34" s="489" t="s">
        <v>445</v>
      </c>
      <c r="S34" s="487" t="s">
        <v>253</v>
      </c>
      <c r="T34" s="463" t="s">
        <v>431</v>
      </c>
    </row>
    <row r="35" spans="1:20" x14ac:dyDescent="0.25">
      <c r="A35" t="s">
        <v>151</v>
      </c>
      <c r="B35" s="72" t="s">
        <v>140</v>
      </c>
      <c r="C35" s="72">
        <f>Poeng!K37</f>
        <v>5</v>
      </c>
      <c r="D35" s="53"/>
      <c r="E35" s="480">
        <f>Poeng!R37</f>
        <v>0</v>
      </c>
      <c r="G35" s="460">
        <f t="shared" si="4"/>
        <v>0</v>
      </c>
      <c r="H35" s="479" t="str">
        <f t="shared" si="2"/>
        <v>OK</v>
      </c>
      <c r="M35" s="451" t="s">
        <v>150</v>
      </c>
      <c r="N35" s="445" t="b">
        <f t="shared" si="1"/>
        <v>1</v>
      </c>
      <c r="P35" t="s">
        <v>150</v>
      </c>
      <c r="Q35" s="461" t="s">
        <v>150</v>
      </c>
      <c r="R35" s="489" t="s">
        <v>446</v>
      </c>
      <c r="S35" s="486">
        <v>2</v>
      </c>
      <c r="T35" s="462" t="s">
        <v>419</v>
      </c>
    </row>
    <row r="36" spans="1:20" x14ac:dyDescent="0.25">
      <c r="A36" t="s">
        <v>152</v>
      </c>
      <c r="B36" s="54" t="s">
        <v>141</v>
      </c>
      <c r="C36" s="54">
        <f>Poeng!K38</f>
        <v>2</v>
      </c>
      <c r="D36" s="53"/>
      <c r="E36" s="56">
        <f>Poeng!R38</f>
        <v>2</v>
      </c>
      <c r="G36" s="460">
        <f t="shared" si="4"/>
        <v>2</v>
      </c>
      <c r="H36" s="479" t="str">
        <f t="shared" si="2"/>
        <v>OK</v>
      </c>
      <c r="M36" s="451" t="s">
        <v>151</v>
      </c>
      <c r="N36" s="445" t="b">
        <f t="shared" si="1"/>
        <v>1</v>
      </c>
      <c r="P36" t="s">
        <v>151</v>
      </c>
      <c r="Q36" s="461" t="s">
        <v>151</v>
      </c>
      <c r="R36" s="489" t="s">
        <v>447</v>
      </c>
      <c r="S36" s="486" t="s">
        <v>253</v>
      </c>
      <c r="T36" s="462" t="s">
        <v>431</v>
      </c>
    </row>
    <row r="37" spans="1:20" x14ac:dyDescent="0.25">
      <c r="A37" t="s">
        <v>153</v>
      </c>
      <c r="B37" s="54" t="s">
        <v>142</v>
      </c>
      <c r="C37" s="54">
        <f>Poeng!K39</f>
        <v>0</v>
      </c>
      <c r="D37" s="53"/>
      <c r="E37" s="56">
        <f>Poeng!R39</f>
        <v>0</v>
      </c>
      <c r="G37" s="460">
        <f t="shared" si="4"/>
        <v>0</v>
      </c>
      <c r="H37" s="479" t="str">
        <f t="shared" si="2"/>
        <v>OK</v>
      </c>
      <c r="M37" s="451" t="s">
        <v>152</v>
      </c>
      <c r="N37" s="445" t="b">
        <f t="shared" si="1"/>
        <v>1</v>
      </c>
      <c r="P37" t="s">
        <v>152</v>
      </c>
      <c r="Q37" s="461" t="s">
        <v>152</v>
      </c>
      <c r="R37" s="489" t="s">
        <v>448</v>
      </c>
      <c r="S37" s="486">
        <v>2</v>
      </c>
      <c r="T37" s="462" t="s">
        <v>419</v>
      </c>
    </row>
    <row r="38" spans="1:20" ht="15.75" thickBot="1" x14ac:dyDescent="0.3">
      <c r="A38" t="s">
        <v>154</v>
      </c>
      <c r="B38" s="54" t="s">
        <v>143</v>
      </c>
      <c r="C38" s="54">
        <f>Poeng!K40</f>
        <v>2</v>
      </c>
      <c r="D38" s="53"/>
      <c r="E38" s="56">
        <f>Poeng!R40</f>
        <v>2</v>
      </c>
      <c r="G38" s="460">
        <f t="shared" si="4"/>
        <v>2</v>
      </c>
      <c r="H38" s="479" t="str">
        <f t="shared" si="2"/>
        <v>OK</v>
      </c>
      <c r="M38" s="451" t="s">
        <v>153</v>
      </c>
      <c r="N38" s="445" t="b">
        <f t="shared" si="1"/>
        <v>1</v>
      </c>
      <c r="P38" t="s">
        <v>153</v>
      </c>
      <c r="Q38" s="461" t="s">
        <v>153</v>
      </c>
      <c r="R38" s="489" t="s">
        <v>449</v>
      </c>
      <c r="S38" s="486" t="s">
        <v>253</v>
      </c>
      <c r="T38" s="462" t="s">
        <v>431</v>
      </c>
    </row>
    <row r="39" spans="1:20" ht="15.75" thickBot="1" x14ac:dyDescent="0.3">
      <c r="B39" s="60" t="s">
        <v>230</v>
      </c>
      <c r="C39" s="60">
        <f>Poeng!K41</f>
        <v>32</v>
      </c>
      <c r="D39" s="60"/>
      <c r="E39" s="60">
        <f>SUM(E29:E38)</f>
        <v>22</v>
      </c>
      <c r="G39" s="60">
        <f>SUM(G29:G38)</f>
        <v>25</v>
      </c>
      <c r="H39" s="479" t="str">
        <f t="shared" si="2"/>
        <v>FEIL</v>
      </c>
      <c r="M39" s="452" t="s">
        <v>154</v>
      </c>
      <c r="N39" s="445" t="b">
        <f t="shared" si="1"/>
        <v>1</v>
      </c>
      <c r="P39" t="s">
        <v>154</v>
      </c>
      <c r="Q39" s="469" t="s">
        <v>154</v>
      </c>
      <c r="R39" s="489" t="s">
        <v>450</v>
      </c>
      <c r="S39" s="486">
        <v>2</v>
      </c>
      <c r="T39" s="462" t="s">
        <v>419</v>
      </c>
    </row>
    <row r="40" spans="1:20" ht="15.75" thickBot="1" x14ac:dyDescent="0.3">
      <c r="B40" s="31"/>
      <c r="C40" s="31"/>
      <c r="D40" s="31"/>
      <c r="G40" s="445"/>
      <c r="H40" s="479" t="str">
        <f t="shared" si="2"/>
        <v>OK</v>
      </c>
      <c r="M40" s="447"/>
      <c r="N40" s="445" t="b">
        <f t="shared" si="1"/>
        <v>1</v>
      </c>
      <c r="Q40" s="464"/>
      <c r="R40" s="485"/>
      <c r="S40" s="485"/>
      <c r="T40" s="465"/>
    </row>
    <row r="41" spans="1:20" ht="15.75" thickBot="1" x14ac:dyDescent="0.3">
      <c r="B41" s="57" t="s">
        <v>71</v>
      </c>
      <c r="C41" s="57"/>
      <c r="D41" s="57"/>
      <c r="E41" s="57"/>
      <c r="G41" s="460">
        <f t="shared" ref="G41:G47" si="5">SUMIF($P$7:$P$91,A41,$S$7:$S$91)</f>
        <v>0</v>
      </c>
      <c r="H41" s="479" t="str">
        <f t="shared" si="2"/>
        <v>OK</v>
      </c>
      <c r="M41" s="448" t="s">
        <v>451</v>
      </c>
      <c r="N41" s="445" t="b">
        <f t="shared" si="1"/>
        <v>1</v>
      </c>
      <c r="Q41" s="466" t="s">
        <v>451</v>
      </c>
      <c r="R41" s="485"/>
      <c r="S41" s="485"/>
      <c r="T41" s="465"/>
    </row>
    <row r="42" spans="1:20" x14ac:dyDescent="0.25">
      <c r="A42" t="s">
        <v>160</v>
      </c>
      <c r="B42" s="71" t="s">
        <v>155</v>
      </c>
      <c r="C42" s="71">
        <f>Poeng!K44</f>
        <v>3</v>
      </c>
      <c r="D42" s="55"/>
      <c r="E42" s="480">
        <f>Poeng!R44</f>
        <v>3</v>
      </c>
      <c r="G42" s="460">
        <f t="shared" si="5"/>
        <v>5</v>
      </c>
      <c r="H42" s="479" t="str">
        <f t="shared" si="2"/>
        <v>FEIL</v>
      </c>
      <c r="M42" s="451" t="s">
        <v>160</v>
      </c>
      <c r="N42" s="445" t="b">
        <f t="shared" si="1"/>
        <v>1</v>
      </c>
      <c r="P42" t="s">
        <v>160</v>
      </c>
      <c r="Q42" s="461" t="s">
        <v>160</v>
      </c>
      <c r="R42" s="489" t="s">
        <v>452</v>
      </c>
      <c r="S42" s="486">
        <v>5</v>
      </c>
      <c r="T42" s="462" t="s">
        <v>419</v>
      </c>
    </row>
    <row r="43" spans="1:20" x14ac:dyDescent="0.25">
      <c r="A43" t="s">
        <v>161</v>
      </c>
      <c r="B43" s="72" t="s">
        <v>156</v>
      </c>
      <c r="C43" s="72">
        <f>Poeng!K45</f>
        <v>1</v>
      </c>
      <c r="D43" s="53"/>
      <c r="E43" s="56">
        <f>Poeng!R45</f>
        <v>1</v>
      </c>
      <c r="G43" s="460">
        <f t="shared" si="5"/>
        <v>1</v>
      </c>
      <c r="H43" s="479" t="str">
        <f t="shared" si="2"/>
        <v>OK</v>
      </c>
      <c r="M43" s="451" t="s">
        <v>161</v>
      </c>
      <c r="N43" s="445" t="b">
        <f t="shared" si="1"/>
        <v>1</v>
      </c>
      <c r="P43" t="s">
        <v>161</v>
      </c>
      <c r="Q43" s="461" t="s">
        <v>161</v>
      </c>
      <c r="R43" s="489" t="s">
        <v>453</v>
      </c>
      <c r="S43" s="486">
        <v>1</v>
      </c>
      <c r="T43" s="462" t="s">
        <v>419</v>
      </c>
    </row>
    <row r="44" spans="1:20" x14ac:dyDescent="0.25">
      <c r="A44" t="s">
        <v>162</v>
      </c>
      <c r="B44" s="72" t="s">
        <v>158</v>
      </c>
      <c r="C44" s="72">
        <f>Poeng!K46</f>
        <v>2</v>
      </c>
      <c r="D44" s="53"/>
      <c r="E44" s="56">
        <f>Poeng!R46</f>
        <v>2</v>
      </c>
      <c r="G44" s="460">
        <f t="shared" si="5"/>
        <v>2</v>
      </c>
      <c r="H44" s="479" t="str">
        <f t="shared" si="2"/>
        <v>OK</v>
      </c>
      <c r="M44" s="451" t="s">
        <v>454</v>
      </c>
      <c r="N44" s="445" t="b">
        <f t="shared" si="1"/>
        <v>1</v>
      </c>
      <c r="P44" t="s">
        <v>162</v>
      </c>
      <c r="Q44" s="461" t="s">
        <v>454</v>
      </c>
      <c r="R44" s="489" t="s">
        <v>455</v>
      </c>
      <c r="S44" s="486">
        <v>2</v>
      </c>
      <c r="T44" s="462" t="s">
        <v>419</v>
      </c>
    </row>
    <row r="45" spans="1:20" x14ac:dyDescent="0.25">
      <c r="A45" t="s">
        <v>163</v>
      </c>
      <c r="B45" s="72" t="s">
        <v>157</v>
      </c>
      <c r="C45" s="72">
        <f>Poeng!K47</f>
        <v>2</v>
      </c>
      <c r="D45" s="53"/>
      <c r="E45" s="56">
        <f>Poeng!R47</f>
        <v>2</v>
      </c>
      <c r="G45" s="460">
        <f t="shared" si="5"/>
        <v>2</v>
      </c>
      <c r="H45" s="479" t="str">
        <f t="shared" si="2"/>
        <v>OK</v>
      </c>
      <c r="M45" s="451" t="s">
        <v>456</v>
      </c>
      <c r="N45" s="445" t="b">
        <f t="shared" si="1"/>
        <v>1</v>
      </c>
      <c r="P45" s="445" t="s">
        <v>162</v>
      </c>
      <c r="Q45" s="461" t="s">
        <v>456</v>
      </c>
      <c r="R45" s="489" t="s">
        <v>455</v>
      </c>
      <c r="S45" s="486" t="s">
        <v>253</v>
      </c>
      <c r="T45" s="462" t="s">
        <v>431</v>
      </c>
    </row>
    <row r="46" spans="1:20" x14ac:dyDescent="0.25">
      <c r="A46" s="31" t="s">
        <v>164</v>
      </c>
      <c r="B46" s="72" t="s">
        <v>159</v>
      </c>
      <c r="C46" s="72">
        <f>Poeng!K48</f>
        <v>1</v>
      </c>
      <c r="D46" s="53"/>
      <c r="E46" s="56">
        <f>Poeng!R48</f>
        <v>1</v>
      </c>
      <c r="G46" s="460">
        <f t="shared" si="5"/>
        <v>1</v>
      </c>
      <c r="H46" s="479" t="str">
        <f t="shared" si="2"/>
        <v>OK</v>
      </c>
      <c r="M46" s="451" t="s">
        <v>163</v>
      </c>
      <c r="N46" s="445" t="b">
        <f t="shared" si="1"/>
        <v>1</v>
      </c>
      <c r="P46" s="445" t="s">
        <v>163</v>
      </c>
      <c r="Q46" s="461" t="s">
        <v>163</v>
      </c>
      <c r="R46" s="489" t="s">
        <v>457</v>
      </c>
      <c r="S46" s="486">
        <v>2</v>
      </c>
      <c r="T46" s="462" t="s">
        <v>419</v>
      </c>
    </row>
    <row r="47" spans="1:20" s="31" customFormat="1" ht="15.75" thickBot="1" x14ac:dyDescent="0.3">
      <c r="A47" t="s">
        <v>357</v>
      </c>
      <c r="B47" s="397" t="s">
        <v>358</v>
      </c>
      <c r="C47" s="72">
        <f>Poeng!K49</f>
        <v>0</v>
      </c>
      <c r="D47" s="74"/>
      <c r="E47" s="56">
        <f>Poeng!R49</f>
        <v>0</v>
      </c>
      <c r="G47" s="460">
        <f t="shared" si="5"/>
        <v>0</v>
      </c>
      <c r="H47" s="479" t="str">
        <f t="shared" si="2"/>
        <v>OK</v>
      </c>
      <c r="M47" s="451" t="s">
        <v>164</v>
      </c>
      <c r="N47" s="445" t="b">
        <f t="shared" si="1"/>
        <v>1</v>
      </c>
      <c r="P47" s="445" t="s">
        <v>164</v>
      </c>
      <c r="Q47" s="461" t="s">
        <v>164</v>
      </c>
      <c r="R47" s="489" t="s">
        <v>458</v>
      </c>
      <c r="S47" s="486">
        <v>1</v>
      </c>
      <c r="T47" s="462" t="s">
        <v>419</v>
      </c>
    </row>
    <row r="48" spans="1:20" ht="15.75" thickBot="1" x14ac:dyDescent="0.3">
      <c r="B48" s="60" t="s">
        <v>230</v>
      </c>
      <c r="C48" s="60">
        <f>Poeng!K50</f>
        <v>9</v>
      </c>
      <c r="D48" s="60"/>
      <c r="E48" s="60">
        <f>SUM(E42:E47)</f>
        <v>9</v>
      </c>
      <c r="G48" s="60">
        <f>SUM(G42:G47)</f>
        <v>11</v>
      </c>
      <c r="H48" s="479" t="str">
        <f t="shared" si="2"/>
        <v>FEIL</v>
      </c>
      <c r="M48" s="451" t="s">
        <v>357</v>
      </c>
      <c r="N48" s="445" t="b">
        <f t="shared" si="1"/>
        <v>1</v>
      </c>
      <c r="P48" s="445" t="s">
        <v>357</v>
      </c>
      <c r="Q48" s="461" t="s">
        <v>357</v>
      </c>
      <c r="R48" s="489" t="s">
        <v>459</v>
      </c>
      <c r="S48" s="486" t="s">
        <v>253</v>
      </c>
      <c r="T48" s="462" t="s">
        <v>431</v>
      </c>
    </row>
    <row r="49" spans="1:20" ht="15.75" thickBot="1" x14ac:dyDescent="0.3">
      <c r="B49" s="31"/>
      <c r="C49" s="31"/>
      <c r="D49" s="31"/>
      <c r="G49" s="445"/>
      <c r="H49" s="479" t="str">
        <f t="shared" si="2"/>
        <v>OK</v>
      </c>
      <c r="M49" s="447"/>
      <c r="N49" s="445" t="b">
        <f t="shared" si="1"/>
        <v>1</v>
      </c>
      <c r="Q49" s="464"/>
      <c r="R49" s="485"/>
      <c r="S49" s="485"/>
      <c r="T49" s="465"/>
    </row>
    <row r="50" spans="1:20" ht="15.75" thickBot="1" x14ac:dyDescent="0.3">
      <c r="B50" s="57" t="s">
        <v>63</v>
      </c>
      <c r="C50" s="57"/>
      <c r="D50" s="57"/>
      <c r="E50" s="57"/>
      <c r="G50" s="460">
        <f>SUMIF($P$7:$P$91,A50,$S$7:$S$91)</f>
        <v>0</v>
      </c>
      <c r="H50" s="479" t="str">
        <f t="shared" si="2"/>
        <v>OK</v>
      </c>
      <c r="M50" s="448" t="s">
        <v>460</v>
      </c>
      <c r="N50" s="445" t="b">
        <f t="shared" si="1"/>
        <v>1</v>
      </c>
      <c r="Q50" s="466" t="s">
        <v>460</v>
      </c>
      <c r="R50" s="485"/>
      <c r="S50" s="485"/>
      <c r="T50" s="465"/>
    </row>
    <row r="51" spans="1:20" x14ac:dyDescent="0.25">
      <c r="A51" t="s">
        <v>184</v>
      </c>
      <c r="B51" s="56" t="s">
        <v>165</v>
      </c>
      <c r="C51" s="56">
        <f>Poeng!K53</f>
        <v>5</v>
      </c>
      <c r="D51" s="55"/>
      <c r="E51" s="56">
        <f>Poeng!R53</f>
        <v>5</v>
      </c>
      <c r="G51" s="460">
        <f>SUMIF($P$7:$P$91,A51,$S$7:$S$91)</f>
        <v>5</v>
      </c>
      <c r="H51" s="479" t="str">
        <f t="shared" si="2"/>
        <v>OK</v>
      </c>
      <c r="M51" s="451" t="s">
        <v>184</v>
      </c>
      <c r="N51" s="445" t="b">
        <f t="shared" si="1"/>
        <v>1</v>
      </c>
      <c r="P51" t="s">
        <v>184</v>
      </c>
      <c r="Q51" s="461" t="s">
        <v>184</v>
      </c>
      <c r="R51" s="489" t="s">
        <v>461</v>
      </c>
      <c r="S51" s="486">
        <v>5</v>
      </c>
      <c r="T51" s="462" t="s">
        <v>419</v>
      </c>
    </row>
    <row r="52" spans="1:20" x14ac:dyDescent="0.25">
      <c r="A52" t="s">
        <v>185</v>
      </c>
      <c r="B52" s="54" t="s">
        <v>166</v>
      </c>
      <c r="C52" s="54">
        <f>Poeng!K54</f>
        <v>1</v>
      </c>
      <c r="D52" s="53"/>
      <c r="E52" s="56">
        <f>Poeng!R54</f>
        <v>1</v>
      </c>
      <c r="G52" s="460">
        <f>SUMIF($P$7:$P$91,A52,$S$7:$S$91)</f>
        <v>1</v>
      </c>
      <c r="H52" s="479" t="str">
        <f t="shared" si="2"/>
        <v>OK</v>
      </c>
      <c r="M52" s="451" t="s">
        <v>185</v>
      </c>
      <c r="N52" s="445" t="b">
        <f t="shared" si="1"/>
        <v>1</v>
      </c>
      <c r="P52" t="s">
        <v>185</v>
      </c>
      <c r="Q52" s="461" t="s">
        <v>185</v>
      </c>
      <c r="R52" s="489" t="s">
        <v>462</v>
      </c>
      <c r="S52" s="486">
        <v>1</v>
      </c>
      <c r="T52" s="462" t="s">
        <v>419</v>
      </c>
    </row>
    <row r="53" spans="1:20" x14ac:dyDescent="0.25">
      <c r="A53" t="s">
        <v>186</v>
      </c>
      <c r="B53" s="54" t="s">
        <v>167</v>
      </c>
      <c r="C53" s="54">
        <f>Poeng!K55</f>
        <v>2</v>
      </c>
      <c r="D53" s="53"/>
      <c r="E53" s="56">
        <f>Poeng!R55</f>
        <v>2</v>
      </c>
      <c r="G53" s="460">
        <f>SUMIF($P$7:$P$91,A53,$S$7:$S$91)</f>
        <v>2</v>
      </c>
      <c r="H53" s="479" t="str">
        <f t="shared" si="2"/>
        <v>OK</v>
      </c>
      <c r="M53" s="451" t="s">
        <v>186</v>
      </c>
      <c r="N53" s="445" t="b">
        <f t="shared" si="1"/>
        <v>1</v>
      </c>
      <c r="P53" t="s">
        <v>186</v>
      </c>
      <c r="Q53" s="461" t="s">
        <v>186</v>
      </c>
      <c r="R53" s="489" t="s">
        <v>463</v>
      </c>
      <c r="S53" s="486">
        <v>2</v>
      </c>
      <c r="T53" s="462" t="s">
        <v>419</v>
      </c>
    </row>
    <row r="54" spans="1:20" ht="15.75" thickBot="1" x14ac:dyDescent="0.3">
      <c r="A54" t="s">
        <v>187</v>
      </c>
      <c r="B54" s="72" t="s">
        <v>168</v>
      </c>
      <c r="C54" s="72">
        <f>Poeng!K56</f>
        <v>1</v>
      </c>
      <c r="D54" s="53"/>
      <c r="E54" s="56">
        <f>Poeng!R56</f>
        <v>0</v>
      </c>
      <c r="G54" s="460">
        <f>SUMIF($P$7:$P$91,A54,$S$7:$S$91)</f>
        <v>0</v>
      </c>
      <c r="H54" s="479" t="str">
        <f t="shared" si="2"/>
        <v>OK</v>
      </c>
      <c r="M54" s="451" t="s">
        <v>187</v>
      </c>
      <c r="N54" s="445" t="b">
        <f t="shared" si="1"/>
        <v>1</v>
      </c>
      <c r="P54" t="s">
        <v>187</v>
      </c>
      <c r="Q54" s="461" t="s">
        <v>187</v>
      </c>
      <c r="R54" s="489" t="s">
        <v>464</v>
      </c>
      <c r="S54" s="486" t="s">
        <v>253</v>
      </c>
      <c r="T54" s="462" t="s">
        <v>431</v>
      </c>
    </row>
    <row r="55" spans="1:20" ht="15.75" thickBot="1" x14ac:dyDescent="0.3">
      <c r="B55" s="60" t="s">
        <v>230</v>
      </c>
      <c r="C55" s="60">
        <f>Poeng!K57</f>
        <v>9</v>
      </c>
      <c r="D55" s="60"/>
      <c r="E55" s="60">
        <f>SUM(E51:E54)</f>
        <v>8</v>
      </c>
      <c r="G55" s="60">
        <f>SUM(G51:G54)</f>
        <v>8</v>
      </c>
      <c r="H55" s="479" t="str">
        <f t="shared" si="2"/>
        <v>OK</v>
      </c>
      <c r="M55" s="447"/>
      <c r="N55" s="445" t="b">
        <f t="shared" si="1"/>
        <v>1</v>
      </c>
      <c r="Q55" s="464"/>
      <c r="R55" s="485"/>
      <c r="S55" s="485"/>
      <c r="T55" s="465"/>
    </row>
    <row r="56" spans="1:20" ht="15.75" thickBot="1" x14ac:dyDescent="0.3">
      <c r="B56" s="31"/>
      <c r="C56" s="31"/>
      <c r="D56" s="31"/>
      <c r="G56" s="445"/>
      <c r="H56" s="479" t="str">
        <f t="shared" si="2"/>
        <v>OK</v>
      </c>
      <c r="M56" s="448" t="s">
        <v>465</v>
      </c>
      <c r="N56" s="445" t="b">
        <f t="shared" si="1"/>
        <v>1</v>
      </c>
      <c r="Q56" s="466" t="s">
        <v>465</v>
      </c>
      <c r="R56" s="485"/>
      <c r="S56" s="485"/>
      <c r="T56" s="465"/>
    </row>
    <row r="57" spans="1:20" ht="15.75" thickBot="1" x14ac:dyDescent="0.3">
      <c r="B57" s="57" t="s">
        <v>72</v>
      </c>
      <c r="C57" s="57"/>
      <c r="D57" s="57"/>
      <c r="E57" s="57"/>
      <c r="G57" s="460">
        <f>SUMIF($P$7:$P$91,A57,$S$7:$S$91)</f>
        <v>0</v>
      </c>
      <c r="H57" s="479" t="str">
        <f t="shared" si="2"/>
        <v>OK</v>
      </c>
      <c r="M57" s="451" t="s">
        <v>188</v>
      </c>
      <c r="N57" s="445" t="b">
        <f t="shared" si="1"/>
        <v>1</v>
      </c>
      <c r="P57" t="s">
        <v>188</v>
      </c>
      <c r="Q57" s="461" t="s">
        <v>188</v>
      </c>
      <c r="R57" s="489" t="s">
        <v>466</v>
      </c>
      <c r="S57" s="486">
        <v>7</v>
      </c>
      <c r="T57" s="462" t="s">
        <v>419</v>
      </c>
    </row>
    <row r="58" spans="1:20" x14ac:dyDescent="0.25">
      <c r="A58" t="s">
        <v>188</v>
      </c>
      <c r="B58" s="56" t="s">
        <v>169</v>
      </c>
      <c r="C58" s="56">
        <f>Poeng!K60</f>
        <v>7</v>
      </c>
      <c r="D58" s="55"/>
      <c r="E58" s="56">
        <f>Poeng!R60</f>
        <v>7</v>
      </c>
      <c r="G58" s="460">
        <f>SUMIF($P$7:$P$91,A58,$S$7:$S$91)</f>
        <v>7</v>
      </c>
      <c r="H58" s="479" t="str">
        <f t="shared" si="2"/>
        <v>OK</v>
      </c>
      <c r="M58" s="451" t="s">
        <v>189</v>
      </c>
      <c r="N58" s="445" t="b">
        <f t="shared" si="1"/>
        <v>1</v>
      </c>
      <c r="P58" t="s">
        <v>189</v>
      </c>
      <c r="Q58" s="461" t="s">
        <v>189</v>
      </c>
      <c r="R58" s="489" t="s">
        <v>467</v>
      </c>
      <c r="S58" s="486">
        <v>3</v>
      </c>
      <c r="T58" s="462" t="s">
        <v>419</v>
      </c>
    </row>
    <row r="59" spans="1:20" x14ac:dyDescent="0.25">
      <c r="A59" t="s">
        <v>189</v>
      </c>
      <c r="B59" s="54" t="s">
        <v>170</v>
      </c>
      <c r="C59" s="54">
        <f>Poeng!K61</f>
        <v>3</v>
      </c>
      <c r="D59" s="53"/>
      <c r="E59" s="56">
        <f>Poeng!R61</f>
        <v>3</v>
      </c>
      <c r="G59" s="460">
        <f>SUMIF($P$7:$P$91,A59,$S$7:$S$91)</f>
        <v>3</v>
      </c>
      <c r="H59" s="479" t="str">
        <f t="shared" si="2"/>
        <v>OK</v>
      </c>
      <c r="M59" s="451" t="s">
        <v>190</v>
      </c>
      <c r="N59" s="445" t="b">
        <f t="shared" si="1"/>
        <v>1</v>
      </c>
      <c r="P59" t="s">
        <v>190</v>
      </c>
      <c r="Q59" s="461" t="s">
        <v>190</v>
      </c>
      <c r="R59" s="489" t="s">
        <v>468</v>
      </c>
      <c r="S59" s="486">
        <v>1</v>
      </c>
      <c r="T59" s="462" t="s">
        <v>419</v>
      </c>
    </row>
    <row r="60" spans="1:20" x14ac:dyDescent="0.25">
      <c r="A60" t="s">
        <v>190</v>
      </c>
      <c r="B60" s="54" t="s">
        <v>171</v>
      </c>
      <c r="C60" s="54">
        <f>Poeng!K62</f>
        <v>1</v>
      </c>
      <c r="D60" s="53"/>
      <c r="E60" s="56">
        <f>Poeng!R62</f>
        <v>1</v>
      </c>
      <c r="G60" s="460">
        <f>SUMIF($P$7:$P$91,A60,$S$7:$S$91)</f>
        <v>1</v>
      </c>
      <c r="H60" s="479" t="str">
        <f t="shared" si="2"/>
        <v>OK</v>
      </c>
      <c r="M60" s="447"/>
      <c r="N60" s="445" t="b">
        <f t="shared" si="1"/>
        <v>1</v>
      </c>
      <c r="Q60" s="464"/>
      <c r="R60" s="485"/>
      <c r="S60" s="485"/>
      <c r="T60" s="465"/>
    </row>
    <row r="61" spans="1:20" ht="15.75" thickBot="1" x14ac:dyDescent="0.3">
      <c r="B61" s="54"/>
      <c r="C61" s="54">
        <f>Poeng!K63</f>
        <v>0</v>
      </c>
      <c r="D61" s="53"/>
      <c r="E61" s="56">
        <f>Poeng!R63</f>
        <v>0</v>
      </c>
      <c r="G61" s="460">
        <f>SUMIF($P$7:$P$91,A61,$S$7:$S$91)</f>
        <v>0</v>
      </c>
      <c r="H61" s="479" t="str">
        <f t="shared" si="2"/>
        <v>OK</v>
      </c>
      <c r="M61" s="448" t="s">
        <v>469</v>
      </c>
      <c r="N61" s="445" t="b">
        <f t="shared" si="1"/>
        <v>1</v>
      </c>
      <c r="Q61" s="466" t="s">
        <v>469</v>
      </c>
      <c r="R61" s="485"/>
      <c r="S61" s="485"/>
      <c r="T61" s="465"/>
    </row>
    <row r="62" spans="1:20" ht="15.75" thickBot="1" x14ac:dyDescent="0.3">
      <c r="B62" s="60" t="s">
        <v>230</v>
      </c>
      <c r="C62" s="60">
        <f>Poeng!K64</f>
        <v>11</v>
      </c>
      <c r="D62" s="60"/>
      <c r="E62" s="60">
        <f>SUM(E58:E61)</f>
        <v>11</v>
      </c>
      <c r="G62" s="60">
        <f>SUM(G58:G61)</f>
        <v>11</v>
      </c>
      <c r="H62" s="479" t="str">
        <f t="shared" si="2"/>
        <v>OK</v>
      </c>
      <c r="M62" s="451" t="s">
        <v>192</v>
      </c>
      <c r="N62" s="445" t="b">
        <f t="shared" si="1"/>
        <v>1</v>
      </c>
      <c r="P62" t="s">
        <v>192</v>
      </c>
      <c r="Q62" s="461" t="s">
        <v>192</v>
      </c>
      <c r="R62" s="489" t="s">
        <v>470</v>
      </c>
      <c r="S62" s="486">
        <v>3</v>
      </c>
      <c r="T62" s="462" t="s">
        <v>419</v>
      </c>
    </row>
    <row r="63" spans="1:20" ht="15.75" thickBot="1" x14ac:dyDescent="0.3">
      <c r="B63" s="31"/>
      <c r="C63" s="31"/>
      <c r="D63" s="31"/>
      <c r="G63" s="445"/>
      <c r="H63" s="479" t="str">
        <f t="shared" si="2"/>
        <v>OK</v>
      </c>
      <c r="M63" s="451" t="s">
        <v>193</v>
      </c>
      <c r="N63" s="445" t="b">
        <f t="shared" si="1"/>
        <v>1</v>
      </c>
      <c r="P63" t="s">
        <v>193</v>
      </c>
      <c r="Q63" s="461" t="s">
        <v>193</v>
      </c>
      <c r="R63" s="489" t="s">
        <v>471</v>
      </c>
      <c r="S63" s="486">
        <v>1</v>
      </c>
      <c r="T63" s="462" t="s">
        <v>419</v>
      </c>
    </row>
    <row r="64" spans="1:20" ht="15.75" thickBot="1" x14ac:dyDescent="0.3">
      <c r="B64" s="57" t="s">
        <v>73</v>
      </c>
      <c r="C64" s="57"/>
      <c r="D64" s="57"/>
      <c r="E64" s="57"/>
      <c r="G64" s="460">
        <f>SUMIF($P$7:$P$91,A64,$S$7:$S$91)</f>
        <v>0</v>
      </c>
      <c r="H64" s="479" t="str">
        <f t="shared" si="2"/>
        <v>OK</v>
      </c>
      <c r="M64" s="451" t="s">
        <v>472</v>
      </c>
      <c r="N64" s="445" t="b">
        <f t="shared" si="1"/>
        <v>1</v>
      </c>
      <c r="P64" t="s">
        <v>194</v>
      </c>
      <c r="Q64" s="461" t="s">
        <v>472</v>
      </c>
      <c r="R64" s="489" t="s">
        <v>473</v>
      </c>
      <c r="S64" s="486" t="s">
        <v>253</v>
      </c>
      <c r="T64" s="462" t="s">
        <v>431</v>
      </c>
    </row>
    <row r="65" spans="1:20" x14ac:dyDescent="0.25">
      <c r="A65" t="s">
        <v>192</v>
      </c>
      <c r="B65" s="56" t="s">
        <v>172</v>
      </c>
      <c r="C65" s="56">
        <f>Poeng!K67</f>
        <v>3</v>
      </c>
      <c r="D65" s="55"/>
      <c r="E65" s="56">
        <f>Poeng!R67</f>
        <v>3</v>
      </c>
      <c r="G65" s="460">
        <f>SUMIF($P$7:$P$91,A65,$S$7:$S$91)</f>
        <v>3</v>
      </c>
      <c r="H65" s="479" t="str">
        <f t="shared" si="2"/>
        <v>OK</v>
      </c>
      <c r="M65" s="451" t="s">
        <v>474</v>
      </c>
      <c r="N65" s="445" t="b">
        <f t="shared" si="1"/>
        <v>1</v>
      </c>
      <c r="P65" t="s">
        <v>194</v>
      </c>
      <c r="Q65" s="461" t="s">
        <v>474</v>
      </c>
      <c r="R65" s="489" t="s">
        <v>473</v>
      </c>
      <c r="S65" s="486">
        <v>2</v>
      </c>
      <c r="T65" s="462" t="s">
        <v>419</v>
      </c>
    </row>
    <row r="66" spans="1:20" x14ac:dyDescent="0.25">
      <c r="A66" t="s">
        <v>193</v>
      </c>
      <c r="B66" s="54" t="s">
        <v>340</v>
      </c>
      <c r="C66" s="54">
        <f>Poeng!K68</f>
        <v>1</v>
      </c>
      <c r="D66" s="53"/>
      <c r="E66" s="56">
        <f>Poeng!R68</f>
        <v>1</v>
      </c>
      <c r="G66" s="460">
        <f>SUMIF($P$7:$P$91,A66,$S$7:$S$91)</f>
        <v>1</v>
      </c>
      <c r="H66" s="479" t="str">
        <f t="shared" si="2"/>
        <v>OK</v>
      </c>
      <c r="M66" s="451" t="s">
        <v>195</v>
      </c>
      <c r="N66" s="445" t="b">
        <f t="shared" si="1"/>
        <v>1</v>
      </c>
      <c r="P66" s="445" t="s">
        <v>195</v>
      </c>
      <c r="Q66" s="461" t="s">
        <v>195</v>
      </c>
      <c r="R66" s="489" t="s">
        <v>475</v>
      </c>
      <c r="S66" s="486" t="s">
        <v>253</v>
      </c>
      <c r="T66" s="462" t="s">
        <v>431</v>
      </c>
    </row>
    <row r="67" spans="1:20" x14ac:dyDescent="0.25">
      <c r="A67" t="s">
        <v>194</v>
      </c>
      <c r="B67" s="54" t="s">
        <v>181</v>
      </c>
      <c r="C67" s="54">
        <f>Poeng!K69</f>
        <v>1</v>
      </c>
      <c r="D67" s="53"/>
      <c r="E67" s="56">
        <f>Poeng!R69</f>
        <v>1</v>
      </c>
      <c r="G67" s="460">
        <f>SUMIF($P$7:$P$91,A67,$S$7:$S$91)</f>
        <v>2</v>
      </c>
      <c r="H67" s="479" t="str">
        <f t="shared" si="2"/>
        <v>FEIL</v>
      </c>
      <c r="M67" s="447"/>
      <c r="N67" s="445" t="b">
        <f t="shared" si="1"/>
        <v>1</v>
      </c>
      <c r="Q67" s="464"/>
      <c r="R67" s="485"/>
      <c r="S67" s="485"/>
      <c r="T67" s="465"/>
    </row>
    <row r="68" spans="1:20" ht="15.75" thickBot="1" x14ac:dyDescent="0.3">
      <c r="A68" t="s">
        <v>195</v>
      </c>
      <c r="B68" s="54" t="s">
        <v>231</v>
      </c>
      <c r="C68" s="54">
        <f>Poeng!K70</f>
        <v>1</v>
      </c>
      <c r="D68" s="53"/>
      <c r="E68" s="56">
        <f>Poeng!R70</f>
        <v>1</v>
      </c>
      <c r="G68" s="460">
        <f>SUMIF($P$7:$P$91,A68,$S$7:$S$91)</f>
        <v>0</v>
      </c>
      <c r="H68" s="479" t="str">
        <f t="shared" si="2"/>
        <v>FEIL</v>
      </c>
      <c r="M68" s="448" t="s">
        <v>476</v>
      </c>
      <c r="N68" s="445" t="b">
        <f t="shared" si="1"/>
        <v>1</v>
      </c>
      <c r="Q68" s="466" t="s">
        <v>476</v>
      </c>
      <c r="R68" s="485"/>
      <c r="S68" s="485"/>
      <c r="T68" s="465"/>
    </row>
    <row r="69" spans="1:20" ht="15.75" thickBot="1" x14ac:dyDescent="0.3">
      <c r="B69" s="60" t="s">
        <v>230</v>
      </c>
      <c r="C69" s="60">
        <f>Poeng!K71</f>
        <v>6</v>
      </c>
      <c r="D69" s="60"/>
      <c r="E69" s="60">
        <f>SUM(E65:E68)</f>
        <v>6</v>
      </c>
      <c r="G69" s="60">
        <f>SUM(G65:G68)</f>
        <v>6</v>
      </c>
      <c r="H69" s="479" t="str">
        <f t="shared" si="2"/>
        <v>OK</v>
      </c>
      <c r="M69" s="451" t="s">
        <v>196</v>
      </c>
      <c r="N69" s="445" t="b">
        <f t="shared" si="1"/>
        <v>1</v>
      </c>
      <c r="P69" t="s">
        <v>196</v>
      </c>
      <c r="Q69" s="461" t="s">
        <v>196</v>
      </c>
      <c r="R69" s="489" t="s">
        <v>477</v>
      </c>
      <c r="S69" s="486">
        <v>3</v>
      </c>
      <c r="T69" s="462" t="s">
        <v>419</v>
      </c>
    </row>
    <row r="70" spans="1:20" ht="15.75" thickBot="1" x14ac:dyDescent="0.3">
      <c r="B70" s="31"/>
      <c r="C70" s="31"/>
      <c r="D70" s="31"/>
      <c r="G70" s="445"/>
      <c r="H70" s="479" t="str">
        <f t="shared" si="2"/>
        <v>OK</v>
      </c>
      <c r="M70" s="451" t="s">
        <v>197</v>
      </c>
      <c r="N70" s="445" t="b">
        <f t="shared" si="1"/>
        <v>1</v>
      </c>
      <c r="P70" t="s">
        <v>197</v>
      </c>
      <c r="Q70" s="461" t="s">
        <v>197</v>
      </c>
      <c r="R70" s="489" t="s">
        <v>478</v>
      </c>
      <c r="S70" s="486">
        <v>2</v>
      </c>
      <c r="T70" s="462" t="s">
        <v>419</v>
      </c>
    </row>
    <row r="71" spans="1:20" ht="15.75" thickBot="1" x14ac:dyDescent="0.3">
      <c r="B71" s="57" t="s">
        <v>243</v>
      </c>
      <c r="C71" s="57"/>
      <c r="D71" s="57"/>
      <c r="E71" s="57"/>
      <c r="G71" s="460">
        <f t="shared" ref="G71:G76" si="6">SUMIF($P$7:$P$91,A71,$S$7:$S$91)</f>
        <v>0</v>
      </c>
      <c r="H71" s="479" t="str">
        <f t="shared" si="2"/>
        <v>OK</v>
      </c>
      <c r="M71" s="451" t="s">
        <v>198</v>
      </c>
      <c r="N71" s="445" t="b">
        <f t="shared" ref="N71:N92" si="7">M71=Q71</f>
        <v>1</v>
      </c>
      <c r="P71" t="s">
        <v>198</v>
      </c>
      <c r="Q71" s="461" t="s">
        <v>198</v>
      </c>
      <c r="R71" s="489" t="s">
        <v>479</v>
      </c>
      <c r="S71" s="486">
        <v>3</v>
      </c>
      <c r="T71" s="462" t="s">
        <v>419</v>
      </c>
    </row>
    <row r="72" spans="1:20" x14ac:dyDescent="0.25">
      <c r="A72" t="s">
        <v>196</v>
      </c>
      <c r="B72" s="56" t="s">
        <v>173</v>
      </c>
      <c r="C72" s="56">
        <f>Poeng!K74</f>
        <v>3</v>
      </c>
      <c r="D72" s="55"/>
      <c r="E72" s="56">
        <f>Poeng!R74</f>
        <v>3</v>
      </c>
      <c r="G72" s="460">
        <f t="shared" si="6"/>
        <v>3</v>
      </c>
      <c r="H72" s="479" t="str">
        <f t="shared" ref="H72:H97" si="8">IF(E72=G72,"OK","FEIL")</f>
        <v>OK</v>
      </c>
      <c r="M72" s="451" t="s">
        <v>199</v>
      </c>
      <c r="N72" s="445" t="b">
        <f t="shared" si="7"/>
        <v>1</v>
      </c>
      <c r="P72" t="s">
        <v>199</v>
      </c>
      <c r="Q72" s="461" t="s">
        <v>199</v>
      </c>
      <c r="R72" s="489" t="s">
        <v>480</v>
      </c>
      <c r="S72" s="486">
        <v>2</v>
      </c>
      <c r="T72" s="462" t="s">
        <v>419</v>
      </c>
    </row>
    <row r="73" spans="1:20" x14ac:dyDescent="0.25">
      <c r="A73" t="s">
        <v>197</v>
      </c>
      <c r="B73" s="54" t="s">
        <v>174</v>
      </c>
      <c r="C73" s="54">
        <f>Poeng!K75</f>
        <v>2</v>
      </c>
      <c r="D73" s="53"/>
      <c r="E73" s="56">
        <f>Poeng!R75</f>
        <v>2</v>
      </c>
      <c r="G73" s="460">
        <f t="shared" si="6"/>
        <v>2</v>
      </c>
      <c r="H73" s="479" t="str">
        <f t="shared" si="8"/>
        <v>OK</v>
      </c>
      <c r="M73" s="451" t="s">
        <v>200</v>
      </c>
      <c r="N73" s="445" t="b">
        <f t="shared" si="7"/>
        <v>1</v>
      </c>
      <c r="P73" t="s">
        <v>200</v>
      </c>
      <c r="Q73" s="461" t="s">
        <v>200</v>
      </c>
      <c r="R73" s="489" t="s">
        <v>481</v>
      </c>
      <c r="S73" s="486" t="s">
        <v>253</v>
      </c>
      <c r="T73" s="462" t="s">
        <v>431</v>
      </c>
    </row>
    <row r="74" spans="1:20" x14ac:dyDescent="0.25">
      <c r="A74" t="s">
        <v>198</v>
      </c>
      <c r="B74" s="54" t="s">
        <v>175</v>
      </c>
      <c r="C74" s="54">
        <f>Poeng!K76</f>
        <v>3</v>
      </c>
      <c r="D74" s="53"/>
      <c r="E74" s="56">
        <f>Poeng!R76</f>
        <v>3</v>
      </c>
      <c r="G74" s="460">
        <f t="shared" si="6"/>
        <v>3</v>
      </c>
      <c r="H74" s="479" t="str">
        <f t="shared" si="8"/>
        <v>OK</v>
      </c>
      <c r="M74" s="447"/>
      <c r="N74" s="445" t="b">
        <f t="shared" si="7"/>
        <v>1</v>
      </c>
      <c r="Q74" s="464"/>
      <c r="R74" s="485"/>
      <c r="S74" s="485"/>
      <c r="T74" s="465"/>
    </row>
    <row r="75" spans="1:20" x14ac:dyDescent="0.25">
      <c r="A75" t="s">
        <v>199</v>
      </c>
      <c r="B75" s="54" t="s">
        <v>176</v>
      </c>
      <c r="C75" s="54">
        <f>Poeng!K77</f>
        <v>2</v>
      </c>
      <c r="D75" s="53"/>
      <c r="E75" s="56">
        <f>Poeng!R77</f>
        <v>2</v>
      </c>
      <c r="G75" s="460">
        <f t="shared" si="6"/>
        <v>2</v>
      </c>
      <c r="H75" s="479" t="str">
        <f t="shared" si="8"/>
        <v>OK</v>
      </c>
      <c r="M75" s="448" t="s">
        <v>482</v>
      </c>
      <c r="N75" s="445" t="b">
        <f t="shared" si="7"/>
        <v>1</v>
      </c>
      <c r="Q75" s="466" t="s">
        <v>482</v>
      </c>
      <c r="R75" s="485"/>
      <c r="S75" s="485"/>
      <c r="T75" s="465"/>
    </row>
    <row r="76" spans="1:20" ht="15.75" thickBot="1" x14ac:dyDescent="0.3">
      <c r="A76" t="s">
        <v>200</v>
      </c>
      <c r="B76" s="54" t="s">
        <v>182</v>
      </c>
      <c r="C76" s="54">
        <f>Poeng!K78</f>
        <v>0</v>
      </c>
      <c r="D76" s="53"/>
      <c r="E76" s="56">
        <f>Poeng!R78</f>
        <v>0</v>
      </c>
      <c r="G76" s="460">
        <f t="shared" si="6"/>
        <v>0</v>
      </c>
      <c r="H76" s="479" t="str">
        <f t="shared" si="8"/>
        <v>OK</v>
      </c>
      <c r="M76" s="451" t="s">
        <v>483</v>
      </c>
      <c r="N76" s="445" t="b">
        <f t="shared" si="7"/>
        <v>1</v>
      </c>
      <c r="P76" t="s">
        <v>483</v>
      </c>
      <c r="Q76" s="461" t="s">
        <v>483</v>
      </c>
      <c r="R76" s="489" t="s">
        <v>484</v>
      </c>
      <c r="S76" s="486">
        <v>3</v>
      </c>
      <c r="T76" s="462" t="s">
        <v>419</v>
      </c>
    </row>
    <row r="77" spans="1:20" ht="15.75" thickBot="1" x14ac:dyDescent="0.3">
      <c r="B77" s="60" t="s">
        <v>230</v>
      </c>
      <c r="C77" s="60">
        <f>Poeng!K79</f>
        <v>10</v>
      </c>
      <c r="D77" s="60"/>
      <c r="E77" s="60">
        <f>SUM(E72:E76)</f>
        <v>10</v>
      </c>
      <c r="G77" s="60">
        <f>SUM(G72:G76)</f>
        <v>10</v>
      </c>
      <c r="H77" s="479" t="str">
        <f t="shared" si="8"/>
        <v>OK</v>
      </c>
      <c r="M77" s="451" t="s">
        <v>485</v>
      </c>
      <c r="N77" s="445" t="b">
        <f t="shared" si="7"/>
        <v>1</v>
      </c>
      <c r="P77" t="s">
        <v>485</v>
      </c>
      <c r="Q77" s="461" t="s">
        <v>485</v>
      </c>
      <c r="R77" s="489" t="s">
        <v>486</v>
      </c>
      <c r="S77" s="486">
        <v>3</v>
      </c>
      <c r="T77" s="462" t="s">
        <v>419</v>
      </c>
    </row>
    <row r="78" spans="1:20" ht="15.75" thickBot="1" x14ac:dyDescent="0.3">
      <c r="B78" s="31"/>
      <c r="C78" s="31"/>
      <c r="D78" s="31"/>
      <c r="G78" s="445"/>
      <c r="H78" s="479" t="str">
        <f t="shared" si="8"/>
        <v>OK</v>
      </c>
      <c r="M78" s="451" t="s">
        <v>487</v>
      </c>
      <c r="N78" s="445" t="b">
        <f t="shared" si="7"/>
        <v>1</v>
      </c>
      <c r="P78" t="s">
        <v>487</v>
      </c>
      <c r="Q78" s="461" t="s">
        <v>487</v>
      </c>
      <c r="R78" s="489" t="s">
        <v>488</v>
      </c>
      <c r="S78" s="486">
        <v>5</v>
      </c>
      <c r="T78" s="462" t="s">
        <v>419</v>
      </c>
    </row>
    <row r="79" spans="1:20" ht="15.75" thickBot="1" x14ac:dyDescent="0.3">
      <c r="B79" s="57" t="s">
        <v>75</v>
      </c>
      <c r="C79" s="57"/>
      <c r="D79" s="57"/>
      <c r="E79" s="57"/>
      <c r="G79" s="460">
        <f t="shared" ref="G79:G84" si="9">SUMIF($P$7:$P$91,A79,$S$7:$S$91)</f>
        <v>0</v>
      </c>
      <c r="H79" s="479" t="str">
        <f t="shared" si="8"/>
        <v>OK</v>
      </c>
      <c r="M79" s="451" t="s">
        <v>489</v>
      </c>
      <c r="N79" s="445" t="b">
        <f t="shared" si="7"/>
        <v>1</v>
      </c>
      <c r="P79" t="s">
        <v>489</v>
      </c>
      <c r="Q79" s="461" t="s">
        <v>489</v>
      </c>
      <c r="R79" s="489" t="s">
        <v>490</v>
      </c>
      <c r="S79" s="486">
        <v>1</v>
      </c>
      <c r="T79" s="462" t="s">
        <v>419</v>
      </c>
    </row>
    <row r="80" spans="1:20" x14ac:dyDescent="0.25">
      <c r="A80" t="s">
        <v>483</v>
      </c>
      <c r="B80" s="71" t="s">
        <v>177</v>
      </c>
      <c r="C80" s="71">
        <f>Poeng!K82</f>
        <v>3</v>
      </c>
      <c r="D80" s="55"/>
      <c r="E80" s="480">
        <f>Poeng!R82</f>
        <v>3</v>
      </c>
      <c r="G80" s="460">
        <f t="shared" si="9"/>
        <v>3</v>
      </c>
      <c r="H80" s="479" t="str">
        <f t="shared" si="8"/>
        <v>OK</v>
      </c>
      <c r="M80" s="451" t="s">
        <v>491</v>
      </c>
      <c r="N80" s="445" t="b">
        <f t="shared" si="7"/>
        <v>1</v>
      </c>
      <c r="P80" t="s">
        <v>491</v>
      </c>
      <c r="Q80" s="461" t="s">
        <v>491</v>
      </c>
      <c r="R80" s="489" t="s">
        <v>492</v>
      </c>
      <c r="S80" s="486">
        <v>1</v>
      </c>
      <c r="T80" s="462" t="s">
        <v>419</v>
      </c>
    </row>
    <row r="81" spans="1:20" x14ac:dyDescent="0.25">
      <c r="A81" t="s">
        <v>485</v>
      </c>
      <c r="B81" s="72" t="s">
        <v>178</v>
      </c>
      <c r="C81" s="72">
        <f>Poeng!K83</f>
        <v>3</v>
      </c>
      <c r="D81" s="53"/>
      <c r="E81" s="480">
        <f>Poeng!R83</f>
        <v>3</v>
      </c>
      <c r="G81" s="460">
        <f t="shared" si="9"/>
        <v>3</v>
      </c>
      <c r="H81" s="479" t="str">
        <f t="shared" si="8"/>
        <v>OK</v>
      </c>
      <c r="M81" s="447"/>
      <c r="N81" s="445" t="b">
        <f t="shared" si="7"/>
        <v>1</v>
      </c>
      <c r="Q81" s="464"/>
      <c r="R81" s="485"/>
      <c r="S81" s="485"/>
      <c r="T81" s="465"/>
    </row>
    <row r="82" spans="1:20" x14ac:dyDescent="0.25">
      <c r="A82" t="s">
        <v>487</v>
      </c>
      <c r="B82" s="54" t="s">
        <v>179</v>
      </c>
      <c r="C82" s="54">
        <f>Poeng!K84</f>
        <v>5</v>
      </c>
      <c r="D82" s="53"/>
      <c r="E82" s="56">
        <f>Poeng!R84</f>
        <v>5</v>
      </c>
      <c r="G82" s="460">
        <f t="shared" si="9"/>
        <v>5</v>
      </c>
      <c r="H82" s="479" t="str">
        <f t="shared" si="8"/>
        <v>OK</v>
      </c>
      <c r="M82" s="447"/>
      <c r="N82" s="445" t="b">
        <f t="shared" si="7"/>
        <v>1</v>
      </c>
      <c r="Q82" s="464"/>
      <c r="R82" s="485"/>
      <c r="S82" s="485"/>
      <c r="T82" s="465"/>
    </row>
    <row r="83" spans="1:20" x14ac:dyDescent="0.25">
      <c r="A83" t="s">
        <v>489</v>
      </c>
      <c r="B83" s="54" t="s">
        <v>180</v>
      </c>
      <c r="C83" s="54">
        <f>Poeng!K85</f>
        <v>1</v>
      </c>
      <c r="D83" s="53"/>
      <c r="E83" s="56">
        <f>Poeng!R85</f>
        <v>1</v>
      </c>
      <c r="G83" s="460">
        <f t="shared" si="9"/>
        <v>1</v>
      </c>
      <c r="H83" s="479" t="str">
        <f t="shared" si="8"/>
        <v>OK</v>
      </c>
      <c r="M83" s="449" t="s">
        <v>493</v>
      </c>
      <c r="N83" s="445" t="b">
        <f t="shared" si="7"/>
        <v>1</v>
      </c>
      <c r="Q83" s="470" t="s">
        <v>493</v>
      </c>
      <c r="R83" s="485"/>
      <c r="S83" s="485"/>
      <c r="T83" s="465"/>
    </row>
    <row r="84" spans="1:20" ht="15.75" thickBot="1" x14ac:dyDescent="0.3">
      <c r="A84" t="s">
        <v>491</v>
      </c>
      <c r="B84" s="54" t="s">
        <v>183</v>
      </c>
      <c r="C84" s="54">
        <f>Poeng!K86</f>
        <v>1</v>
      </c>
      <c r="D84" s="53"/>
      <c r="E84" s="56">
        <f>Poeng!R86</f>
        <v>1</v>
      </c>
      <c r="G84" s="460">
        <f t="shared" si="9"/>
        <v>1</v>
      </c>
      <c r="H84" s="479" t="str">
        <f t="shared" si="8"/>
        <v>OK</v>
      </c>
      <c r="M84" s="451" t="s">
        <v>100</v>
      </c>
      <c r="N84" s="445" t="b">
        <f t="shared" si="7"/>
        <v>1</v>
      </c>
      <c r="P84" s="445" t="s">
        <v>206</v>
      </c>
      <c r="Q84" s="461" t="s">
        <v>100</v>
      </c>
      <c r="R84" s="489" t="s">
        <v>423</v>
      </c>
      <c r="S84" s="486">
        <v>1</v>
      </c>
      <c r="T84" s="462" t="s">
        <v>419</v>
      </c>
    </row>
    <row r="85" spans="1:20" ht="15.75" thickBot="1" x14ac:dyDescent="0.3">
      <c r="B85" s="60" t="s">
        <v>230</v>
      </c>
      <c r="C85" s="60">
        <f>Poeng!K87</f>
        <v>13</v>
      </c>
      <c r="D85" s="60"/>
      <c r="E85" s="60">
        <f>SUM(E80:E84)</f>
        <v>13</v>
      </c>
      <c r="G85" s="60">
        <f>SUM(G80:G84)</f>
        <v>13</v>
      </c>
      <c r="H85" s="479" t="str">
        <f t="shared" si="8"/>
        <v>OK</v>
      </c>
      <c r="M85" s="451" t="s">
        <v>125</v>
      </c>
      <c r="N85" s="445" t="b">
        <f t="shared" si="7"/>
        <v>1</v>
      </c>
      <c r="P85" s="445" t="s">
        <v>207</v>
      </c>
      <c r="Q85" s="461" t="s">
        <v>125</v>
      </c>
      <c r="R85" s="489" t="s">
        <v>494</v>
      </c>
      <c r="S85" s="486">
        <v>1</v>
      </c>
      <c r="T85" s="462" t="s">
        <v>419</v>
      </c>
    </row>
    <row r="86" spans="1:20" ht="15.75" thickBot="1" x14ac:dyDescent="0.3">
      <c r="B86" s="31"/>
      <c r="C86" s="31"/>
      <c r="D86" s="31"/>
      <c r="G86" s="445"/>
      <c r="H86" s="479" t="str">
        <f t="shared" si="8"/>
        <v>OK</v>
      </c>
      <c r="M86" s="451" t="s">
        <v>454</v>
      </c>
      <c r="N86" s="445" t="b">
        <f t="shared" si="7"/>
        <v>1</v>
      </c>
      <c r="P86" s="445" t="s">
        <v>208</v>
      </c>
      <c r="Q86" s="461" t="s">
        <v>454</v>
      </c>
      <c r="R86" s="489" t="s">
        <v>455</v>
      </c>
      <c r="S86" s="486">
        <v>1</v>
      </c>
      <c r="T86" s="462" t="s">
        <v>419</v>
      </c>
    </row>
    <row r="87" spans="1:20" ht="15.75" thickBot="1" x14ac:dyDescent="0.3">
      <c r="B87" s="57" t="s">
        <v>244</v>
      </c>
      <c r="C87" s="57"/>
      <c r="D87" s="57"/>
      <c r="E87" s="57"/>
      <c r="G87" s="460">
        <f t="shared" ref="G87:G94" si="10">SUMIF($P$7:$P$91,A87,$S$7:$S$91)</f>
        <v>0</v>
      </c>
      <c r="H87" s="479" t="str">
        <f t="shared" si="8"/>
        <v>OK</v>
      </c>
      <c r="M87" s="451" t="s">
        <v>456</v>
      </c>
      <c r="N87" s="445" t="b">
        <f t="shared" si="7"/>
        <v>1</v>
      </c>
      <c r="P87" s="445" t="s">
        <v>208</v>
      </c>
      <c r="Q87" s="461" t="s">
        <v>456</v>
      </c>
      <c r="R87" s="489" t="s">
        <v>455</v>
      </c>
      <c r="S87" s="486" t="s">
        <v>253</v>
      </c>
      <c r="T87" s="462" t="s">
        <v>431</v>
      </c>
    </row>
    <row r="88" spans="1:20" x14ac:dyDescent="0.25">
      <c r="A88" t="s">
        <v>206</v>
      </c>
      <c r="B88" s="56" t="s">
        <v>406</v>
      </c>
      <c r="C88" s="56">
        <f>Poeng!K90</f>
        <v>1</v>
      </c>
      <c r="D88" s="55"/>
      <c r="E88" s="56">
        <f>Poeng!R90</f>
        <v>1</v>
      </c>
      <c r="G88" s="460">
        <f t="shared" si="10"/>
        <v>1</v>
      </c>
      <c r="H88" s="479" t="str">
        <f t="shared" si="8"/>
        <v>OK</v>
      </c>
      <c r="M88" s="489" t="s">
        <v>184</v>
      </c>
      <c r="N88" s="484" t="b">
        <f t="shared" si="7"/>
        <v>1</v>
      </c>
      <c r="P88" s="445" t="s">
        <v>209</v>
      </c>
      <c r="Q88" s="461" t="s">
        <v>184</v>
      </c>
      <c r="R88" s="489" t="s">
        <v>461</v>
      </c>
      <c r="S88" s="486">
        <v>1</v>
      </c>
      <c r="T88" s="462" t="s">
        <v>419</v>
      </c>
    </row>
    <row r="89" spans="1:20" x14ac:dyDescent="0.25">
      <c r="A89" t="s">
        <v>207</v>
      </c>
      <c r="B89" s="54" t="s">
        <v>407</v>
      </c>
      <c r="C89" s="54">
        <f>Poeng!K91</f>
        <v>1</v>
      </c>
      <c r="D89" s="53"/>
      <c r="E89" s="56">
        <f>Poeng!R91</f>
        <v>1</v>
      </c>
      <c r="G89" s="460">
        <f t="shared" si="10"/>
        <v>1</v>
      </c>
      <c r="H89" s="479" t="str">
        <f t="shared" si="8"/>
        <v>OK</v>
      </c>
      <c r="M89" s="451" t="s">
        <v>188</v>
      </c>
      <c r="N89" s="484" t="b">
        <f t="shared" si="7"/>
        <v>1</v>
      </c>
      <c r="P89" s="445" t="s">
        <v>210</v>
      </c>
      <c r="Q89" s="461" t="s">
        <v>188</v>
      </c>
      <c r="R89" s="489" t="s">
        <v>466</v>
      </c>
      <c r="S89" s="486">
        <v>1</v>
      </c>
      <c r="T89" s="462" t="s">
        <v>419</v>
      </c>
    </row>
    <row r="90" spans="1:20" x14ac:dyDescent="0.25">
      <c r="A90" t="s">
        <v>208</v>
      </c>
      <c r="B90" s="54" t="s">
        <v>408</v>
      </c>
      <c r="C90" s="54">
        <f>Poeng!K92</f>
        <v>1</v>
      </c>
      <c r="D90" s="53"/>
      <c r="E90" s="56">
        <f>Poeng!R92</f>
        <v>1</v>
      </c>
      <c r="G90" s="460">
        <f t="shared" si="10"/>
        <v>1</v>
      </c>
      <c r="H90" s="479" t="str">
        <f t="shared" si="8"/>
        <v>OK</v>
      </c>
      <c r="M90" s="451" t="s">
        <v>189</v>
      </c>
      <c r="N90" s="484" t="b">
        <f t="shared" si="7"/>
        <v>1</v>
      </c>
      <c r="P90" s="445" t="s">
        <v>211</v>
      </c>
      <c r="Q90" s="461" t="s">
        <v>189</v>
      </c>
      <c r="R90" s="489" t="s">
        <v>495</v>
      </c>
      <c r="S90" s="486">
        <v>1</v>
      </c>
      <c r="T90" s="462" t="s">
        <v>419</v>
      </c>
    </row>
    <row r="91" spans="1:20" x14ac:dyDescent="0.25">
      <c r="A91" s="445" t="s">
        <v>209</v>
      </c>
      <c r="B91" s="54" t="s">
        <v>409</v>
      </c>
      <c r="C91" s="54">
        <f>Poeng!K93</f>
        <v>1</v>
      </c>
      <c r="D91" s="53"/>
      <c r="E91" s="56">
        <f>Poeng!R93</f>
        <v>1</v>
      </c>
      <c r="G91" s="460">
        <f t="shared" si="10"/>
        <v>1</v>
      </c>
      <c r="H91" s="479" t="str">
        <f t="shared" si="8"/>
        <v>OK</v>
      </c>
      <c r="M91" s="451" t="s">
        <v>192</v>
      </c>
      <c r="N91" s="484" t="b">
        <f t="shared" si="7"/>
        <v>1</v>
      </c>
      <c r="P91" s="445" t="s">
        <v>212</v>
      </c>
      <c r="Q91" s="461" t="s">
        <v>192</v>
      </c>
      <c r="R91" s="489" t="s">
        <v>496</v>
      </c>
      <c r="S91" s="486">
        <v>1</v>
      </c>
      <c r="T91" s="462" t="s">
        <v>419</v>
      </c>
    </row>
    <row r="92" spans="1:20" ht="15.75" thickBot="1" x14ac:dyDescent="0.3">
      <c r="A92" t="s">
        <v>210</v>
      </c>
      <c r="B92" s="54" t="s">
        <v>267</v>
      </c>
      <c r="C92" s="54">
        <f>Poeng!K94</f>
        <v>2</v>
      </c>
      <c r="D92" s="53"/>
      <c r="E92" s="56">
        <f>Poeng!R94</f>
        <v>2</v>
      </c>
      <c r="G92" s="460">
        <f t="shared" si="10"/>
        <v>1</v>
      </c>
      <c r="H92" s="479" t="str">
        <f t="shared" si="8"/>
        <v>FEIL</v>
      </c>
      <c r="M92" t="s">
        <v>193</v>
      </c>
      <c r="N92" s="484" t="b">
        <f t="shared" si="7"/>
        <v>1</v>
      </c>
      <c r="P92" t="s">
        <v>242</v>
      </c>
      <c r="Q92" s="471" t="s">
        <v>193</v>
      </c>
      <c r="R92" s="472" t="s">
        <v>471</v>
      </c>
      <c r="S92" s="473">
        <v>1</v>
      </c>
      <c r="T92" s="474" t="s">
        <v>419</v>
      </c>
    </row>
    <row r="93" spans="1:20" x14ac:dyDescent="0.25">
      <c r="A93" t="s">
        <v>211</v>
      </c>
      <c r="B93" s="54" t="s">
        <v>268</v>
      </c>
      <c r="C93" s="54">
        <f>Poeng!K95</f>
        <v>1</v>
      </c>
      <c r="D93" s="53"/>
      <c r="E93" s="56">
        <f>Poeng!R95</f>
        <v>1</v>
      </c>
      <c r="G93" s="460">
        <f t="shared" si="10"/>
        <v>1</v>
      </c>
      <c r="H93" s="479" t="str">
        <f t="shared" si="8"/>
        <v>OK</v>
      </c>
      <c r="N93" s="445"/>
    </row>
    <row r="94" spans="1:20" x14ac:dyDescent="0.25">
      <c r="A94" t="s">
        <v>212</v>
      </c>
      <c r="B94" s="54" t="s">
        <v>410</v>
      </c>
      <c r="C94" s="54">
        <f>Poeng!K96</f>
        <v>1</v>
      </c>
      <c r="D94" s="53"/>
      <c r="E94" s="56">
        <f>Poeng!R96</f>
        <v>1</v>
      </c>
      <c r="G94" s="460">
        <f t="shared" si="10"/>
        <v>1</v>
      </c>
      <c r="H94" s="479" t="str">
        <f t="shared" si="8"/>
        <v>OK</v>
      </c>
      <c r="N94" s="445"/>
    </row>
    <row r="95" spans="1:20" ht="15.75" thickBot="1" x14ac:dyDescent="0.3">
      <c r="A95" t="s">
        <v>242</v>
      </c>
      <c r="B95" s="54" t="s">
        <v>411</v>
      </c>
      <c r="C95" s="54">
        <f>Poeng!K97</f>
        <v>1</v>
      </c>
      <c r="D95" s="53"/>
      <c r="E95" s="56">
        <f>Poeng!R97</f>
        <v>1</v>
      </c>
      <c r="G95" s="460">
        <f>SUMIF($P$7:$P$92,A95,$S$7:$S$92)</f>
        <v>1</v>
      </c>
      <c r="H95" s="479" t="str">
        <f t="shared" si="8"/>
        <v>OK</v>
      </c>
      <c r="N95" s="445"/>
    </row>
    <row r="96" spans="1:20" s="31" customFormat="1" ht="15.75" thickBot="1" x14ac:dyDescent="0.3">
      <c r="A96" s="31" t="s">
        <v>272</v>
      </c>
      <c r="B96" s="75" t="s">
        <v>412</v>
      </c>
      <c r="C96" s="54">
        <f>Poeng!K98</f>
        <v>10</v>
      </c>
      <c r="D96" s="74"/>
      <c r="E96" s="56">
        <f>C96-D96</f>
        <v>10</v>
      </c>
      <c r="G96" s="476">
        <v>10</v>
      </c>
      <c r="H96" s="479" t="str">
        <f t="shared" si="8"/>
        <v>OK</v>
      </c>
    </row>
    <row r="97" spans="1:19" ht="15.75" thickBot="1" x14ac:dyDescent="0.3">
      <c r="B97" s="60"/>
      <c r="C97" s="60">
        <f>Poeng!K99</f>
        <v>10</v>
      </c>
      <c r="D97" s="60"/>
      <c r="E97" s="60">
        <f>IF(SUM(E88:E96)&gt;10,10,SUM(E88:E96))</f>
        <v>10</v>
      </c>
      <c r="G97" s="60">
        <f>IF(SUM(G88:G96)&gt;10,10,SUM(G88:G96))</f>
        <v>10</v>
      </c>
      <c r="H97" s="479" t="str">
        <f t="shared" si="8"/>
        <v>OK</v>
      </c>
    </row>
    <row r="98" spans="1:19" x14ac:dyDescent="0.25">
      <c r="G98">
        <f>SUM(G6:G95)</f>
        <v>256</v>
      </c>
      <c r="S98" s="445">
        <f>SUM(S6:S97)</f>
        <v>132</v>
      </c>
    </row>
    <row r="102" spans="1:19" x14ac:dyDescent="0.25">
      <c r="A102" t="s">
        <v>206</v>
      </c>
      <c r="B102" t="s">
        <v>406</v>
      </c>
    </row>
    <row r="103" spans="1:19" x14ac:dyDescent="0.25">
      <c r="A103" t="s">
        <v>207</v>
      </c>
      <c r="B103" t="s">
        <v>407</v>
      </c>
    </row>
    <row r="104" spans="1:19" x14ac:dyDescent="0.25">
      <c r="A104" t="s">
        <v>208</v>
      </c>
      <c r="B104" t="s">
        <v>408</v>
      </c>
    </row>
    <row r="105" spans="1:19" x14ac:dyDescent="0.25">
      <c r="A105" t="s">
        <v>209</v>
      </c>
      <c r="B105" t="s">
        <v>409</v>
      </c>
    </row>
    <row r="106" spans="1:19" x14ac:dyDescent="0.25">
      <c r="A106" t="s">
        <v>210</v>
      </c>
      <c r="B106" t="s">
        <v>267</v>
      </c>
    </row>
    <row r="107" spans="1:19" x14ac:dyDescent="0.25">
      <c r="A107" t="s">
        <v>211</v>
      </c>
      <c r="B107" t="s">
        <v>268</v>
      </c>
    </row>
    <row r="108" spans="1:19" x14ac:dyDescent="0.25">
      <c r="A108" t="s">
        <v>212</v>
      </c>
      <c r="B108" t="s">
        <v>410</v>
      </c>
    </row>
    <row r="109" spans="1:19" x14ac:dyDescent="0.25">
      <c r="A109" t="s">
        <v>242</v>
      </c>
      <c r="B109" t="s">
        <v>411</v>
      </c>
    </row>
    <row r="110" spans="1:19" x14ac:dyDescent="0.25">
      <c r="A110" t="s">
        <v>272</v>
      </c>
      <c r="B110" t="s">
        <v>412</v>
      </c>
    </row>
  </sheetData>
  <sheetProtection algorithmName="SHA-512" hashValue="W5T7odtIZWR2oBQB4TuFLYQQLwULm9xild3WSh2pXqRjsFUT43zkFyaTXswK7DZCB9wZbioHQynXZlwkxpAiVQ==" saltValue="BioWN+cNjXkqDBuv1vxN6w==" spinCount="100000" sheet="1" objects="1" scenarios="1"/>
  <protectedRanges>
    <protectedRange sqref="H2" name="Sortering"/>
  </protectedRanges>
  <mergeCells count="3">
    <mergeCell ref="M5:N5"/>
    <mergeCell ref="Q17:Q19"/>
    <mergeCell ref="Q14:Q16"/>
  </mergeCells>
  <conditionalFormatting sqref="H2">
    <cfRule type="expression" dxfId="402" priority="3">
      <formula>$X2=2</formula>
    </cfRule>
  </conditionalFormatting>
  <conditionalFormatting sqref="H2">
    <cfRule type="expression" dxfId="401" priority="163">
      <formula>H2&gt;#REF!</formula>
    </cfRule>
  </conditionalFormatting>
  <conditionalFormatting sqref="H7:H97">
    <cfRule type="expression" dxfId="400" priority="1">
      <formula>H7="FEIL"</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'Assessment Details'!$L$51:$L$52</xm:f>
          </x14:formula1>
          <xm:sqref>H2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N309"/>
  <sheetViews>
    <sheetView zoomScaleNormal="100" workbookViewId="0">
      <selection activeCell="H9" sqref="H9:I9"/>
    </sheetView>
  </sheetViews>
  <sheetFormatPr defaultColWidth="9.140625" defaultRowHeight="15" x14ac:dyDescent="0.25"/>
  <cols>
    <col min="1" max="1" width="3" style="554" customWidth="1"/>
    <col min="2" max="2" width="23.28515625" style="554" customWidth="1"/>
    <col min="3" max="3" width="11" style="554" customWidth="1"/>
    <col min="4" max="4" width="9.7109375" style="554" customWidth="1"/>
    <col min="5" max="5" width="11.28515625" style="554" customWidth="1"/>
    <col min="6" max="6" width="10.28515625" style="554" customWidth="1"/>
    <col min="7" max="7" width="10.5703125" style="554" customWidth="1"/>
    <col min="8" max="8" width="11" style="554" customWidth="1"/>
    <col min="9" max="9" width="11.140625" style="554" customWidth="1"/>
    <col min="10" max="10" width="11.5703125" style="554" customWidth="1"/>
    <col min="11" max="11" width="16.5703125" style="554" customWidth="1"/>
    <col min="12" max="12" width="13.28515625" style="554" customWidth="1"/>
    <col min="13" max="13" width="13" style="554" customWidth="1"/>
    <col min="14" max="14" width="19.7109375" style="554" customWidth="1"/>
    <col min="15" max="15" width="13.140625" style="554" customWidth="1"/>
    <col min="16" max="16" width="14" style="554" customWidth="1"/>
    <col min="17" max="17" width="16.5703125" style="554" customWidth="1"/>
    <col min="18" max="26" width="9.140625" style="554" customWidth="1"/>
    <col min="27" max="32" width="9.140625" style="554" hidden="1" customWidth="1"/>
    <col min="33" max="42" width="9.140625" style="554" customWidth="1"/>
    <col min="43" max="16384" width="9.140625" style="554"/>
  </cols>
  <sheetData>
    <row r="1" spans="1:40" x14ac:dyDescent="0.25">
      <c r="A1" s="553"/>
      <c r="B1" s="553"/>
      <c r="C1" s="553"/>
      <c r="D1" s="553"/>
      <c r="E1" s="553"/>
      <c r="F1" s="553"/>
      <c r="G1" s="553"/>
      <c r="H1" s="553"/>
      <c r="I1" s="553"/>
      <c r="J1" s="553"/>
      <c r="K1" s="553"/>
      <c r="L1" s="553"/>
      <c r="M1" s="553"/>
      <c r="N1" s="553"/>
      <c r="O1" s="553"/>
      <c r="P1" s="553"/>
      <c r="Q1" s="553"/>
      <c r="R1" s="553"/>
      <c r="S1" s="553"/>
    </row>
    <row r="2" spans="1:40" ht="42" customHeight="1" x14ac:dyDescent="0.25">
      <c r="A2" s="553"/>
      <c r="B2" s="555" t="s">
        <v>324</v>
      </c>
      <c r="C2" s="555"/>
      <c r="D2" s="555"/>
      <c r="E2" s="555"/>
      <c r="F2" s="555"/>
      <c r="G2" s="555"/>
      <c r="H2" s="556"/>
      <c r="I2" s="556"/>
      <c r="J2" s="556"/>
      <c r="K2" s="556"/>
      <c r="L2" s="557"/>
      <c r="M2" s="556"/>
      <c r="N2" s="811" t="str">
        <f>IF('Manuell filtrering og justering'!H2='Manuell filtrering og justering'!I2,"Bespoke","")</f>
        <v/>
      </c>
      <c r="O2" s="553"/>
      <c r="P2" s="553"/>
      <c r="Q2" s="553"/>
      <c r="R2" s="553"/>
      <c r="S2" s="553"/>
    </row>
    <row r="3" spans="1:40" ht="15" customHeight="1" x14ac:dyDescent="0.25">
      <c r="A3" s="553"/>
      <c r="B3" s="558"/>
      <c r="C3" s="553"/>
      <c r="D3" s="553"/>
      <c r="E3" s="553"/>
      <c r="F3" s="553"/>
      <c r="G3" s="553"/>
      <c r="H3" s="553"/>
      <c r="I3" s="553"/>
      <c r="J3" s="553"/>
      <c r="K3" s="553"/>
      <c r="L3" s="553"/>
      <c r="M3" s="553"/>
      <c r="N3" s="559"/>
      <c r="O3" s="553"/>
      <c r="P3" s="553"/>
      <c r="Q3" s="553"/>
      <c r="R3" s="553"/>
      <c r="S3" s="553"/>
    </row>
    <row r="4" spans="1:40" ht="18.75" x14ac:dyDescent="0.3">
      <c r="A4" s="553"/>
      <c r="B4" s="560" t="s">
        <v>64</v>
      </c>
      <c r="C4" s="561"/>
      <c r="D4" s="562"/>
      <c r="E4" s="562"/>
      <c r="F4" s="562"/>
      <c r="G4" s="562"/>
      <c r="H4" s="562"/>
      <c r="I4" s="562"/>
      <c r="J4" s="562"/>
      <c r="K4" s="562"/>
      <c r="L4" s="562"/>
      <c r="M4" s="562"/>
      <c r="N4" s="562"/>
      <c r="O4" s="553"/>
      <c r="P4" s="553"/>
      <c r="Q4" s="553"/>
      <c r="R4" s="553"/>
      <c r="S4" s="553"/>
    </row>
    <row r="5" spans="1:40" x14ac:dyDescent="0.25">
      <c r="A5" s="553"/>
      <c r="B5" s="553"/>
      <c r="C5" s="553"/>
      <c r="D5" s="553"/>
      <c r="E5" s="553"/>
      <c r="F5" s="553"/>
      <c r="G5" s="553"/>
      <c r="H5" s="553"/>
      <c r="I5" s="553"/>
      <c r="J5" s="553"/>
      <c r="K5" s="553"/>
      <c r="L5" s="553"/>
      <c r="M5" s="553"/>
      <c r="N5" s="553"/>
      <c r="O5" s="553"/>
      <c r="P5" s="553"/>
      <c r="Q5" s="553"/>
      <c r="R5" s="553"/>
      <c r="S5" s="553"/>
    </row>
    <row r="6" spans="1:40" ht="15.75" x14ac:dyDescent="0.25">
      <c r="A6" s="553"/>
      <c r="B6" s="563"/>
      <c r="C6" s="564" t="s">
        <v>22</v>
      </c>
      <c r="D6" s="565" t="str">
        <f>IF(ADBN="","",ADBN)</f>
        <v/>
      </c>
      <c r="E6" s="566"/>
      <c r="F6" s="566"/>
      <c r="G6" s="566"/>
      <c r="H6" s="566"/>
      <c r="I6" s="567"/>
      <c r="J6" s="568"/>
      <c r="K6" s="569"/>
      <c r="L6" s="570"/>
      <c r="M6" s="569" t="str">
        <f>"Pre-Assessment Estimator Version: "&amp;TVC_current_version&amp;". Date: "</f>
        <v xml:space="preserve">Pre-Assessment Estimator Version: 1.08. Date: </v>
      </c>
      <c r="N6" s="571">
        <f>TVC_current_date</f>
        <v>43782</v>
      </c>
      <c r="O6" s="553"/>
      <c r="P6" s="553"/>
      <c r="Q6" s="553"/>
      <c r="R6" s="553"/>
      <c r="S6" s="553"/>
    </row>
    <row r="7" spans="1:40" x14ac:dyDescent="0.25">
      <c r="A7" s="553"/>
      <c r="B7" s="568"/>
      <c r="C7" s="568"/>
      <c r="D7" s="568"/>
      <c r="E7" s="568"/>
      <c r="F7" s="568"/>
      <c r="G7" s="568"/>
      <c r="H7" s="568"/>
      <c r="I7" s="568"/>
      <c r="J7" s="568"/>
      <c r="K7" s="568"/>
      <c r="L7" s="553"/>
      <c r="M7" s="553"/>
      <c r="N7" s="553"/>
      <c r="O7" s="553"/>
      <c r="P7" s="553"/>
      <c r="Q7" s="553"/>
      <c r="R7" s="553"/>
      <c r="S7" s="553"/>
    </row>
    <row r="8" spans="1:40" ht="15.75" x14ac:dyDescent="0.25">
      <c r="A8" s="553"/>
      <c r="B8" s="572"/>
      <c r="C8" s="573"/>
      <c r="D8" s="935" t="s">
        <v>233</v>
      </c>
      <c r="E8" s="936"/>
      <c r="F8" s="927" t="s">
        <v>305</v>
      </c>
      <c r="G8" s="928"/>
      <c r="H8" s="927" t="s">
        <v>306</v>
      </c>
      <c r="I8" s="928"/>
      <c r="J8" s="568"/>
      <c r="K8" s="568"/>
      <c r="L8" s="553"/>
      <c r="M8" s="553"/>
      <c r="N8" s="553"/>
      <c r="O8" s="553"/>
      <c r="P8" s="553"/>
      <c r="Q8" s="553"/>
      <c r="R8" s="553"/>
      <c r="S8" s="553"/>
    </row>
    <row r="9" spans="1:40" ht="15.75" x14ac:dyDescent="0.25">
      <c r="A9" s="574"/>
      <c r="B9" s="575"/>
      <c r="C9" s="576" t="s">
        <v>335</v>
      </c>
      <c r="D9" s="946" t="s">
        <v>13</v>
      </c>
      <c r="E9" s="946"/>
      <c r="F9" s="946" t="s">
        <v>14</v>
      </c>
      <c r="G9" s="946"/>
      <c r="H9" s="946" t="s">
        <v>14</v>
      </c>
      <c r="I9" s="946"/>
      <c r="J9" s="574"/>
      <c r="K9" s="574"/>
      <c r="L9" s="568"/>
      <c r="M9" s="568"/>
      <c r="N9" s="568"/>
      <c r="O9" s="568"/>
      <c r="Z9" s="577"/>
      <c r="AA9" s="577"/>
      <c r="AB9" s="577"/>
      <c r="AC9" s="577"/>
      <c r="AD9" s="577"/>
      <c r="AE9" s="577"/>
      <c r="AF9" s="577"/>
      <c r="AG9" s="577"/>
      <c r="AH9" s="577"/>
      <c r="AI9" s="577"/>
      <c r="AJ9" s="577"/>
      <c r="AK9" s="577"/>
      <c r="AL9" s="577"/>
      <c r="AM9" s="577"/>
      <c r="AN9" s="577"/>
    </row>
    <row r="10" spans="1:40" ht="15.75" x14ac:dyDescent="0.25">
      <c r="A10" s="553"/>
      <c r="B10" s="578"/>
      <c r="C10" s="579" t="s">
        <v>356</v>
      </c>
      <c r="D10" s="937" t="str">
        <f>BP_BREEAMRating</f>
        <v>Unclassified</v>
      </c>
      <c r="E10" s="938"/>
      <c r="F10" s="929" t="str">
        <f>Poeng!AV112</f>
        <v>Unclassified</v>
      </c>
      <c r="G10" s="930"/>
      <c r="H10" s="929" t="str">
        <f>Poeng!AY112</f>
        <v>Unclassified</v>
      </c>
      <c r="I10" s="930"/>
      <c r="J10" s="568"/>
      <c r="K10" s="568" t="str">
        <f>IF(OR(Poeng!AT112=1,Poeng!AW112=1,Poeng!AZ112=1),Poeng!AL117,"")</f>
        <v/>
      </c>
      <c r="L10" s="568"/>
      <c r="M10" s="568"/>
      <c r="N10" s="568"/>
      <c r="O10" s="568"/>
      <c r="Z10" s="945"/>
      <c r="AA10" s="945"/>
      <c r="AB10" s="945"/>
      <c r="AC10" s="945"/>
      <c r="AD10" s="945"/>
      <c r="AE10" s="945"/>
      <c r="AF10" s="945"/>
      <c r="AG10" s="945"/>
      <c r="AH10" s="945"/>
      <c r="AI10" s="945"/>
      <c r="AJ10" s="945"/>
      <c r="AK10" s="945"/>
      <c r="AL10" s="945"/>
      <c r="AM10" s="945"/>
      <c r="AN10" s="945"/>
    </row>
    <row r="11" spans="1:40" ht="18" customHeight="1" x14ac:dyDescent="0.25">
      <c r="A11" s="553"/>
      <c r="B11" s="580"/>
      <c r="C11" s="581" t="s">
        <v>89</v>
      </c>
      <c r="D11" s="939">
        <f>Score_Initial</f>
        <v>0</v>
      </c>
      <c r="E11" s="940"/>
      <c r="F11" s="931">
        <f>Poeng!AU110</f>
        <v>0</v>
      </c>
      <c r="G11" s="932"/>
      <c r="H11" s="931">
        <f>Poeng!AX110</f>
        <v>0</v>
      </c>
      <c r="I11" s="932"/>
      <c r="J11" s="568"/>
      <c r="K11" s="568"/>
      <c r="L11" s="568"/>
      <c r="M11" s="568"/>
      <c r="N11" s="568"/>
      <c r="O11" s="568"/>
      <c r="Z11" s="945"/>
      <c r="AA11" s="945"/>
      <c r="AB11" s="945"/>
      <c r="AC11" s="945"/>
      <c r="AD11" s="945"/>
      <c r="AE11" s="945"/>
      <c r="AF11" s="945"/>
      <c r="AG11" s="945"/>
      <c r="AH11" s="945"/>
      <c r="AI11" s="945"/>
      <c r="AJ11" s="945"/>
      <c r="AK11" s="945"/>
      <c r="AL11" s="945"/>
      <c r="AM11" s="945"/>
      <c r="AN11" s="945"/>
    </row>
    <row r="12" spans="1:40" ht="15.75" x14ac:dyDescent="0.25">
      <c r="A12" s="553"/>
      <c r="B12" s="582"/>
      <c r="C12" s="583" t="s">
        <v>84</v>
      </c>
      <c r="D12" s="941" t="str">
        <f>BP_MinStandards</f>
        <v>Unclassified</v>
      </c>
      <c r="E12" s="942"/>
      <c r="F12" s="933" t="str">
        <f>Poeng!AV107</f>
        <v>Unclassified</v>
      </c>
      <c r="G12" s="934"/>
      <c r="H12" s="933" t="str">
        <f>Poeng!AY107</f>
        <v>Unclassified</v>
      </c>
      <c r="I12" s="934"/>
      <c r="J12" s="574"/>
      <c r="K12" s="568"/>
      <c r="L12" s="568"/>
      <c r="M12" s="568"/>
      <c r="N12" s="568"/>
      <c r="O12" s="568"/>
      <c r="Z12" s="945"/>
      <c r="AA12" s="945"/>
      <c r="AB12" s="945"/>
      <c r="AC12" s="945"/>
      <c r="AD12" s="945"/>
      <c r="AE12" s="945"/>
      <c r="AF12" s="945"/>
      <c r="AG12" s="945"/>
      <c r="AH12" s="945"/>
      <c r="AI12" s="945"/>
      <c r="AJ12" s="945"/>
      <c r="AK12" s="945"/>
      <c r="AL12" s="945"/>
      <c r="AM12" s="945"/>
      <c r="AN12" s="945"/>
    </row>
    <row r="13" spans="1:40" ht="42" customHeight="1" x14ac:dyDescent="0.3">
      <c r="A13" s="553"/>
      <c r="B13" s="560" t="s">
        <v>65</v>
      </c>
      <c r="C13" s="561"/>
      <c r="D13" s="562"/>
      <c r="E13" s="562"/>
      <c r="F13" s="562"/>
      <c r="G13" s="562"/>
      <c r="H13" s="562"/>
      <c r="I13" s="560" t="s">
        <v>84</v>
      </c>
      <c r="J13" s="562"/>
      <c r="K13" s="562"/>
      <c r="L13" s="562"/>
      <c r="M13" s="562"/>
      <c r="N13" s="562"/>
      <c r="O13" s="553"/>
      <c r="P13" s="553"/>
      <c r="Q13" s="553"/>
      <c r="R13" s="553"/>
      <c r="S13" s="553"/>
    </row>
    <row r="14" spans="1:40" ht="15" customHeight="1" x14ac:dyDescent="0.25">
      <c r="A14" s="553"/>
      <c r="B14" s="584"/>
      <c r="C14" s="584"/>
      <c r="D14" s="584"/>
      <c r="E14" s="584"/>
      <c r="F14" s="584"/>
      <c r="G14" s="584"/>
      <c r="H14" s="584"/>
      <c r="I14" s="584"/>
      <c r="J14" s="584"/>
      <c r="K14" s="568"/>
      <c r="L14" s="553"/>
      <c r="M14" s="553"/>
      <c r="N14" s="553"/>
      <c r="O14" s="553"/>
      <c r="P14" s="553"/>
      <c r="Q14" s="553"/>
      <c r="R14" s="553"/>
      <c r="S14" s="553"/>
    </row>
    <row r="15" spans="1:40" ht="15" customHeight="1" x14ac:dyDescent="0.25">
      <c r="A15" s="553"/>
      <c r="B15" s="585"/>
      <c r="C15" s="585"/>
      <c r="D15" s="585"/>
      <c r="E15" s="585"/>
      <c r="F15" s="585"/>
      <c r="G15" s="585"/>
      <c r="H15" s="585"/>
      <c r="I15" s="585"/>
      <c r="J15" s="585"/>
      <c r="K15" s="568"/>
      <c r="L15" s="553"/>
      <c r="M15" s="553"/>
      <c r="N15" s="553"/>
      <c r="O15" s="553"/>
      <c r="P15" s="553"/>
      <c r="Q15" s="553"/>
      <c r="R15" s="553"/>
      <c r="S15" s="553"/>
    </row>
    <row r="16" spans="1:40" ht="15" customHeight="1" x14ac:dyDescent="0.25">
      <c r="A16" s="553"/>
      <c r="B16" s="585"/>
      <c r="C16" s="585"/>
      <c r="D16" s="585"/>
      <c r="E16" s="585"/>
      <c r="F16" s="585"/>
      <c r="G16" s="585"/>
      <c r="H16" s="585"/>
      <c r="I16" s="585"/>
      <c r="J16" s="585"/>
      <c r="K16" s="568"/>
      <c r="L16" s="553"/>
      <c r="M16" s="553"/>
      <c r="N16" s="553"/>
      <c r="O16" s="553"/>
      <c r="P16" s="553"/>
      <c r="Q16" s="553"/>
      <c r="R16" s="553"/>
      <c r="S16" s="553"/>
    </row>
    <row r="17" spans="1:32" ht="15" customHeight="1" x14ac:dyDescent="0.25">
      <c r="A17" s="553"/>
      <c r="B17" s="585"/>
      <c r="C17" s="585"/>
      <c r="D17" s="585"/>
      <c r="E17" s="585"/>
      <c r="F17" s="585"/>
      <c r="G17" s="585"/>
      <c r="H17" s="585"/>
      <c r="I17" s="585"/>
      <c r="J17" s="585"/>
      <c r="K17" s="568"/>
      <c r="L17" s="553"/>
      <c r="M17" s="553"/>
      <c r="N17" s="553"/>
      <c r="O17" s="553"/>
      <c r="Q17" s="553"/>
      <c r="R17" s="553"/>
      <c r="S17" s="553"/>
    </row>
    <row r="18" spans="1:32" ht="15" customHeight="1" x14ac:dyDescent="0.25">
      <c r="A18" s="553"/>
      <c r="B18" s="585"/>
      <c r="C18" s="585"/>
      <c r="D18" s="585"/>
      <c r="E18" s="585"/>
      <c r="F18" s="585"/>
      <c r="G18" s="585"/>
      <c r="H18" s="585"/>
      <c r="I18" s="585"/>
      <c r="J18" s="585"/>
      <c r="K18" s="568"/>
      <c r="L18" s="553"/>
      <c r="M18" s="553"/>
      <c r="N18" s="553"/>
      <c r="O18" s="553"/>
      <c r="Q18" s="553"/>
      <c r="R18" s="553"/>
      <c r="S18" s="553"/>
    </row>
    <row r="19" spans="1:32" ht="15" customHeight="1" x14ac:dyDescent="0.25">
      <c r="A19" s="553"/>
      <c r="B19" s="585"/>
      <c r="C19" s="585"/>
      <c r="D19" s="585"/>
      <c r="E19" s="585"/>
      <c r="F19" s="585"/>
      <c r="G19" s="585"/>
      <c r="H19" s="585"/>
      <c r="I19" s="585"/>
      <c r="J19" s="585"/>
      <c r="K19" s="568"/>
      <c r="L19" s="553"/>
      <c r="M19" s="553"/>
      <c r="N19" s="553"/>
      <c r="O19" s="553"/>
      <c r="Q19" s="553"/>
      <c r="R19" s="553"/>
      <c r="S19" s="553"/>
    </row>
    <row r="20" spans="1:32" ht="15" customHeight="1" thickBot="1" x14ac:dyDescent="0.3">
      <c r="A20" s="553"/>
      <c r="B20" s="585"/>
      <c r="C20" s="585"/>
      <c r="D20" s="585"/>
      <c r="E20" s="585"/>
      <c r="F20" s="585"/>
      <c r="G20" s="585"/>
      <c r="H20" s="585"/>
      <c r="I20" s="585"/>
      <c r="J20" s="585"/>
      <c r="K20" s="568"/>
      <c r="L20" s="553"/>
      <c r="M20" s="553"/>
      <c r="N20" s="553"/>
      <c r="O20" s="553"/>
      <c r="Q20" s="553"/>
      <c r="R20" s="553"/>
      <c r="S20" s="553"/>
    </row>
    <row r="21" spans="1:32" ht="15" customHeight="1" x14ac:dyDescent="0.25">
      <c r="A21" s="553"/>
      <c r="B21" s="585"/>
      <c r="C21" s="585"/>
      <c r="D21" s="585"/>
      <c r="E21" s="585"/>
      <c r="F21" s="585"/>
      <c r="G21" s="585"/>
      <c r="H21" s="585"/>
      <c r="I21" s="585"/>
      <c r="J21" s="585"/>
      <c r="K21" s="568"/>
      <c r="L21" s="553"/>
      <c r="M21" s="553"/>
      <c r="N21" s="553"/>
      <c r="O21" s="553"/>
      <c r="Q21" s="553"/>
      <c r="R21" s="553"/>
      <c r="S21" s="553"/>
      <c r="AB21" s="586"/>
      <c r="AC21" s="587" t="s">
        <v>229</v>
      </c>
      <c r="AD21" s="587" t="str">
        <f>D33</f>
        <v>Initial target setting</v>
      </c>
      <c r="AE21" s="587" t="str">
        <f>F33</f>
        <v>Design phase</v>
      </c>
      <c r="AF21" s="588" t="str">
        <f>H33</f>
        <v>Construction phase</v>
      </c>
    </row>
    <row r="22" spans="1:32" ht="15" customHeight="1" x14ac:dyDescent="0.25">
      <c r="A22" s="553"/>
      <c r="B22" s="585"/>
      <c r="C22" s="585"/>
      <c r="D22" s="585"/>
      <c r="E22" s="585"/>
      <c r="F22" s="585"/>
      <c r="G22" s="585"/>
      <c r="H22" s="585"/>
      <c r="I22" s="585"/>
      <c r="J22" s="585"/>
      <c r="K22" s="568"/>
      <c r="L22" s="553"/>
      <c r="M22" s="553"/>
      <c r="N22" s="553"/>
      <c r="O22" s="553"/>
      <c r="Q22" s="553"/>
      <c r="R22" s="553"/>
      <c r="S22" s="553"/>
      <c r="AB22" s="589" t="s">
        <v>220</v>
      </c>
      <c r="AC22" s="590">
        <f>BP_32</f>
        <v>0.12</v>
      </c>
      <c r="AD22" s="590">
        <f t="shared" ref="AD22:AD31" si="0">IF(D$9=$AA$35,K35,"")</f>
        <v>0</v>
      </c>
      <c r="AE22" s="590" t="str">
        <f t="shared" ref="AE22:AE31" si="1">IF(F$9=$AA$35,L35,"")</f>
        <v/>
      </c>
      <c r="AF22" s="591" t="str">
        <f t="shared" ref="AF22:AF31" si="2">IF(H$9=$AA$35,M35,"")</f>
        <v/>
      </c>
    </row>
    <row r="23" spans="1:32" ht="15" customHeight="1" x14ac:dyDescent="0.25">
      <c r="A23" s="553"/>
      <c r="B23" s="585"/>
      <c r="C23" s="585"/>
      <c r="D23" s="585"/>
      <c r="E23" s="585"/>
      <c r="F23" s="585"/>
      <c r="G23" s="585"/>
      <c r="H23" s="585"/>
      <c r="I23" s="585"/>
      <c r="J23" s="585"/>
      <c r="K23" s="568"/>
      <c r="L23" s="553"/>
      <c r="M23" s="553"/>
      <c r="N23" s="553"/>
      <c r="O23" s="553"/>
      <c r="P23" s="553"/>
      <c r="Q23" s="553"/>
      <c r="R23" s="553"/>
      <c r="S23" s="553"/>
      <c r="AB23" s="589" t="s">
        <v>133</v>
      </c>
      <c r="AC23" s="590">
        <f>J36</f>
        <v>0.15</v>
      </c>
      <c r="AD23" s="590">
        <f t="shared" si="0"/>
        <v>0</v>
      </c>
      <c r="AE23" s="590" t="str">
        <f t="shared" si="1"/>
        <v/>
      </c>
      <c r="AF23" s="591" t="str">
        <f t="shared" si="2"/>
        <v/>
      </c>
    </row>
    <row r="24" spans="1:32" ht="15" customHeight="1" x14ac:dyDescent="0.25">
      <c r="A24" s="553"/>
      <c r="B24" s="585"/>
      <c r="C24" s="585"/>
      <c r="D24" s="585"/>
      <c r="E24" s="585"/>
      <c r="F24" s="585"/>
      <c r="G24" s="585"/>
      <c r="H24" s="585"/>
      <c r="I24" s="585"/>
      <c r="J24" s="585"/>
      <c r="K24" s="568"/>
      <c r="L24" s="553"/>
      <c r="M24" s="553"/>
      <c r="N24" s="553"/>
      <c r="O24" s="553"/>
      <c r="P24" s="553"/>
      <c r="Q24" s="553"/>
      <c r="R24" s="553"/>
      <c r="S24" s="553"/>
      <c r="AB24" s="589" t="s">
        <v>221</v>
      </c>
      <c r="AC24" s="590">
        <f>BP_34</f>
        <v>0.19</v>
      </c>
      <c r="AD24" s="590">
        <f t="shared" si="0"/>
        <v>0</v>
      </c>
      <c r="AE24" s="590" t="str">
        <f t="shared" si="1"/>
        <v/>
      </c>
      <c r="AF24" s="591" t="str">
        <f t="shared" si="2"/>
        <v/>
      </c>
    </row>
    <row r="25" spans="1:32" ht="15" customHeight="1" x14ac:dyDescent="0.25">
      <c r="A25" s="553"/>
      <c r="B25" s="585"/>
      <c r="C25" s="585"/>
      <c r="D25" s="585"/>
      <c r="E25" s="585"/>
      <c r="F25" s="585"/>
      <c r="G25" s="585"/>
      <c r="H25" s="585"/>
      <c r="I25" s="585"/>
      <c r="J25" s="585"/>
      <c r="K25" s="568"/>
      <c r="L25" s="553"/>
      <c r="M25" s="553"/>
      <c r="N25" s="553"/>
      <c r="O25" s="553"/>
      <c r="P25" s="553"/>
      <c r="Q25" s="553"/>
      <c r="R25" s="553"/>
      <c r="S25" s="553"/>
      <c r="AB25" s="589" t="s">
        <v>222</v>
      </c>
      <c r="AC25" s="590">
        <f>BP_35</f>
        <v>0.1</v>
      </c>
      <c r="AD25" s="590">
        <f t="shared" si="0"/>
        <v>0</v>
      </c>
      <c r="AE25" s="590" t="str">
        <f t="shared" si="1"/>
        <v/>
      </c>
      <c r="AF25" s="591" t="str">
        <f t="shared" si="2"/>
        <v/>
      </c>
    </row>
    <row r="26" spans="1:32" ht="15" customHeight="1" x14ac:dyDescent="0.25">
      <c r="A26" s="553"/>
      <c r="B26" s="585"/>
      <c r="C26" s="585"/>
      <c r="D26" s="585"/>
      <c r="E26" s="585"/>
      <c r="F26" s="585"/>
      <c r="G26" s="585"/>
      <c r="H26" s="585"/>
      <c r="I26" s="585"/>
      <c r="J26" s="585"/>
      <c r="K26" s="568"/>
      <c r="L26" s="553"/>
      <c r="M26" s="553"/>
      <c r="N26" s="553"/>
      <c r="O26" s="553"/>
      <c r="P26" s="553"/>
      <c r="Q26" s="553"/>
      <c r="R26" s="553"/>
      <c r="S26" s="553"/>
      <c r="AB26" s="589" t="s">
        <v>223</v>
      </c>
      <c r="AC26" s="590">
        <f>BP_36</f>
        <v>0.05</v>
      </c>
      <c r="AD26" s="590">
        <f t="shared" si="0"/>
        <v>0</v>
      </c>
      <c r="AE26" s="590" t="str">
        <f t="shared" si="1"/>
        <v/>
      </c>
      <c r="AF26" s="591" t="str">
        <f t="shared" si="2"/>
        <v/>
      </c>
    </row>
    <row r="27" spans="1:32" ht="15" customHeight="1" x14ac:dyDescent="0.25">
      <c r="A27" s="553"/>
      <c r="B27" s="585"/>
      <c r="C27" s="585"/>
      <c r="D27" s="585"/>
      <c r="E27" s="585"/>
      <c r="F27" s="585"/>
      <c r="G27" s="585"/>
      <c r="H27" s="585"/>
      <c r="I27" s="585"/>
      <c r="J27" s="585"/>
      <c r="K27" s="568"/>
      <c r="L27" s="553"/>
      <c r="M27" s="553"/>
      <c r="N27" s="553"/>
      <c r="O27" s="553"/>
      <c r="P27" s="553"/>
      <c r="Q27" s="553"/>
      <c r="R27" s="553"/>
      <c r="S27" s="553"/>
      <c r="AB27" s="589" t="s">
        <v>224</v>
      </c>
      <c r="AC27" s="590">
        <f>BP_38</f>
        <v>0.13500000000000001</v>
      </c>
      <c r="AD27" s="590">
        <f t="shared" si="0"/>
        <v>0</v>
      </c>
      <c r="AE27" s="590" t="str">
        <f t="shared" si="1"/>
        <v/>
      </c>
      <c r="AF27" s="591" t="str">
        <f t="shared" si="2"/>
        <v/>
      </c>
    </row>
    <row r="28" spans="1:32" ht="15" customHeight="1" x14ac:dyDescent="0.25">
      <c r="A28" s="553"/>
      <c r="B28" s="585"/>
      <c r="C28" s="585"/>
      <c r="D28" s="585"/>
      <c r="E28" s="585"/>
      <c r="F28" s="585"/>
      <c r="G28" s="585"/>
      <c r="H28" s="585"/>
      <c r="I28" s="585"/>
      <c r="J28" s="585"/>
      <c r="K28" s="568"/>
      <c r="L28" s="553"/>
      <c r="M28" s="553"/>
      <c r="N28" s="553"/>
      <c r="O28" s="553"/>
      <c r="P28" s="553"/>
      <c r="Q28" s="553"/>
      <c r="R28" s="553"/>
      <c r="S28" s="553"/>
      <c r="AB28" s="589" t="s">
        <v>225</v>
      </c>
      <c r="AC28" s="590">
        <f>BP_39</f>
        <v>7.4999999999999997E-2</v>
      </c>
      <c r="AD28" s="590">
        <f t="shared" si="0"/>
        <v>0</v>
      </c>
      <c r="AE28" s="590" t="str">
        <f t="shared" si="1"/>
        <v/>
      </c>
      <c r="AF28" s="591" t="str">
        <f t="shared" si="2"/>
        <v/>
      </c>
    </row>
    <row r="29" spans="1:32" ht="15" customHeight="1" x14ac:dyDescent="0.25">
      <c r="A29" s="553"/>
      <c r="B29" s="585"/>
      <c r="C29" s="585"/>
      <c r="D29" s="585"/>
      <c r="E29" s="585"/>
      <c r="F29" s="585"/>
      <c r="G29" s="585"/>
      <c r="H29" s="585"/>
      <c r="I29" s="585"/>
      <c r="J29" s="585"/>
      <c r="K29" s="568"/>
      <c r="L29" s="553"/>
      <c r="M29" s="553"/>
      <c r="N29" s="553"/>
      <c r="O29" s="553"/>
      <c r="P29" s="553"/>
      <c r="Q29" s="553"/>
      <c r="R29" s="553"/>
      <c r="S29" s="553"/>
      <c r="AB29" s="589" t="s">
        <v>226</v>
      </c>
      <c r="AC29" s="590">
        <f>BP_40</f>
        <v>0.1</v>
      </c>
      <c r="AD29" s="590">
        <f t="shared" si="0"/>
        <v>0</v>
      </c>
      <c r="AE29" s="590" t="str">
        <f t="shared" si="1"/>
        <v/>
      </c>
      <c r="AF29" s="591" t="str">
        <f t="shared" si="2"/>
        <v/>
      </c>
    </row>
    <row r="30" spans="1:32" ht="15" customHeight="1" x14ac:dyDescent="0.25">
      <c r="A30" s="553"/>
      <c r="B30" s="585"/>
      <c r="C30" s="585"/>
      <c r="D30" s="585"/>
      <c r="E30" s="585"/>
      <c r="F30" s="585"/>
      <c r="G30" s="585"/>
      <c r="H30" s="585"/>
      <c r="I30" s="585"/>
      <c r="J30" s="585"/>
      <c r="K30" s="568"/>
      <c r="L30" s="553"/>
      <c r="M30" s="553"/>
      <c r="N30" s="553"/>
      <c r="O30" s="553"/>
      <c r="P30" s="553"/>
      <c r="Q30" s="553"/>
      <c r="R30" s="553"/>
      <c r="S30" s="553"/>
      <c r="AB30" s="589" t="s">
        <v>227</v>
      </c>
      <c r="AC30" s="590">
        <f>J43</f>
        <v>0.08</v>
      </c>
      <c r="AD30" s="590">
        <f t="shared" si="0"/>
        <v>0</v>
      </c>
      <c r="AE30" s="590" t="str">
        <f t="shared" si="1"/>
        <v/>
      </c>
      <c r="AF30" s="591" t="str">
        <f t="shared" si="2"/>
        <v/>
      </c>
    </row>
    <row r="31" spans="1:32" ht="15" customHeight="1" thickBot="1" x14ac:dyDescent="0.3">
      <c r="A31" s="553"/>
      <c r="B31" s="585"/>
      <c r="C31" s="585"/>
      <c r="D31" s="585"/>
      <c r="E31" s="585"/>
      <c r="F31" s="585"/>
      <c r="G31" s="585"/>
      <c r="H31" s="585"/>
      <c r="I31" s="585"/>
      <c r="J31" s="585"/>
      <c r="K31" s="568"/>
      <c r="L31" s="553"/>
      <c r="M31" s="553"/>
      <c r="N31" s="553"/>
      <c r="O31" s="553"/>
      <c r="P31" s="553"/>
      <c r="Q31" s="553"/>
      <c r="R31" s="553"/>
      <c r="S31" s="553"/>
      <c r="AB31" s="592" t="s">
        <v>228</v>
      </c>
      <c r="AC31" s="593">
        <f>J44</f>
        <v>0.1</v>
      </c>
      <c r="AD31" s="593">
        <f t="shared" si="0"/>
        <v>0</v>
      </c>
      <c r="AE31" s="593" t="str">
        <f t="shared" si="1"/>
        <v/>
      </c>
      <c r="AF31" s="594" t="str">
        <f t="shared" si="2"/>
        <v/>
      </c>
    </row>
    <row r="32" spans="1:32" ht="15" customHeight="1" x14ac:dyDescent="0.25">
      <c r="A32" s="553"/>
      <c r="B32" s="585"/>
      <c r="C32" s="585"/>
      <c r="D32" s="585"/>
      <c r="E32" s="585"/>
      <c r="F32" s="585"/>
      <c r="G32" s="585"/>
      <c r="H32" s="585"/>
      <c r="I32" s="585"/>
      <c r="J32" s="585"/>
      <c r="K32" s="568"/>
      <c r="L32" s="553"/>
      <c r="M32" s="553"/>
      <c r="N32" s="553"/>
      <c r="O32" s="553"/>
      <c r="P32" s="553"/>
      <c r="Q32" s="553"/>
      <c r="R32" s="553"/>
      <c r="S32" s="553"/>
    </row>
    <row r="33" spans="1:31" ht="15.75" x14ac:dyDescent="0.25">
      <c r="A33" s="553"/>
      <c r="B33" s="595"/>
      <c r="C33" s="568"/>
      <c r="D33" s="943" t="s">
        <v>233</v>
      </c>
      <c r="E33" s="944"/>
      <c r="F33" s="943" t="s">
        <v>305</v>
      </c>
      <c r="G33" s="944"/>
      <c r="H33" s="943" t="s">
        <v>306</v>
      </c>
      <c r="I33" s="944"/>
      <c r="J33" s="596" t="s">
        <v>219</v>
      </c>
      <c r="K33" s="943" t="s">
        <v>307</v>
      </c>
      <c r="L33" s="947"/>
      <c r="M33" s="944"/>
      <c r="N33" s="568"/>
      <c r="O33" s="568"/>
    </row>
    <row r="34" spans="1:31" ht="32.25" thickBot="1" x14ac:dyDescent="0.3">
      <c r="A34" s="553"/>
      <c r="B34" s="597" t="s">
        <v>78</v>
      </c>
      <c r="C34" s="598" t="s">
        <v>68</v>
      </c>
      <c r="D34" s="599" t="s">
        <v>218</v>
      </c>
      <c r="E34" s="600" t="s">
        <v>67</v>
      </c>
      <c r="F34" s="598" t="s">
        <v>218</v>
      </c>
      <c r="G34" s="598" t="s">
        <v>67</v>
      </c>
      <c r="H34" s="599" t="s">
        <v>218</v>
      </c>
      <c r="I34" s="600" t="s">
        <v>67</v>
      </c>
      <c r="J34" s="601"/>
      <c r="K34" s="599" t="s">
        <v>233</v>
      </c>
      <c r="L34" s="602" t="s">
        <v>305</v>
      </c>
      <c r="M34" s="600" t="s">
        <v>306</v>
      </c>
      <c r="N34" s="568"/>
      <c r="O34" s="568"/>
    </row>
    <row r="35" spans="1:31" ht="15.75" customHeight="1" x14ac:dyDescent="0.25">
      <c r="A35" s="553"/>
      <c r="B35" s="603" t="s">
        <v>66</v>
      </c>
      <c r="C35" s="604">
        <f>Man_Credits</f>
        <v>20</v>
      </c>
      <c r="D35" s="605">
        <f>Man_tot_user</f>
        <v>0</v>
      </c>
      <c r="E35" s="606">
        <f>BP_11/BP_01</f>
        <v>0</v>
      </c>
      <c r="F35" s="605">
        <f>Man_d_user</f>
        <v>0</v>
      </c>
      <c r="G35" s="607">
        <f>F35/C35</f>
        <v>0</v>
      </c>
      <c r="H35" s="605">
        <f>Man_c_user</f>
        <v>0</v>
      </c>
      <c r="I35" s="606">
        <f>H35/C35</f>
        <v>0</v>
      </c>
      <c r="J35" s="608">
        <v>0.12</v>
      </c>
      <c r="K35" s="609">
        <f>BP_22*J35</f>
        <v>0</v>
      </c>
      <c r="L35" s="609">
        <f>G35*J35</f>
        <v>0</v>
      </c>
      <c r="M35" s="610">
        <f>I35*J35</f>
        <v>0</v>
      </c>
      <c r="N35" s="568"/>
      <c r="O35" s="568"/>
      <c r="AA35" s="611" t="s">
        <v>13</v>
      </c>
      <c r="AB35" s="587" t="str">
        <f>Poeng!BE18</f>
        <v>Navn</v>
      </c>
      <c r="AC35" s="587" t="str">
        <f>AD21</f>
        <v>Initial target setting</v>
      </c>
      <c r="AD35" s="587" t="str">
        <f>AE21</f>
        <v>Design phase</v>
      </c>
      <c r="AE35" s="612" t="str">
        <f>AF21</f>
        <v>Construction phase</v>
      </c>
    </row>
    <row r="36" spans="1:31" ht="16.5" thickBot="1" x14ac:dyDescent="0.3">
      <c r="A36" s="553"/>
      <c r="B36" s="613" t="s">
        <v>69</v>
      </c>
      <c r="C36" s="614">
        <f>Hea_Credits</f>
        <v>20</v>
      </c>
      <c r="D36" s="615">
        <f>HW_tot_user</f>
        <v>0</v>
      </c>
      <c r="E36" s="616">
        <f>BP_12/BP_02</f>
        <v>0</v>
      </c>
      <c r="F36" s="615">
        <f>HW_d_user</f>
        <v>0</v>
      </c>
      <c r="G36" s="607">
        <f t="shared" ref="G36:G44" si="3">F36/C36</f>
        <v>0</v>
      </c>
      <c r="H36" s="615">
        <f>HW_c_user</f>
        <v>0</v>
      </c>
      <c r="I36" s="606">
        <f t="shared" ref="I36:I44" si="4">H36/C36</f>
        <v>0</v>
      </c>
      <c r="J36" s="617">
        <v>0.15</v>
      </c>
      <c r="K36" s="618">
        <f>BP_23*J36</f>
        <v>0</v>
      </c>
      <c r="L36" s="609">
        <f t="shared" ref="L36:L44" si="5">G36*J36</f>
        <v>0</v>
      </c>
      <c r="M36" s="606">
        <f t="shared" ref="M36:M44" si="6">I36*J36</f>
        <v>0</v>
      </c>
      <c r="N36" s="568"/>
      <c r="O36" s="568"/>
      <c r="AA36" s="619" t="s">
        <v>14</v>
      </c>
      <c r="AB36" s="620" t="str">
        <f>Poeng!BE19</f>
        <v>Man 03</v>
      </c>
      <c r="AC36" s="621">
        <f>IF(D$9=$AA$35,Poeng!BF19,"")</f>
        <v>3</v>
      </c>
      <c r="AD36" s="621" t="str">
        <f>IF(F$9=$AA$35,Poeng!BG19,"")</f>
        <v/>
      </c>
      <c r="AE36" s="622" t="str">
        <f>IF(H$9=$AA$35,Poeng!BH19,"")</f>
        <v/>
      </c>
    </row>
    <row r="37" spans="1:31" s="624" customFormat="1" ht="15.75" x14ac:dyDescent="0.25">
      <c r="A37" s="553"/>
      <c r="B37" s="613" t="s">
        <v>70</v>
      </c>
      <c r="C37" s="614">
        <f>Ene_Credits</f>
        <v>22</v>
      </c>
      <c r="D37" s="615">
        <f>Ene_tot_user</f>
        <v>0</v>
      </c>
      <c r="E37" s="616">
        <f>BP_13/BP_03</f>
        <v>0</v>
      </c>
      <c r="F37" s="615">
        <f>Ene_d_user</f>
        <v>0</v>
      </c>
      <c r="G37" s="607">
        <f t="shared" si="3"/>
        <v>0</v>
      </c>
      <c r="H37" s="615">
        <f>Ene_c_user</f>
        <v>0</v>
      </c>
      <c r="I37" s="606">
        <f t="shared" si="4"/>
        <v>0</v>
      </c>
      <c r="J37" s="617">
        <v>0.19</v>
      </c>
      <c r="K37" s="618">
        <f>BP_24*J37</f>
        <v>0</v>
      </c>
      <c r="L37" s="609">
        <f t="shared" si="5"/>
        <v>0</v>
      </c>
      <c r="M37" s="606">
        <f t="shared" si="6"/>
        <v>0</v>
      </c>
      <c r="N37" s="623"/>
      <c r="O37" s="623"/>
      <c r="AA37" s="554"/>
      <c r="AB37" s="620" t="str">
        <f>Poeng!BE20</f>
        <v>Man 04</v>
      </c>
      <c r="AC37" s="621">
        <f>IF(D$9=$AA$35,Poeng!BF20,"")</f>
        <v>0</v>
      </c>
      <c r="AD37" s="621" t="str">
        <f>IF(F$9=$AA$35,Poeng!BG20,"")</f>
        <v/>
      </c>
      <c r="AE37" s="622" t="str">
        <f>IF(H$9=$AA$35,Poeng!BH20,"")</f>
        <v/>
      </c>
    </row>
    <row r="38" spans="1:31" s="624" customFormat="1" ht="15.75" x14ac:dyDescent="0.25">
      <c r="A38" s="553"/>
      <c r="B38" s="613" t="s">
        <v>71</v>
      </c>
      <c r="C38" s="614">
        <f>Tra_Credits</f>
        <v>9</v>
      </c>
      <c r="D38" s="615">
        <f>Tra_tot_user</f>
        <v>0</v>
      </c>
      <c r="E38" s="616">
        <f>BP_14/BP_04</f>
        <v>0</v>
      </c>
      <c r="F38" s="615">
        <f>Tra_d_user</f>
        <v>0</v>
      </c>
      <c r="G38" s="607">
        <f t="shared" si="3"/>
        <v>0</v>
      </c>
      <c r="H38" s="615">
        <f>Tra_c_user</f>
        <v>0</v>
      </c>
      <c r="I38" s="606">
        <f t="shared" si="4"/>
        <v>0</v>
      </c>
      <c r="J38" s="617">
        <v>0.1</v>
      </c>
      <c r="K38" s="618">
        <f>BP_25*J38</f>
        <v>0</v>
      </c>
      <c r="L38" s="609">
        <f t="shared" si="5"/>
        <v>0</v>
      </c>
      <c r="M38" s="606">
        <f t="shared" si="6"/>
        <v>0</v>
      </c>
      <c r="N38" s="623"/>
      <c r="O38" s="623"/>
      <c r="AA38" s="554"/>
      <c r="AB38" s="620" t="str">
        <f>Poeng!BE21</f>
        <v>Man 05</v>
      </c>
      <c r="AC38" s="621">
        <f>IF(D$9=$AA$35,Poeng!BF21,"")</f>
        <v>3</v>
      </c>
      <c r="AD38" s="621" t="str">
        <f>IF(F$9=$AA$35,Poeng!BG21,"")</f>
        <v/>
      </c>
      <c r="AE38" s="622" t="str">
        <f>IF(H$9=$AA$35,Poeng!BH21,"")</f>
        <v/>
      </c>
    </row>
    <row r="39" spans="1:31" s="624" customFormat="1" ht="15.75" x14ac:dyDescent="0.25">
      <c r="A39" s="553"/>
      <c r="B39" s="613" t="s">
        <v>63</v>
      </c>
      <c r="C39" s="614">
        <f>Wat_Credits</f>
        <v>8</v>
      </c>
      <c r="D39" s="615">
        <f>Wat_tot_user</f>
        <v>0</v>
      </c>
      <c r="E39" s="616">
        <f>BP_15/BP_05</f>
        <v>0</v>
      </c>
      <c r="F39" s="615">
        <f>Wat_d_user</f>
        <v>0</v>
      </c>
      <c r="G39" s="607">
        <f t="shared" si="3"/>
        <v>0</v>
      </c>
      <c r="H39" s="615">
        <f>Wat_c_user</f>
        <v>0</v>
      </c>
      <c r="I39" s="606">
        <f t="shared" si="4"/>
        <v>0</v>
      </c>
      <c r="J39" s="617">
        <v>0.05</v>
      </c>
      <c r="K39" s="618">
        <f>BP_26*J39</f>
        <v>0</v>
      </c>
      <c r="L39" s="609">
        <f t="shared" si="5"/>
        <v>0</v>
      </c>
      <c r="M39" s="606">
        <f t="shared" si="6"/>
        <v>0</v>
      </c>
      <c r="N39" s="623"/>
      <c r="O39" s="623"/>
      <c r="AA39" s="554"/>
      <c r="AB39" s="620" t="str">
        <f>Poeng!BE22</f>
        <v>Hea 01</v>
      </c>
      <c r="AC39" s="621">
        <f>IF(D$9=$AA$35,Poeng!BF22,"")</f>
        <v>0</v>
      </c>
      <c r="AD39" s="621" t="str">
        <f>IF(F$9=$AA$35,Poeng!BG22,"")</f>
        <v/>
      </c>
      <c r="AE39" s="622" t="str">
        <f>IF(H$9=$AA$35,Poeng!BH22,"")</f>
        <v/>
      </c>
    </row>
    <row r="40" spans="1:31" s="624" customFormat="1" ht="15.75" x14ac:dyDescent="0.25">
      <c r="A40" s="553"/>
      <c r="B40" s="613" t="s">
        <v>72</v>
      </c>
      <c r="C40" s="614">
        <f>Mat_Credits</f>
        <v>11</v>
      </c>
      <c r="D40" s="615">
        <f>Mat_tot_user</f>
        <v>0</v>
      </c>
      <c r="E40" s="616">
        <f>BP_16/BP_06</f>
        <v>0</v>
      </c>
      <c r="F40" s="615">
        <f>Mat_d_user</f>
        <v>0</v>
      </c>
      <c r="G40" s="607">
        <f t="shared" si="3"/>
        <v>0</v>
      </c>
      <c r="H40" s="615">
        <f>Mat_c_user</f>
        <v>0</v>
      </c>
      <c r="I40" s="606">
        <f t="shared" si="4"/>
        <v>0</v>
      </c>
      <c r="J40" s="625">
        <v>0.13500000000000001</v>
      </c>
      <c r="K40" s="618">
        <f>BP_27*J40</f>
        <v>0</v>
      </c>
      <c r="L40" s="609">
        <f t="shared" si="5"/>
        <v>0</v>
      </c>
      <c r="M40" s="606">
        <f t="shared" si="6"/>
        <v>0</v>
      </c>
      <c r="N40" s="623"/>
      <c r="O40" s="623"/>
      <c r="AA40" s="554"/>
      <c r="AB40" s="620" t="str">
        <f>Poeng!BE23</f>
        <v>Hea 02</v>
      </c>
      <c r="AC40" s="621">
        <f>IF(D$9=$AA$35,Poeng!BF23,"")</f>
        <v>2</v>
      </c>
      <c r="AD40" s="621" t="str">
        <f>IF(F$9=$AA$35,Poeng!BG23,"")</f>
        <v/>
      </c>
      <c r="AE40" s="622" t="str">
        <f>IF(H$9=$AA$35,Poeng!BH23,"")</f>
        <v/>
      </c>
    </row>
    <row r="41" spans="1:31" ht="15.75" x14ac:dyDescent="0.25">
      <c r="A41" s="553"/>
      <c r="B41" s="613" t="s">
        <v>73</v>
      </c>
      <c r="C41" s="614">
        <f>Wst_Credits</f>
        <v>6</v>
      </c>
      <c r="D41" s="615">
        <f>Wst_tot_user</f>
        <v>0</v>
      </c>
      <c r="E41" s="616">
        <f>BP_18/BP_07</f>
        <v>0</v>
      </c>
      <c r="F41" s="615">
        <f>Wst_d_user</f>
        <v>0</v>
      </c>
      <c r="G41" s="607">
        <f t="shared" si="3"/>
        <v>0</v>
      </c>
      <c r="H41" s="615">
        <f>Wst_c_user</f>
        <v>0</v>
      </c>
      <c r="I41" s="606">
        <f t="shared" si="4"/>
        <v>0</v>
      </c>
      <c r="J41" s="625">
        <v>7.4999999999999997E-2</v>
      </c>
      <c r="K41" s="618">
        <f>BP_28*J41</f>
        <v>0</v>
      </c>
      <c r="L41" s="609">
        <f t="shared" si="5"/>
        <v>0</v>
      </c>
      <c r="M41" s="606">
        <f t="shared" si="6"/>
        <v>0</v>
      </c>
      <c r="N41" s="568"/>
      <c r="O41" s="568"/>
      <c r="AB41" s="620" t="str">
        <f>Poeng!BE24</f>
        <v/>
      </c>
      <c r="AC41" s="621" t="str">
        <f>IF(D$9=$AA$35,Poeng!BF24,"")</f>
        <v/>
      </c>
      <c r="AD41" s="621" t="str">
        <f>IF(F$9=$AA$35,Poeng!BG24,"")</f>
        <v/>
      </c>
      <c r="AE41" s="622" t="str">
        <f>IF(H$9=$AA$35,Poeng!BH24,"")</f>
        <v/>
      </c>
    </row>
    <row r="42" spans="1:31" ht="15.75" x14ac:dyDescent="0.25">
      <c r="A42" s="553"/>
      <c r="B42" s="613" t="s">
        <v>74</v>
      </c>
      <c r="C42" s="614">
        <f>LE_Credits</f>
        <v>10</v>
      </c>
      <c r="D42" s="615">
        <f>Lue_tot_user</f>
        <v>0</v>
      </c>
      <c r="E42" s="616">
        <f>BP_19/BP_08</f>
        <v>0</v>
      </c>
      <c r="F42" s="615">
        <f>Lue_d_user</f>
        <v>0</v>
      </c>
      <c r="G42" s="607">
        <f t="shared" si="3"/>
        <v>0</v>
      </c>
      <c r="H42" s="615">
        <f>Lue_c_user</f>
        <v>0</v>
      </c>
      <c r="I42" s="606">
        <f t="shared" si="4"/>
        <v>0</v>
      </c>
      <c r="J42" s="617">
        <v>0.1</v>
      </c>
      <c r="K42" s="618">
        <f>BP_29*J42</f>
        <v>0</v>
      </c>
      <c r="L42" s="609">
        <f t="shared" si="5"/>
        <v>0</v>
      </c>
      <c r="M42" s="606">
        <f t="shared" si="6"/>
        <v>0</v>
      </c>
      <c r="N42" s="568"/>
      <c r="O42" s="568"/>
      <c r="AB42" s="620" t="str">
        <f>Poeng!BE25</f>
        <v>Hea 09</v>
      </c>
      <c r="AC42" s="621">
        <f>IF(D$9=$AA$35,Poeng!BF25,"")</f>
        <v>2</v>
      </c>
      <c r="AD42" s="621" t="str">
        <f>IF(F$9=$AA$35,Poeng!BG25,"")</f>
        <v/>
      </c>
      <c r="AE42" s="622" t="str">
        <f>IF(H$9=$AA$35,Poeng!BH25,"")</f>
        <v/>
      </c>
    </row>
    <row r="43" spans="1:31" ht="15.75" customHeight="1" x14ac:dyDescent="0.25">
      <c r="A43" s="553"/>
      <c r="B43" s="613" t="s">
        <v>75</v>
      </c>
      <c r="C43" s="614">
        <f>Pol_Credits</f>
        <v>13</v>
      </c>
      <c r="D43" s="615">
        <f>Pol_tot_user</f>
        <v>0</v>
      </c>
      <c r="E43" s="616">
        <f>BP_20/BP_09</f>
        <v>0</v>
      </c>
      <c r="F43" s="615">
        <f>Pol_d_user</f>
        <v>0</v>
      </c>
      <c r="G43" s="607">
        <f t="shared" si="3"/>
        <v>0</v>
      </c>
      <c r="H43" s="615">
        <f>Pol_c_user</f>
        <v>0</v>
      </c>
      <c r="I43" s="606">
        <f t="shared" si="4"/>
        <v>0</v>
      </c>
      <c r="J43" s="617">
        <v>0.08</v>
      </c>
      <c r="K43" s="618">
        <f>BP_30*J43</f>
        <v>0</v>
      </c>
      <c r="L43" s="609">
        <f t="shared" si="5"/>
        <v>0</v>
      </c>
      <c r="M43" s="606">
        <f t="shared" si="6"/>
        <v>0</v>
      </c>
      <c r="N43" s="568"/>
      <c r="O43" s="568"/>
      <c r="AB43" s="620" t="str">
        <f>Poeng!BE26</f>
        <v>Ene 01</v>
      </c>
      <c r="AC43" s="621">
        <f>IF(D$9=$AA$35,Poeng!BF26,"")</f>
        <v>3</v>
      </c>
      <c r="AD43" s="621" t="str">
        <f>IF(F$9=$AA$35,Poeng!BG26,"")</f>
        <v/>
      </c>
      <c r="AE43" s="622" t="str">
        <f>IF(H$9=$AA$35,Poeng!BH26,"")</f>
        <v/>
      </c>
    </row>
    <row r="44" spans="1:31" ht="15.75" x14ac:dyDescent="0.25">
      <c r="A44" s="553"/>
      <c r="B44" s="613" t="s">
        <v>76</v>
      </c>
      <c r="C44" s="614">
        <f>Inn_Credits</f>
        <v>10</v>
      </c>
      <c r="D44" s="615">
        <f>Inn_tot_user</f>
        <v>0</v>
      </c>
      <c r="E44" s="616">
        <f>BP_21/BP_10</f>
        <v>0</v>
      </c>
      <c r="F44" s="615">
        <f>Inn_d_user</f>
        <v>0</v>
      </c>
      <c r="G44" s="607">
        <f t="shared" si="3"/>
        <v>0</v>
      </c>
      <c r="H44" s="615">
        <f>Inn_c_user</f>
        <v>0</v>
      </c>
      <c r="I44" s="606">
        <f t="shared" si="4"/>
        <v>0</v>
      </c>
      <c r="J44" s="617">
        <v>0.1</v>
      </c>
      <c r="K44" s="618">
        <f>BP_31*J44</f>
        <v>0</v>
      </c>
      <c r="L44" s="609">
        <f t="shared" si="5"/>
        <v>0</v>
      </c>
      <c r="M44" s="606">
        <f t="shared" si="6"/>
        <v>0</v>
      </c>
      <c r="N44" s="568"/>
      <c r="O44" s="568"/>
      <c r="AB44" s="620" t="str">
        <f>Poeng!BE27</f>
        <v>Ene 02</v>
      </c>
      <c r="AC44" s="621">
        <f>IF(D$9=$AA$35,Poeng!BF27,"")</f>
        <v>2</v>
      </c>
      <c r="AD44" s="621" t="str">
        <f>IF(F$9=$AA$35,Poeng!BG27,"")</f>
        <v/>
      </c>
      <c r="AE44" s="622" t="str">
        <f>IF(H$9=$AA$35,Poeng!BH27,"")</f>
        <v/>
      </c>
    </row>
    <row r="45" spans="1:31" ht="15.75" x14ac:dyDescent="0.25">
      <c r="A45" s="553"/>
      <c r="B45" s="626" t="s">
        <v>230</v>
      </c>
      <c r="C45" s="627">
        <f>SUM(C35:C44)</f>
        <v>129</v>
      </c>
      <c r="D45" s="628">
        <f>SUM(D35:D44)</f>
        <v>0</v>
      </c>
      <c r="E45" s="629"/>
      <c r="F45" s="630">
        <f>SUM(F35:F44)</f>
        <v>0</v>
      </c>
      <c r="G45" s="631"/>
      <c r="H45" s="628">
        <f>SUM(H35:H44)</f>
        <v>0</v>
      </c>
      <c r="I45" s="629"/>
      <c r="J45" s="625"/>
      <c r="K45" s="632">
        <f>IF(SUM(K35:K44)&gt;1,1,SUM(K35:K44))</f>
        <v>0</v>
      </c>
      <c r="L45" s="632">
        <f t="shared" ref="L45:M45" si="7">IF(SUM(L35:L44)&gt;1,1,SUM(L35:L44))</f>
        <v>0</v>
      </c>
      <c r="M45" s="633">
        <f t="shared" si="7"/>
        <v>0</v>
      </c>
      <c r="N45" s="568"/>
      <c r="O45" s="568"/>
      <c r="AB45" s="620" t="str">
        <f>Poeng!BE28</f>
        <v>Ene 04</v>
      </c>
      <c r="AC45" s="621">
        <f>IF(D$9=$AA$35,Poeng!BF28,"")</f>
        <v>3</v>
      </c>
      <c r="AD45" s="621" t="str">
        <f>IF(F$9=$AA$35,Poeng!BG28,"")</f>
        <v/>
      </c>
      <c r="AE45" s="622" t="str">
        <f>IF(H$9=$AA$35,Poeng!BH28,"")</f>
        <v/>
      </c>
    </row>
    <row r="46" spans="1:31" ht="15.75" x14ac:dyDescent="0.25">
      <c r="A46" s="553"/>
      <c r="B46" s="634" t="s">
        <v>356</v>
      </c>
      <c r="C46" s="635"/>
      <c r="D46" s="635"/>
      <c r="E46" s="635"/>
      <c r="F46" s="635"/>
      <c r="G46" s="635"/>
      <c r="H46" s="635"/>
      <c r="I46" s="635"/>
      <c r="J46" s="636"/>
      <c r="K46" s="637" t="str">
        <f>D10</f>
        <v>Unclassified</v>
      </c>
      <c r="L46" s="637" t="str">
        <f>F10</f>
        <v>Unclassified</v>
      </c>
      <c r="M46" s="629" t="str">
        <f>H10</f>
        <v>Unclassified</v>
      </c>
      <c r="N46" s="568"/>
      <c r="O46" s="568"/>
      <c r="AB46" s="620" t="str">
        <f>Poeng!BE29</f>
        <v>Ene 23</v>
      </c>
      <c r="AC46" s="621">
        <f>IF(D$9=$AA$35,Poeng!BF29,"")</f>
        <v>4</v>
      </c>
      <c r="AD46" s="621" t="str">
        <f>IF(F$9=$AA$35,Poeng!BG29,"")</f>
        <v/>
      </c>
      <c r="AE46" s="622" t="str">
        <f>IF(H$9=$AA$35,Poeng!BH29,"")</f>
        <v/>
      </c>
    </row>
    <row r="47" spans="1:31" ht="15.75" x14ac:dyDescent="0.25">
      <c r="A47" s="638"/>
      <c r="B47" s="634" t="s">
        <v>84</v>
      </c>
      <c r="C47" s="635"/>
      <c r="D47" s="635"/>
      <c r="E47" s="635"/>
      <c r="F47" s="635"/>
      <c r="G47" s="635"/>
      <c r="H47" s="635"/>
      <c r="I47" s="635"/>
      <c r="J47" s="636"/>
      <c r="K47" s="637" t="str">
        <f>D12</f>
        <v>Unclassified</v>
      </c>
      <c r="L47" s="637" t="str">
        <f>F12</f>
        <v>Unclassified</v>
      </c>
      <c r="M47" s="629" t="str">
        <f>H12</f>
        <v>Unclassified</v>
      </c>
      <c r="N47" s="639"/>
      <c r="O47" s="640"/>
      <c r="P47" s="641"/>
      <c r="Q47" s="641"/>
      <c r="R47" s="641"/>
      <c r="S47" s="641"/>
      <c r="AB47" s="620" t="str">
        <f>Poeng!BE30</f>
        <v>Wat 01</v>
      </c>
      <c r="AC47" s="621">
        <f>IF(D$9=$AA$35,Poeng!BF30,"")</f>
        <v>3</v>
      </c>
      <c r="AD47" s="621" t="str">
        <f>IF(F$9=$AA$35,Poeng!BG30,"")</f>
        <v/>
      </c>
      <c r="AE47" s="622" t="str">
        <f>IF(H$9=$AA$35,Poeng!BH30,"")</f>
        <v/>
      </c>
    </row>
    <row r="48" spans="1:31" s="642" customFormat="1" x14ac:dyDescent="0.25">
      <c r="B48" s="553"/>
      <c r="C48" s="553"/>
      <c r="D48" s="553"/>
      <c r="E48" s="553"/>
      <c r="F48" s="553"/>
      <c r="G48" s="553"/>
      <c r="H48" s="553"/>
      <c r="I48" s="553" t="str">
        <f>IF(OR(Poeng!AT112=1,Poeng!AW112=1,Poeng!AZ112=1),Poeng!AL117,"")</f>
        <v/>
      </c>
      <c r="K48" s="553"/>
      <c r="L48" s="553"/>
      <c r="M48" s="553"/>
      <c r="O48" s="643"/>
      <c r="P48" s="643"/>
      <c r="Q48" s="643"/>
      <c r="R48" s="643"/>
      <c r="S48" s="643"/>
      <c r="T48" s="643"/>
      <c r="U48" s="643"/>
      <c r="AA48" s="554"/>
      <c r="AB48" s="620" t="str">
        <f>Poeng!BE31</f>
        <v>Mat 01</v>
      </c>
      <c r="AC48" s="621">
        <f>IF(D$9=$AA$35,Poeng!BF31,"")</f>
        <v>0</v>
      </c>
      <c r="AD48" s="621" t="str">
        <f>IF(F$9=$AA$35,Poeng!BG31,"")</f>
        <v/>
      </c>
      <c r="AE48" s="622" t="str">
        <f>IF(H$9=$AA$35,Poeng!BH31,"")</f>
        <v/>
      </c>
    </row>
    <row r="49" spans="1:31" s="642" customFormat="1" x14ac:dyDescent="0.25">
      <c r="B49" s="553"/>
      <c r="C49" s="553"/>
      <c r="D49" s="553"/>
      <c r="E49" s="553"/>
      <c r="F49" s="553"/>
      <c r="G49" s="553"/>
      <c r="H49" s="553"/>
      <c r="I49" s="553"/>
      <c r="J49" s="553"/>
      <c r="K49" s="553"/>
      <c r="L49" s="553"/>
      <c r="M49" s="553"/>
      <c r="AA49" s="554"/>
      <c r="AB49" s="620" t="str">
        <f>Poeng!BE32</f>
        <v>Mat 03</v>
      </c>
      <c r="AC49" s="621">
        <f>IF(D$9=$AA$35,Poeng!BF32,"")</f>
        <v>0</v>
      </c>
      <c r="AD49" s="621" t="str">
        <f>IF(F$9=$AA$35,Poeng!BG32,"")</f>
        <v/>
      </c>
      <c r="AE49" s="622" t="str">
        <f>IF(H$9=$AA$35,Poeng!BH32,"")</f>
        <v/>
      </c>
    </row>
    <row r="50" spans="1:31" s="553" customFormat="1" ht="15.75" thickBot="1" x14ac:dyDescent="0.3">
      <c r="B50" s="644"/>
      <c r="C50" s="644"/>
      <c r="D50" s="644"/>
      <c r="E50" s="644"/>
      <c r="F50" s="644"/>
      <c r="G50" s="644"/>
      <c r="H50" s="644"/>
      <c r="I50" s="644"/>
      <c r="J50" s="644"/>
      <c r="K50" s="644"/>
      <c r="L50" s="644"/>
      <c r="M50" s="644"/>
      <c r="N50" s="644"/>
      <c r="AA50" s="554"/>
      <c r="AB50" s="645" t="str">
        <f>Poeng!BE33</f>
        <v>Wst 01</v>
      </c>
      <c r="AC50" s="646">
        <f>IF(D$9=$AA$35,Poeng!BF33,"")</f>
        <v>4</v>
      </c>
      <c r="AD50" s="646" t="str">
        <f>IF(F$9=$AA$35,Poeng!BG33,"")</f>
        <v/>
      </c>
      <c r="AE50" s="647" t="str">
        <f>IF(H$9=$AA$35,Poeng!BH33,"")</f>
        <v/>
      </c>
    </row>
    <row r="51" spans="1:31" s="553" customFormat="1" ht="15.75" thickBot="1" x14ac:dyDescent="0.3">
      <c r="AA51" s="648"/>
      <c r="AB51" s="645" t="str">
        <f>Poeng!BE34</f>
        <v>Wst 03</v>
      </c>
      <c r="AC51" s="646">
        <f>IF(D$9=$AA$35,Poeng!BF34,"")</f>
        <v>3</v>
      </c>
      <c r="AD51" s="646" t="str">
        <f>IF(F$9=$AA$35,Poeng!BG34,"")</f>
        <v/>
      </c>
      <c r="AE51" s="647" t="str">
        <f>IF(H$9=$AA$35,Poeng!BH34,"")</f>
        <v/>
      </c>
    </row>
    <row r="52" spans="1:31" s="553" customFormat="1" x14ac:dyDescent="0.25">
      <c r="F52" s="649"/>
      <c r="G52" s="649"/>
      <c r="H52" s="649"/>
      <c r="I52" s="649"/>
      <c r="J52" s="649"/>
      <c r="K52" s="649"/>
      <c r="L52" s="650"/>
    </row>
    <row r="53" spans="1:31" s="553" customFormat="1" x14ac:dyDescent="0.25"/>
    <row r="54" spans="1:31" x14ac:dyDescent="0.25">
      <c r="A54" s="568"/>
      <c r="B54" s="568"/>
      <c r="C54" s="568"/>
      <c r="D54" s="568"/>
      <c r="E54" s="568"/>
      <c r="F54" s="568"/>
      <c r="G54" s="568"/>
      <c r="H54" s="568"/>
      <c r="I54" s="568"/>
      <c r="J54" s="568"/>
      <c r="K54" s="568"/>
      <c r="L54" s="568"/>
      <c r="M54" s="568"/>
      <c r="N54" s="568"/>
      <c r="O54" s="568"/>
    </row>
    <row r="55" spans="1:31" x14ac:dyDescent="0.25">
      <c r="A55" s="568"/>
      <c r="B55" s="568"/>
      <c r="C55" s="568"/>
      <c r="D55" s="568"/>
      <c r="E55" s="568"/>
      <c r="F55" s="568"/>
      <c r="G55" s="568"/>
      <c r="H55" s="568"/>
      <c r="I55" s="568"/>
      <c r="J55" s="568"/>
      <c r="K55" s="568"/>
      <c r="L55" s="568"/>
      <c r="M55" s="568"/>
      <c r="N55" s="568"/>
      <c r="O55" s="568"/>
    </row>
    <row r="56" spans="1:31" x14ac:dyDescent="0.25">
      <c r="A56" s="568"/>
      <c r="B56" s="568"/>
      <c r="C56" s="568"/>
      <c r="D56" s="568"/>
      <c r="E56" s="568"/>
      <c r="F56" s="568"/>
      <c r="G56" s="568"/>
      <c r="H56" s="568"/>
      <c r="I56" s="568"/>
      <c r="J56" s="568"/>
      <c r="K56" s="568"/>
      <c r="L56" s="568"/>
      <c r="M56" s="568"/>
      <c r="N56" s="568"/>
      <c r="O56" s="568"/>
    </row>
    <row r="57" spans="1:31" x14ac:dyDescent="0.25">
      <c r="A57" s="568"/>
      <c r="B57" s="568"/>
      <c r="C57" s="568"/>
      <c r="D57" s="568"/>
      <c r="E57" s="568"/>
      <c r="F57" s="568"/>
      <c r="G57" s="568"/>
      <c r="H57" s="568"/>
      <c r="I57" s="568"/>
      <c r="J57" s="568"/>
      <c r="K57" s="568"/>
      <c r="L57" s="568"/>
      <c r="M57" s="568"/>
      <c r="N57" s="568"/>
      <c r="O57" s="568"/>
      <c r="P57" s="651"/>
    </row>
    <row r="58" spans="1:31" x14ac:dyDescent="0.25">
      <c r="A58" s="568"/>
      <c r="B58" s="568"/>
      <c r="C58" s="568"/>
      <c r="D58" s="568"/>
      <c r="E58" s="568"/>
      <c r="F58" s="568"/>
      <c r="G58" s="568"/>
      <c r="H58" s="568"/>
      <c r="I58" s="568"/>
      <c r="J58" s="568"/>
      <c r="K58" s="568"/>
      <c r="L58" s="568"/>
      <c r="M58" s="568"/>
      <c r="N58" s="568"/>
      <c r="O58" s="568"/>
    </row>
    <row r="59" spans="1:31" x14ac:dyDescent="0.25">
      <c r="A59" s="568"/>
      <c r="B59" s="568"/>
      <c r="C59" s="568"/>
      <c r="D59" s="568"/>
      <c r="E59" s="568"/>
      <c r="F59" s="568"/>
      <c r="G59" s="568"/>
      <c r="H59" s="568"/>
      <c r="I59" s="568"/>
      <c r="J59" s="568"/>
      <c r="K59" s="568"/>
      <c r="L59" s="568"/>
      <c r="M59" s="568"/>
      <c r="N59" s="568"/>
      <c r="O59" s="568"/>
    </row>
    <row r="60" spans="1:31" x14ac:dyDescent="0.25">
      <c r="A60" s="568"/>
      <c r="B60" s="568"/>
      <c r="C60" s="568"/>
      <c r="D60" s="568"/>
      <c r="E60" s="568"/>
      <c r="F60" s="568"/>
      <c r="G60" s="568"/>
      <c r="H60" s="568"/>
      <c r="I60" s="568"/>
      <c r="J60" s="568"/>
      <c r="K60" s="568"/>
      <c r="L60" s="568"/>
      <c r="M60" s="568"/>
      <c r="N60" s="568"/>
      <c r="O60" s="568"/>
      <c r="P60" s="651"/>
    </row>
    <row r="61" spans="1:31" x14ac:dyDescent="0.25">
      <c r="A61" s="568"/>
      <c r="B61" s="568"/>
      <c r="C61" s="568"/>
      <c r="D61" s="568"/>
      <c r="E61" s="568"/>
      <c r="F61" s="568"/>
      <c r="G61" s="568"/>
      <c r="H61" s="568"/>
      <c r="I61" s="568"/>
      <c r="J61" s="568"/>
      <c r="K61" s="568"/>
      <c r="L61" s="568"/>
      <c r="M61" s="568"/>
      <c r="N61" s="568"/>
      <c r="O61" s="568"/>
    </row>
    <row r="62" spans="1:31" x14ac:dyDescent="0.25">
      <c r="A62" s="568"/>
      <c r="B62" s="568"/>
      <c r="C62" s="568"/>
      <c r="D62" s="568"/>
      <c r="E62" s="568"/>
      <c r="F62" s="568"/>
      <c r="G62" s="568"/>
      <c r="H62" s="568"/>
      <c r="I62" s="568"/>
      <c r="J62" s="568"/>
      <c r="K62" s="568"/>
      <c r="L62" s="568"/>
      <c r="M62" s="568"/>
      <c r="N62" s="568"/>
      <c r="O62" s="568"/>
    </row>
    <row r="63" spans="1:31" x14ac:dyDescent="0.25">
      <c r="A63" s="568"/>
      <c r="B63" s="568"/>
      <c r="C63" s="568"/>
      <c r="D63" s="568"/>
      <c r="E63" s="568"/>
      <c r="F63" s="568"/>
      <c r="G63" s="568"/>
      <c r="H63" s="568"/>
      <c r="I63" s="568"/>
      <c r="J63" s="568"/>
      <c r="K63" s="568"/>
      <c r="L63" s="568"/>
      <c r="M63" s="568"/>
      <c r="N63" s="568"/>
      <c r="O63" s="568"/>
      <c r="P63" s="651"/>
    </row>
    <row r="64" spans="1:31" x14ac:dyDescent="0.25">
      <c r="A64" s="568"/>
      <c r="B64" s="568"/>
      <c r="C64" s="568"/>
      <c r="D64" s="568"/>
      <c r="E64" s="568"/>
      <c r="F64" s="568"/>
      <c r="G64" s="568"/>
      <c r="H64" s="568"/>
      <c r="I64" s="568"/>
      <c r="J64" s="568"/>
      <c r="K64" s="568"/>
      <c r="L64" s="568"/>
      <c r="M64" s="568"/>
      <c r="N64" s="568"/>
      <c r="O64" s="568"/>
    </row>
    <row r="65" spans="1:15" x14ac:dyDescent="0.25">
      <c r="A65" s="568"/>
      <c r="B65" s="568"/>
      <c r="C65" s="568"/>
      <c r="D65" s="568"/>
      <c r="E65" s="568"/>
      <c r="F65" s="568"/>
      <c r="G65" s="568"/>
      <c r="H65" s="568"/>
      <c r="I65" s="568"/>
      <c r="J65" s="568"/>
      <c r="K65" s="568"/>
      <c r="L65" s="568"/>
      <c r="M65" s="568"/>
      <c r="N65" s="568"/>
      <c r="O65" s="568"/>
    </row>
    <row r="66" spans="1:15" x14ac:dyDescent="0.25">
      <c r="A66" s="568"/>
      <c r="B66" s="568"/>
      <c r="C66" s="568"/>
      <c r="D66" s="568"/>
      <c r="E66" s="568"/>
      <c r="F66" s="568"/>
      <c r="G66" s="568"/>
      <c r="H66" s="568"/>
      <c r="I66" s="568"/>
      <c r="J66" s="568"/>
      <c r="K66" s="568"/>
      <c r="L66" s="568"/>
      <c r="M66" s="568"/>
      <c r="N66" s="568"/>
      <c r="O66" s="568"/>
    </row>
    <row r="67" spans="1:15" x14ac:dyDescent="0.25">
      <c r="A67" s="568"/>
      <c r="B67" s="568"/>
      <c r="C67" s="568"/>
      <c r="D67" s="568"/>
      <c r="E67" s="568"/>
      <c r="F67" s="568"/>
      <c r="G67" s="568"/>
      <c r="H67" s="568"/>
      <c r="I67" s="568"/>
      <c r="J67" s="568"/>
      <c r="K67" s="568"/>
      <c r="L67" s="568"/>
      <c r="M67" s="568"/>
      <c r="N67" s="568"/>
      <c r="O67" s="568"/>
    </row>
    <row r="68" spans="1:15" x14ac:dyDescent="0.25">
      <c r="A68" s="568"/>
      <c r="B68" s="568"/>
      <c r="C68" s="568"/>
      <c r="D68" s="568"/>
      <c r="E68" s="568"/>
      <c r="F68" s="568"/>
      <c r="G68" s="568"/>
      <c r="H68" s="568"/>
      <c r="I68" s="568"/>
      <c r="J68" s="568"/>
      <c r="K68" s="568"/>
      <c r="L68" s="568"/>
      <c r="M68" s="568"/>
      <c r="N68" s="568"/>
      <c r="O68" s="568"/>
    </row>
    <row r="69" spans="1:15" x14ac:dyDescent="0.25">
      <c r="A69" s="568"/>
      <c r="B69" s="568"/>
      <c r="C69" s="568"/>
      <c r="D69" s="568"/>
      <c r="E69" s="568"/>
      <c r="F69" s="568"/>
      <c r="G69" s="568"/>
      <c r="H69" s="568"/>
      <c r="I69" s="568"/>
      <c r="J69" s="568"/>
      <c r="K69" s="568"/>
      <c r="L69" s="568"/>
      <c r="M69" s="568"/>
      <c r="N69" s="568"/>
      <c r="O69" s="568"/>
    </row>
    <row r="70" spans="1:15" x14ac:dyDescent="0.25">
      <c r="A70" s="568"/>
      <c r="B70" s="568"/>
      <c r="C70" s="568"/>
      <c r="D70" s="568"/>
      <c r="E70" s="568"/>
      <c r="F70" s="568"/>
      <c r="G70" s="568"/>
      <c r="H70" s="568"/>
      <c r="I70" s="568"/>
      <c r="J70" s="568"/>
      <c r="K70" s="568"/>
      <c r="L70" s="568"/>
      <c r="M70" s="568"/>
      <c r="N70" s="568"/>
      <c r="O70" s="568"/>
    </row>
    <row r="71" spans="1:15" x14ac:dyDescent="0.25">
      <c r="A71" s="568"/>
      <c r="B71" s="568"/>
      <c r="C71" s="568"/>
      <c r="D71" s="568"/>
      <c r="E71" s="568"/>
      <c r="F71" s="568"/>
      <c r="G71" s="568"/>
      <c r="H71" s="568"/>
      <c r="I71" s="568"/>
      <c r="J71" s="568"/>
      <c r="K71" s="568"/>
      <c r="L71" s="568"/>
      <c r="M71" s="568"/>
      <c r="N71" s="568"/>
      <c r="O71" s="568"/>
    </row>
    <row r="72" spans="1:15" x14ac:dyDescent="0.25">
      <c r="A72" s="568"/>
      <c r="B72" s="568"/>
      <c r="C72" s="568"/>
      <c r="D72" s="568"/>
      <c r="E72" s="568"/>
      <c r="F72" s="568"/>
      <c r="G72" s="568"/>
      <c r="H72" s="568"/>
      <c r="I72" s="568"/>
      <c r="J72" s="568"/>
      <c r="K72" s="568"/>
      <c r="L72" s="568"/>
      <c r="M72" s="568"/>
      <c r="N72" s="568"/>
      <c r="O72" s="568"/>
    </row>
    <row r="73" spans="1:15" x14ac:dyDescent="0.25">
      <c r="A73" s="568"/>
      <c r="B73" s="568"/>
      <c r="C73" s="568"/>
      <c r="D73" s="568"/>
      <c r="E73" s="568"/>
      <c r="F73" s="568"/>
      <c r="G73" s="568"/>
      <c r="H73" s="568"/>
      <c r="I73" s="568"/>
      <c r="J73" s="568"/>
      <c r="K73" s="568"/>
      <c r="L73" s="568"/>
      <c r="M73" s="568"/>
      <c r="N73" s="568"/>
      <c r="O73" s="568"/>
    </row>
    <row r="74" spans="1:15" x14ac:dyDescent="0.25">
      <c r="A74" s="568"/>
      <c r="B74" s="568"/>
      <c r="C74" s="568"/>
      <c r="D74" s="568"/>
      <c r="E74" s="568"/>
      <c r="F74" s="568"/>
      <c r="G74" s="568"/>
      <c r="H74" s="568"/>
      <c r="I74" s="568"/>
      <c r="J74" s="568"/>
      <c r="K74" s="568"/>
      <c r="L74" s="568"/>
      <c r="M74" s="568"/>
      <c r="N74" s="568"/>
      <c r="O74" s="568"/>
    </row>
    <row r="75" spans="1:15" x14ac:dyDescent="0.25">
      <c r="A75" s="568"/>
      <c r="B75" s="568"/>
      <c r="C75" s="568"/>
      <c r="D75" s="568"/>
      <c r="E75" s="568"/>
      <c r="F75" s="568"/>
      <c r="G75" s="568"/>
      <c r="H75" s="568"/>
      <c r="I75" s="568"/>
      <c r="J75" s="568"/>
      <c r="K75" s="568"/>
      <c r="L75" s="568"/>
      <c r="M75" s="568"/>
      <c r="N75" s="568"/>
      <c r="O75" s="568"/>
    </row>
    <row r="76" spans="1:15" x14ac:dyDescent="0.25">
      <c r="A76" s="568"/>
      <c r="B76" s="568"/>
      <c r="C76" s="568"/>
      <c r="D76" s="568"/>
      <c r="E76" s="568"/>
      <c r="F76" s="568"/>
      <c r="G76" s="568"/>
      <c r="H76" s="568"/>
      <c r="I76" s="568"/>
      <c r="J76" s="568"/>
      <c r="K76" s="568"/>
      <c r="L76" s="568"/>
      <c r="M76" s="568"/>
      <c r="N76" s="568"/>
      <c r="O76" s="568"/>
    </row>
    <row r="77" spans="1:15" x14ac:dyDescent="0.25">
      <c r="A77" s="568"/>
      <c r="B77" s="568"/>
      <c r="C77" s="568"/>
      <c r="D77" s="568"/>
      <c r="E77" s="568"/>
      <c r="F77" s="568"/>
      <c r="G77" s="568"/>
      <c r="H77" s="568"/>
      <c r="I77" s="568"/>
      <c r="J77" s="568"/>
      <c r="K77" s="568"/>
      <c r="L77" s="568"/>
      <c r="M77" s="568"/>
      <c r="N77" s="568"/>
      <c r="O77" s="568"/>
    </row>
    <row r="78" spans="1:15" x14ac:dyDescent="0.25">
      <c r="A78" s="568"/>
      <c r="B78" s="568"/>
      <c r="C78" s="568"/>
      <c r="D78" s="568"/>
      <c r="E78" s="568"/>
      <c r="F78" s="568"/>
      <c r="G78" s="568"/>
      <c r="H78" s="568"/>
      <c r="I78" s="568"/>
      <c r="J78" s="568"/>
      <c r="K78" s="568"/>
      <c r="L78" s="568"/>
      <c r="M78" s="568"/>
      <c r="N78" s="568"/>
      <c r="O78" s="568"/>
    </row>
    <row r="79" spans="1:15" x14ac:dyDescent="0.25">
      <c r="A79" s="568"/>
      <c r="B79" s="568"/>
      <c r="C79" s="568"/>
      <c r="D79" s="568"/>
      <c r="E79" s="568"/>
      <c r="F79" s="568"/>
      <c r="G79" s="568"/>
      <c r="H79" s="568"/>
      <c r="I79" s="568"/>
      <c r="J79" s="568"/>
      <c r="K79" s="568"/>
      <c r="L79" s="568"/>
      <c r="M79" s="568"/>
      <c r="N79" s="568"/>
      <c r="O79" s="568"/>
    </row>
    <row r="80" spans="1:15" x14ac:dyDescent="0.25">
      <c r="A80" s="568"/>
      <c r="B80" s="568"/>
      <c r="C80" s="568"/>
      <c r="D80" s="568"/>
      <c r="E80" s="568"/>
      <c r="F80" s="568"/>
      <c r="G80" s="568"/>
      <c r="H80" s="568"/>
      <c r="I80" s="568"/>
      <c r="J80" s="568"/>
      <c r="K80" s="568"/>
      <c r="L80" s="568"/>
      <c r="M80" s="568"/>
      <c r="N80" s="568"/>
      <c r="O80" s="568"/>
    </row>
    <row r="81" spans="1:15" x14ac:dyDescent="0.25">
      <c r="A81" s="568"/>
      <c r="B81" s="568"/>
      <c r="C81" s="568"/>
      <c r="D81" s="568"/>
      <c r="E81" s="568"/>
      <c r="F81" s="568"/>
      <c r="G81" s="568"/>
      <c r="H81" s="568"/>
      <c r="I81" s="568"/>
      <c r="J81" s="568"/>
      <c r="K81" s="568"/>
      <c r="L81" s="568"/>
      <c r="M81" s="568"/>
      <c r="N81" s="568"/>
      <c r="O81" s="568"/>
    </row>
    <row r="82" spans="1:15" x14ac:dyDescent="0.25">
      <c r="A82" s="568"/>
      <c r="B82" s="568"/>
      <c r="C82" s="568"/>
      <c r="D82" s="568"/>
      <c r="E82" s="568"/>
      <c r="F82" s="568"/>
      <c r="G82" s="568"/>
      <c r="H82" s="568"/>
      <c r="I82" s="568"/>
      <c r="J82" s="568"/>
      <c r="K82" s="568"/>
      <c r="L82" s="568"/>
      <c r="M82" s="568"/>
      <c r="N82" s="568"/>
      <c r="O82" s="568"/>
    </row>
    <row r="83" spans="1:15" x14ac:dyDescent="0.25">
      <c r="A83" s="568"/>
      <c r="B83" s="568"/>
      <c r="C83" s="568"/>
      <c r="D83" s="568"/>
      <c r="E83" s="568"/>
      <c r="F83" s="568"/>
      <c r="G83" s="568"/>
      <c r="H83" s="568"/>
      <c r="I83" s="568"/>
      <c r="J83" s="568"/>
      <c r="K83" s="568"/>
      <c r="L83" s="568"/>
      <c r="M83" s="568"/>
      <c r="N83" s="568"/>
      <c r="O83" s="568"/>
    </row>
    <row r="84" spans="1:15" x14ac:dyDescent="0.25">
      <c r="A84" s="568"/>
      <c r="B84" s="568"/>
      <c r="C84" s="568"/>
      <c r="D84" s="568"/>
      <c r="E84" s="568"/>
      <c r="F84" s="568"/>
      <c r="G84" s="568"/>
      <c r="H84" s="568"/>
      <c r="I84" s="568"/>
      <c r="J84" s="568"/>
      <c r="K84" s="568"/>
      <c r="L84" s="568"/>
      <c r="M84" s="568"/>
      <c r="N84" s="568"/>
      <c r="O84" s="568"/>
    </row>
    <row r="85" spans="1:15" x14ac:dyDescent="0.25">
      <c r="A85" s="568"/>
      <c r="B85" s="568"/>
      <c r="C85" s="568"/>
      <c r="D85" s="568"/>
      <c r="E85" s="568"/>
      <c r="F85" s="568"/>
      <c r="G85" s="568"/>
      <c r="H85" s="568"/>
      <c r="I85" s="568"/>
      <c r="J85" s="568"/>
      <c r="K85" s="568"/>
      <c r="L85" s="568"/>
      <c r="M85" s="568"/>
      <c r="N85" s="568"/>
      <c r="O85" s="568"/>
    </row>
    <row r="86" spans="1:15" x14ac:dyDescent="0.25">
      <c r="A86" s="568"/>
      <c r="B86" s="568"/>
      <c r="C86" s="568"/>
      <c r="D86" s="568"/>
      <c r="E86" s="568"/>
      <c r="F86" s="568"/>
      <c r="G86" s="568"/>
      <c r="H86" s="568"/>
      <c r="I86" s="568"/>
      <c r="J86" s="568"/>
      <c r="K86" s="553"/>
      <c r="L86" s="568"/>
      <c r="M86" s="568"/>
      <c r="N86" s="568"/>
      <c r="O86" s="568"/>
    </row>
    <row r="87" spans="1:15" x14ac:dyDescent="0.25">
      <c r="A87" s="568"/>
      <c r="B87" s="568"/>
      <c r="C87" s="568"/>
      <c r="D87" s="568"/>
      <c r="E87" s="568"/>
      <c r="F87" s="568"/>
      <c r="G87" s="568"/>
      <c r="H87" s="568"/>
      <c r="I87" s="568"/>
      <c r="J87" s="568"/>
      <c r="K87" s="553"/>
      <c r="L87" s="568"/>
      <c r="M87" s="568"/>
      <c r="N87" s="568"/>
      <c r="O87" s="568"/>
    </row>
    <row r="88" spans="1:15" x14ac:dyDescent="0.25">
      <c r="A88" s="568"/>
      <c r="B88" s="568"/>
      <c r="C88" s="568"/>
      <c r="D88" s="568"/>
      <c r="E88" s="568"/>
      <c r="F88" s="568"/>
      <c r="G88" s="568"/>
      <c r="H88" s="568"/>
      <c r="I88" s="568"/>
      <c r="J88" s="568"/>
      <c r="K88" s="652"/>
      <c r="L88" s="568"/>
      <c r="M88" s="568"/>
      <c r="N88" s="568"/>
      <c r="O88" s="568"/>
    </row>
    <row r="89" spans="1:15" ht="15.75" x14ac:dyDescent="0.25">
      <c r="A89" s="568"/>
      <c r="B89" s="568"/>
      <c r="C89" s="568"/>
      <c r="D89" s="568"/>
      <c r="E89" s="568"/>
      <c r="F89" s="568"/>
      <c r="G89" s="568"/>
      <c r="H89" s="568"/>
      <c r="I89" s="568"/>
      <c r="J89" s="568"/>
      <c r="K89" s="653"/>
      <c r="L89" s="568"/>
      <c r="M89" s="568"/>
      <c r="N89" s="568"/>
      <c r="O89" s="568"/>
    </row>
    <row r="90" spans="1:15" ht="15.75" x14ac:dyDescent="0.25">
      <c r="A90" s="568"/>
      <c r="B90" s="568"/>
      <c r="C90" s="568"/>
      <c r="D90" s="568"/>
      <c r="E90" s="568"/>
      <c r="F90" s="568"/>
      <c r="G90" s="568"/>
      <c r="H90" s="568"/>
      <c r="I90" s="568"/>
      <c r="J90" s="568"/>
      <c r="K90" s="653"/>
      <c r="L90" s="568"/>
      <c r="M90" s="568"/>
      <c r="N90" s="568"/>
      <c r="O90" s="568"/>
    </row>
    <row r="91" spans="1:15" ht="15.75" x14ac:dyDescent="0.25">
      <c r="A91" s="568"/>
      <c r="B91" s="568"/>
      <c r="C91" s="568"/>
      <c r="D91" s="568"/>
      <c r="E91" s="568"/>
      <c r="F91" s="568"/>
      <c r="G91" s="568"/>
      <c r="H91" s="568"/>
      <c r="I91" s="568"/>
      <c r="J91" s="568"/>
      <c r="K91" s="653"/>
      <c r="L91" s="568"/>
      <c r="M91" s="568"/>
      <c r="N91" s="568"/>
      <c r="O91" s="568"/>
    </row>
    <row r="92" spans="1:15" x14ac:dyDescent="0.25">
      <c r="A92" s="568"/>
      <c r="B92" s="568"/>
      <c r="C92" s="568"/>
      <c r="D92" s="568"/>
      <c r="E92" s="568"/>
      <c r="F92" s="568"/>
      <c r="G92" s="568"/>
      <c r="H92" s="568"/>
      <c r="I92" s="568"/>
      <c r="J92" s="568"/>
      <c r="K92" s="553"/>
      <c r="L92" s="568"/>
      <c r="M92" s="568"/>
      <c r="N92" s="568"/>
      <c r="O92" s="568"/>
    </row>
    <row r="93" spans="1:15" x14ac:dyDescent="0.25">
      <c r="A93" s="568"/>
      <c r="B93" s="568"/>
      <c r="C93" s="568"/>
      <c r="D93" s="568"/>
      <c r="E93" s="568"/>
      <c r="F93" s="568"/>
      <c r="G93" s="568"/>
      <c r="H93" s="568"/>
      <c r="I93" s="568"/>
      <c r="J93" s="568"/>
      <c r="K93" s="553"/>
      <c r="L93" s="568"/>
      <c r="M93" s="568"/>
      <c r="N93" s="568"/>
      <c r="O93" s="568"/>
    </row>
    <row r="94" spans="1:15" x14ac:dyDescent="0.25">
      <c r="A94" s="568"/>
      <c r="B94" s="568"/>
      <c r="C94" s="568"/>
      <c r="D94" s="568"/>
      <c r="E94" s="568"/>
      <c r="F94" s="568"/>
      <c r="G94" s="568"/>
      <c r="H94" s="568"/>
      <c r="I94" s="568"/>
      <c r="J94" s="568"/>
      <c r="K94" s="553"/>
      <c r="L94" s="568"/>
      <c r="M94" s="568"/>
      <c r="N94" s="568"/>
      <c r="O94" s="568"/>
    </row>
    <row r="95" spans="1:15" x14ac:dyDescent="0.25">
      <c r="A95" s="568"/>
      <c r="B95" s="568"/>
      <c r="C95" s="568"/>
      <c r="D95" s="568"/>
      <c r="E95" s="568"/>
      <c r="F95" s="568"/>
      <c r="G95" s="568"/>
      <c r="H95" s="568"/>
      <c r="I95" s="568"/>
      <c r="J95" s="568"/>
      <c r="K95" s="553"/>
      <c r="L95" s="568"/>
      <c r="M95" s="568"/>
      <c r="N95" s="568"/>
      <c r="O95" s="568"/>
    </row>
    <row r="96" spans="1:15" x14ac:dyDescent="0.25">
      <c r="A96" s="568"/>
      <c r="B96" s="568"/>
      <c r="C96" s="568"/>
      <c r="D96" s="568"/>
      <c r="E96" s="568"/>
      <c r="F96" s="568"/>
      <c r="G96" s="568"/>
      <c r="H96" s="568"/>
      <c r="I96" s="568"/>
      <c r="J96" s="568"/>
      <c r="K96" s="574"/>
      <c r="L96" s="568"/>
      <c r="M96" s="568"/>
      <c r="N96" s="568"/>
      <c r="O96" s="568"/>
    </row>
    <row r="97" spans="1:15" x14ac:dyDescent="0.25">
      <c r="A97" s="568"/>
      <c r="B97" s="568"/>
      <c r="C97" s="568"/>
      <c r="D97" s="568"/>
      <c r="E97" s="568"/>
      <c r="F97" s="568"/>
      <c r="G97" s="568"/>
      <c r="H97" s="568"/>
      <c r="I97" s="568"/>
      <c r="J97" s="568"/>
      <c r="K97" s="568"/>
      <c r="L97" s="568"/>
      <c r="M97" s="568"/>
      <c r="N97" s="568"/>
      <c r="O97" s="568"/>
    </row>
    <row r="98" spans="1:15" x14ac:dyDescent="0.25">
      <c r="A98" s="568"/>
      <c r="B98" s="568"/>
      <c r="C98" s="568"/>
      <c r="D98" s="568"/>
      <c r="E98" s="568"/>
      <c r="F98" s="568"/>
      <c r="G98" s="568"/>
      <c r="H98" s="568"/>
      <c r="I98" s="568"/>
      <c r="J98" s="568"/>
      <c r="K98" s="568"/>
      <c r="L98" s="568"/>
      <c r="M98" s="568"/>
      <c r="N98" s="568"/>
      <c r="O98" s="568"/>
    </row>
    <row r="99" spans="1:15" x14ac:dyDescent="0.25">
      <c r="A99" s="568"/>
      <c r="B99" s="568"/>
      <c r="C99" s="568"/>
      <c r="D99" s="568"/>
      <c r="E99" s="568"/>
      <c r="F99" s="568"/>
      <c r="G99" s="568"/>
      <c r="H99" s="568"/>
      <c r="I99" s="568"/>
      <c r="J99" s="568"/>
      <c r="K99" s="568"/>
      <c r="L99" s="568"/>
      <c r="M99" s="568"/>
      <c r="N99" s="568"/>
      <c r="O99" s="568"/>
    </row>
    <row r="100" spans="1:15" x14ac:dyDescent="0.25">
      <c r="A100" s="568"/>
      <c r="B100" s="568"/>
      <c r="C100" s="568"/>
      <c r="D100" s="568"/>
      <c r="E100" s="568"/>
      <c r="F100" s="568"/>
      <c r="G100" s="568"/>
      <c r="H100" s="568"/>
      <c r="I100" s="568"/>
      <c r="J100" s="568"/>
      <c r="K100" s="568"/>
      <c r="L100" s="568"/>
      <c r="M100" s="568"/>
      <c r="N100" s="568"/>
      <c r="O100" s="568"/>
    </row>
    <row r="101" spans="1:15" x14ac:dyDescent="0.25">
      <c r="A101" s="568"/>
      <c r="B101" s="568"/>
      <c r="C101" s="568"/>
      <c r="D101" s="568"/>
      <c r="E101" s="568"/>
      <c r="F101" s="568"/>
      <c r="G101" s="568"/>
      <c r="H101" s="568"/>
      <c r="I101" s="568"/>
      <c r="J101" s="568"/>
      <c r="K101" s="568"/>
      <c r="L101" s="568"/>
      <c r="M101" s="568"/>
      <c r="N101" s="568"/>
      <c r="O101" s="568"/>
    </row>
    <row r="102" spans="1:15" x14ac:dyDescent="0.25">
      <c r="A102" s="568"/>
      <c r="B102" s="568"/>
      <c r="C102" s="568"/>
      <c r="D102" s="568"/>
      <c r="E102" s="568"/>
      <c r="F102" s="568"/>
      <c r="G102" s="568"/>
      <c r="H102" s="568"/>
      <c r="I102" s="568"/>
      <c r="J102" s="568"/>
      <c r="K102" s="568"/>
      <c r="L102" s="568"/>
      <c r="M102" s="568"/>
      <c r="N102" s="568"/>
      <c r="O102" s="568"/>
    </row>
    <row r="103" spans="1:15" x14ac:dyDescent="0.25">
      <c r="A103" s="568"/>
      <c r="B103" s="568"/>
      <c r="C103" s="568"/>
      <c r="D103" s="568"/>
      <c r="E103" s="568"/>
      <c r="F103" s="568"/>
      <c r="G103" s="568"/>
      <c r="H103" s="568"/>
      <c r="I103" s="568"/>
      <c r="J103" s="568"/>
      <c r="K103" s="568"/>
      <c r="L103" s="568"/>
      <c r="M103" s="568"/>
      <c r="N103" s="568"/>
      <c r="O103" s="568"/>
    </row>
    <row r="299" spans="20:22" ht="15.75" thickBot="1" x14ac:dyDescent="0.3"/>
    <row r="300" spans="20:22" x14ac:dyDescent="0.25">
      <c r="T300" s="654" t="str">
        <f t="shared" ref="T300:T309" si="8">B35</f>
        <v>Management</v>
      </c>
      <c r="U300" s="655"/>
      <c r="V300" s="656">
        <f t="shared" ref="V300:V309" si="9">J35</f>
        <v>0.12</v>
      </c>
    </row>
    <row r="301" spans="20:22" x14ac:dyDescent="0.25">
      <c r="T301" s="657" t="str">
        <f t="shared" si="8"/>
        <v>Health &amp; Wellbeing</v>
      </c>
      <c r="U301" s="658"/>
      <c r="V301" s="659">
        <f t="shared" si="9"/>
        <v>0.15</v>
      </c>
    </row>
    <row r="302" spans="20:22" x14ac:dyDescent="0.25">
      <c r="T302" s="657" t="str">
        <f t="shared" si="8"/>
        <v>Energy</v>
      </c>
      <c r="U302" s="658"/>
      <c r="V302" s="659">
        <f t="shared" si="9"/>
        <v>0.19</v>
      </c>
    </row>
    <row r="303" spans="20:22" x14ac:dyDescent="0.25">
      <c r="T303" s="657" t="str">
        <f t="shared" si="8"/>
        <v>Transport</v>
      </c>
      <c r="U303" s="658"/>
      <c r="V303" s="659">
        <f t="shared" si="9"/>
        <v>0.1</v>
      </c>
    </row>
    <row r="304" spans="20:22" x14ac:dyDescent="0.25">
      <c r="T304" s="657" t="str">
        <f t="shared" si="8"/>
        <v>Water</v>
      </c>
      <c r="U304" s="658"/>
      <c r="V304" s="659">
        <f t="shared" si="9"/>
        <v>0.05</v>
      </c>
    </row>
    <row r="305" spans="20:22" x14ac:dyDescent="0.25">
      <c r="T305" s="657" t="str">
        <f t="shared" si="8"/>
        <v>Materials</v>
      </c>
      <c r="U305" s="658"/>
      <c r="V305" s="659">
        <f t="shared" si="9"/>
        <v>0.13500000000000001</v>
      </c>
    </row>
    <row r="306" spans="20:22" x14ac:dyDescent="0.25">
      <c r="T306" s="657" t="str">
        <f t="shared" si="8"/>
        <v>Waste</v>
      </c>
      <c r="U306" s="658"/>
      <c r="V306" s="659">
        <f t="shared" si="9"/>
        <v>7.4999999999999997E-2</v>
      </c>
    </row>
    <row r="307" spans="20:22" x14ac:dyDescent="0.25">
      <c r="T307" s="657" t="str">
        <f t="shared" si="8"/>
        <v>Land Use &amp; Ecology</v>
      </c>
      <c r="U307" s="658"/>
      <c r="V307" s="659">
        <f t="shared" si="9"/>
        <v>0.1</v>
      </c>
    </row>
    <row r="308" spans="20:22" x14ac:dyDescent="0.25">
      <c r="T308" s="657" t="str">
        <f t="shared" si="8"/>
        <v>Pollution</v>
      </c>
      <c r="U308" s="658"/>
      <c r="V308" s="659">
        <f t="shared" si="9"/>
        <v>0.08</v>
      </c>
    </row>
    <row r="309" spans="20:22" ht="15.75" thickBot="1" x14ac:dyDescent="0.3">
      <c r="T309" s="660" t="str">
        <f t="shared" si="8"/>
        <v>Innovation</v>
      </c>
      <c r="U309" s="661"/>
      <c r="V309" s="662">
        <f t="shared" si="9"/>
        <v>0.1</v>
      </c>
    </row>
  </sheetData>
  <sheetProtection algorithmName="SHA-512" hashValue="Q8GOOZ+xNguude5EugXwwLd6NlsSPIHAmTmYIA1ETcT9aaTAcb4oFH+WLtVBhUhWmIWZ3xE3Km29QTA5yaDhkQ==" saltValue="0ckaZKPl4sTRu26Yj2witA==" spinCount="100000" sheet="1" objects="1" scenarios="1"/>
  <mergeCells count="20">
    <mergeCell ref="D33:E33"/>
    <mergeCell ref="F33:G33"/>
    <mergeCell ref="H33:I33"/>
    <mergeCell ref="Z10:AN12"/>
    <mergeCell ref="D9:E9"/>
    <mergeCell ref="F9:G9"/>
    <mergeCell ref="H9:I9"/>
    <mergeCell ref="K33:M33"/>
    <mergeCell ref="H8:I8"/>
    <mergeCell ref="H10:I10"/>
    <mergeCell ref="H11:I11"/>
    <mergeCell ref="H12:I12"/>
    <mergeCell ref="D8:E8"/>
    <mergeCell ref="D10:E10"/>
    <mergeCell ref="D11:E11"/>
    <mergeCell ref="D12:E12"/>
    <mergeCell ref="F8:G8"/>
    <mergeCell ref="F10:G10"/>
    <mergeCell ref="F11:G11"/>
    <mergeCell ref="F12:G12"/>
  </mergeCells>
  <conditionalFormatting sqref="K34">
    <cfRule type="expression" dxfId="399" priority="139">
      <formula>$D$9=$AA$36</formula>
    </cfRule>
  </conditionalFormatting>
  <conditionalFormatting sqref="L34">
    <cfRule type="expression" dxfId="398" priority="140">
      <formula>$F$9=$AA$36</formula>
    </cfRule>
  </conditionalFormatting>
  <conditionalFormatting sqref="M34">
    <cfRule type="expression" dxfId="397" priority="141">
      <formula>$H$9=$AA$36</formula>
    </cfRule>
  </conditionalFormatting>
  <conditionalFormatting sqref="D10:E12">
    <cfRule type="expression" dxfId="396" priority="12">
      <formula>$D$9=$AA$36</formula>
    </cfRule>
  </conditionalFormatting>
  <conditionalFormatting sqref="F10:G12">
    <cfRule type="expression" dxfId="395" priority="11">
      <formula>$F$9=$AA$36</formula>
    </cfRule>
  </conditionalFormatting>
  <conditionalFormatting sqref="H10:I12">
    <cfRule type="expression" dxfId="394" priority="10">
      <formula>$H$9=$AA$36</formula>
    </cfRule>
  </conditionalFormatting>
  <conditionalFormatting sqref="D33:E34">
    <cfRule type="expression" dxfId="393" priority="9">
      <formula>$D$9=AD_no</formula>
    </cfRule>
  </conditionalFormatting>
  <conditionalFormatting sqref="F33:G34">
    <cfRule type="expression" dxfId="392" priority="8">
      <formula>$F$9=AD_no</formula>
    </cfRule>
  </conditionalFormatting>
  <conditionalFormatting sqref="H33:I34">
    <cfRule type="expression" dxfId="391" priority="7">
      <formula>$H$9=AD_no</formula>
    </cfRule>
  </conditionalFormatting>
  <conditionalFormatting sqref="D35:E45">
    <cfRule type="expression" dxfId="390" priority="6">
      <formula>$D$9=AD_no</formula>
    </cfRule>
  </conditionalFormatting>
  <conditionalFormatting sqref="F35:G45">
    <cfRule type="expression" dxfId="389" priority="5">
      <formula>$F$9=AD_no</formula>
    </cfRule>
  </conditionalFormatting>
  <conditionalFormatting sqref="K35:K47">
    <cfRule type="expression" dxfId="388" priority="4">
      <formula>$D$9=AD_no</formula>
    </cfRule>
  </conditionalFormatting>
  <conditionalFormatting sqref="L35:L47">
    <cfRule type="expression" dxfId="387" priority="3">
      <formula>$F$9=AD_no</formula>
    </cfRule>
  </conditionalFormatting>
  <conditionalFormatting sqref="H35:I45">
    <cfRule type="expression" dxfId="386" priority="2">
      <formula>$H$9=AD_no</formula>
    </cfRule>
  </conditionalFormatting>
  <conditionalFormatting sqref="M35:M47">
    <cfRule type="expression" dxfId="385" priority="1">
      <formula>$H$9=AD_no</formula>
    </cfRule>
  </conditionalFormatting>
  <dataValidations count="1">
    <dataValidation type="list" allowBlank="1" showInputMessage="1" showErrorMessage="1" sqref="D9 F9 H9" xr:uid="{00000000-0002-0000-0500-000000000000}">
      <formula1>$AA$35:$AA$36</formula1>
    </dataValidation>
  </dataValidations>
  <pageMargins left="0.51181102362204722" right="0.51181102362204722" top="0.35433070866141736" bottom="0.35433070866141736" header="0.31496062992125984" footer="0.31496062992125984"/>
  <pageSetup paperSize="9" scale="70" orientation="landscape" verticalDpi="598"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W259"/>
  <sheetViews>
    <sheetView topLeftCell="C1" zoomScaleNormal="100" zoomScalePageLayoutView="30" workbookViewId="0">
      <pane ySplit="8" topLeftCell="A9" activePane="bottomLeft" state="frozen"/>
      <selection pane="bottomLeft" activeCell="E18" sqref="E18"/>
    </sheetView>
  </sheetViews>
  <sheetFormatPr defaultColWidth="9.140625" defaultRowHeight="15" x14ac:dyDescent="0.25"/>
  <cols>
    <col min="1" max="2" width="2.28515625" style="520" hidden="1" customWidth="1"/>
    <col min="3" max="3" width="41.85546875" style="520" customWidth="1"/>
    <col min="4" max="4" width="9.140625" style="520" customWidth="1"/>
    <col min="5" max="5" width="7.42578125" style="520" customWidth="1"/>
    <col min="6" max="6" width="12" style="520" customWidth="1"/>
    <col min="7" max="7" width="20" style="520" customWidth="1"/>
    <col min="8" max="8" width="8.85546875" style="520" customWidth="1"/>
    <col min="9" max="9" width="5.140625" style="520" customWidth="1"/>
    <col min="10" max="10" width="37.7109375" style="520" customWidth="1"/>
    <col min="11" max="11" width="1.7109375" style="519" customWidth="1"/>
    <col min="12" max="12" width="7.28515625" style="520" customWidth="1"/>
    <col min="13" max="13" width="7.7109375" style="520" customWidth="1"/>
    <col min="14" max="14" width="4.85546875" style="520" customWidth="1"/>
    <col min="15" max="15" width="9.85546875" style="520" customWidth="1"/>
    <col min="16" max="16" width="25.5703125" style="520" customWidth="1"/>
    <col min="17" max="17" width="1.7109375" style="519" customWidth="1"/>
    <col min="18" max="18" width="7" style="520" customWidth="1"/>
    <col min="19" max="19" width="7.7109375" style="520" customWidth="1"/>
    <col min="20" max="20" width="4.85546875" style="520" customWidth="1"/>
    <col min="21" max="21" width="9" style="520" customWidth="1"/>
    <col min="22" max="22" width="28.85546875" style="520" customWidth="1"/>
    <col min="23" max="23" width="1.28515625" style="520" customWidth="1"/>
    <col min="24" max="24" width="21.140625" style="519" bestFit="1" customWidth="1"/>
    <col min="25" max="27" width="1.7109375" style="519" hidden="1" customWidth="1"/>
    <col min="28" max="28" width="6.42578125" style="519" hidden="1" customWidth="1"/>
    <col min="29" max="29" width="15.7109375" style="520" hidden="1" customWidth="1"/>
    <col min="30" max="31" width="9.140625" style="520" hidden="1" customWidth="1"/>
    <col min="32" max="35" width="9.140625" style="520" customWidth="1"/>
    <col min="36" max="36" width="11.85546875" style="520" customWidth="1"/>
    <col min="37" max="37" width="2" style="520" customWidth="1"/>
    <col min="38" max="77" width="9.140625" style="520" customWidth="1"/>
    <col min="78" max="16384" width="9.140625" style="520"/>
  </cols>
  <sheetData>
    <row r="1" spans="1:49" ht="42" customHeight="1" x14ac:dyDescent="0.25">
      <c r="A1" s="517"/>
      <c r="B1" s="517"/>
      <c r="C1" s="663" t="s">
        <v>325</v>
      </c>
      <c r="D1" s="663"/>
      <c r="E1" s="663"/>
      <c r="F1" s="663"/>
      <c r="G1" s="663"/>
      <c r="H1" s="663"/>
      <c r="I1" s="663"/>
      <c r="J1" s="664" t="s">
        <v>402</v>
      </c>
      <c r="K1" s="663"/>
      <c r="L1" s="663"/>
      <c r="M1" s="663"/>
      <c r="N1" s="663"/>
      <c r="O1" s="663"/>
      <c r="P1" s="663"/>
      <c r="Q1" s="663"/>
      <c r="R1" s="663"/>
      <c r="S1" s="663"/>
      <c r="T1" s="663"/>
      <c r="U1" s="663"/>
      <c r="V1" s="812" t="str">
        <f>IF('Manuell filtrering og justering'!H2='Manuell filtrering og justering'!I2,"Bespoke","")</f>
        <v/>
      </c>
      <c r="W1" s="812"/>
      <c r="X1" s="518"/>
      <c r="Y1" s="478"/>
      <c r="Z1" s="478"/>
      <c r="AA1" s="478"/>
    </row>
    <row r="2" spans="1:49" s="521" customFormat="1" ht="12.75" customHeight="1" x14ac:dyDescent="0.25">
      <c r="C2" s="437"/>
      <c r="D2" s="549">
        <v>4</v>
      </c>
      <c r="E2" s="549">
        <v>5</v>
      </c>
      <c r="F2" s="549">
        <v>6</v>
      </c>
      <c r="G2" s="549">
        <v>7</v>
      </c>
      <c r="H2" s="549">
        <v>8</v>
      </c>
      <c r="I2" s="549">
        <v>9</v>
      </c>
      <c r="J2" s="549">
        <v>10</v>
      </c>
      <c r="K2" s="549"/>
      <c r="L2" s="549">
        <v>12</v>
      </c>
      <c r="M2" s="549">
        <v>13</v>
      </c>
      <c r="N2" s="549">
        <v>14</v>
      </c>
      <c r="O2" s="549">
        <v>15</v>
      </c>
      <c r="P2" s="549">
        <v>16</v>
      </c>
      <c r="Q2" s="549"/>
      <c r="R2" s="549">
        <v>18</v>
      </c>
      <c r="S2" s="549">
        <v>19</v>
      </c>
      <c r="T2" s="549">
        <v>20</v>
      </c>
      <c r="U2" s="549">
        <v>21</v>
      </c>
      <c r="V2" s="549">
        <v>22</v>
      </c>
      <c r="W2" s="549"/>
      <c r="X2" s="329">
        <v>24</v>
      </c>
      <c r="Y2" s="329"/>
      <c r="Z2" s="329"/>
      <c r="AA2" s="329"/>
      <c r="AB2" s="522"/>
      <c r="AC2" s="329"/>
      <c r="AD2" s="523"/>
      <c r="AE2" s="523"/>
      <c r="AF2" s="523"/>
    </row>
    <row r="3" spans="1:49" ht="20.25" customHeight="1" x14ac:dyDescent="0.4">
      <c r="A3" s="103"/>
      <c r="B3" s="103"/>
      <c r="C3" s="438"/>
      <c r="D3" s="524"/>
      <c r="E3" s="492" t="s">
        <v>233</v>
      </c>
      <c r="F3" s="525"/>
      <c r="G3" s="525"/>
      <c r="H3" s="525"/>
      <c r="I3" s="526"/>
      <c r="J3" s="527"/>
      <c r="K3" s="528"/>
      <c r="L3" s="492" t="s">
        <v>238</v>
      </c>
      <c r="M3" s="525"/>
      <c r="N3" s="525"/>
      <c r="O3" s="525"/>
      <c r="P3" s="525"/>
      <c r="Q3" s="528"/>
      <c r="R3" s="492" t="s">
        <v>239</v>
      </c>
      <c r="S3" s="525"/>
      <c r="T3" s="525"/>
      <c r="U3" s="525"/>
      <c r="V3" s="529"/>
      <c r="W3" s="529"/>
      <c r="X3" s="871" t="s">
        <v>544</v>
      </c>
      <c r="Y3" s="530"/>
      <c r="Z3" s="530"/>
      <c r="AA3" s="530"/>
      <c r="AC3" s="531"/>
      <c r="AD3" s="531"/>
      <c r="AE3" s="531"/>
    </row>
    <row r="4" spans="1:49" s="534" customFormat="1" x14ac:dyDescent="0.25">
      <c r="A4" s="103"/>
      <c r="B4" s="103"/>
      <c r="C4" s="493" t="s">
        <v>501</v>
      </c>
      <c r="D4" s="532"/>
      <c r="E4" s="499" t="s">
        <v>356</v>
      </c>
      <c r="F4" s="500"/>
      <c r="G4" s="501"/>
      <c r="H4" s="502" t="str">
        <f>'Pre-Assessment Estimator'!H4</f>
        <v>Unclassified</v>
      </c>
      <c r="I4" s="503"/>
      <c r="J4" s="508" t="s">
        <v>331</v>
      </c>
      <c r="K4" s="533"/>
      <c r="L4" s="499" t="s">
        <v>356</v>
      </c>
      <c r="M4" s="500"/>
      <c r="N4" s="500"/>
      <c r="O4" s="501"/>
      <c r="P4" s="503" t="str">
        <f>'Pre-Assessment Estimator'!P4</f>
        <v>Unclassified</v>
      </c>
      <c r="Q4" s="533"/>
      <c r="R4" s="499" t="s">
        <v>356</v>
      </c>
      <c r="S4" s="500"/>
      <c r="T4" s="500"/>
      <c r="U4" s="501"/>
      <c r="V4" s="496" t="str">
        <f>'Pre-Assessment Estimator'!V4</f>
        <v>Unclassified</v>
      </c>
      <c r="W4" s="873"/>
      <c r="X4" s="876" t="str">
        <f>IF('Pre-Assessment Estimator'!AF4=ais_yes,"Option 2: 50% of","")</f>
        <v/>
      </c>
      <c r="AB4" s="519"/>
      <c r="AC4" s="535"/>
      <c r="AD4" s="535"/>
      <c r="AE4" s="535"/>
      <c r="AF4" s="535"/>
      <c r="AO4" s="536"/>
    </row>
    <row r="5" spans="1:49" s="534" customFormat="1" x14ac:dyDescent="0.25">
      <c r="A5" s="103"/>
      <c r="B5" s="103"/>
      <c r="C5" s="495" t="str">
        <f>'Pre-Assessment Estimator'!C5</f>
        <v/>
      </c>
      <c r="D5" s="532"/>
      <c r="E5" s="499" t="s">
        <v>89</v>
      </c>
      <c r="F5" s="500"/>
      <c r="G5" s="501"/>
      <c r="H5" s="504">
        <f>'Pre-Assessment Estimator'!H5</f>
        <v>0</v>
      </c>
      <c r="I5" s="505"/>
      <c r="J5" s="508" t="s">
        <v>332</v>
      </c>
      <c r="K5" s="533"/>
      <c r="L5" s="499" t="s">
        <v>89</v>
      </c>
      <c r="M5" s="500"/>
      <c r="N5" s="500"/>
      <c r="O5" s="501"/>
      <c r="P5" s="509">
        <f>'Pre-Assessment Estimator'!P5</f>
        <v>0</v>
      </c>
      <c r="Q5" s="533"/>
      <c r="R5" s="499" t="s">
        <v>89</v>
      </c>
      <c r="S5" s="500"/>
      <c r="T5" s="500"/>
      <c r="U5" s="501"/>
      <c r="V5" s="497">
        <f>'Pre-Assessment Estimator'!V5</f>
        <v>0</v>
      </c>
      <c r="W5" s="874"/>
      <c r="X5" s="876" t="str">
        <f>IF('Pre-Assessment Estimator'!AF4=ais_yes,"achieved credit is","")</f>
        <v/>
      </c>
      <c r="AB5" s="519"/>
      <c r="AC5" s="537"/>
      <c r="AD5" s="537"/>
      <c r="AE5" s="537"/>
      <c r="AF5" s="537"/>
    </row>
    <row r="6" spans="1:49" s="534" customFormat="1" x14ac:dyDescent="0.25">
      <c r="A6" s="103"/>
      <c r="B6" s="103"/>
      <c r="C6" s="494" t="str">
        <f>'Pre-Assessment Estimator'!C6</f>
        <v>Pre-Assessment Estimator Version: 1.08</v>
      </c>
      <c r="D6" s="532"/>
      <c r="E6" s="499" t="s">
        <v>84</v>
      </c>
      <c r="F6" s="500"/>
      <c r="G6" s="501"/>
      <c r="H6" s="506" t="str">
        <f>BP_MinStandards</f>
        <v>Unclassified</v>
      </c>
      <c r="I6" s="507"/>
      <c r="J6" s="508" t="s">
        <v>333</v>
      </c>
      <c r="K6" s="533"/>
      <c r="L6" s="499" t="s">
        <v>84</v>
      </c>
      <c r="M6" s="500"/>
      <c r="N6" s="500"/>
      <c r="O6" s="501"/>
      <c r="P6" s="507" t="str">
        <f>'Pre-Assessment Estimator'!P6</f>
        <v>Unclassified</v>
      </c>
      <c r="Q6" s="533"/>
      <c r="R6" s="499" t="s">
        <v>84</v>
      </c>
      <c r="S6" s="500"/>
      <c r="T6" s="500"/>
      <c r="U6" s="501"/>
      <c r="V6" s="498" t="str">
        <f>'Pre-Assessment Estimator'!V6</f>
        <v>Unclassified</v>
      </c>
      <c r="W6" s="875"/>
      <c r="X6" s="877" t="str">
        <f>IF('Pre-Assessment Estimator'!AF4=ais_yes,"subtracted from score.","")</f>
        <v/>
      </c>
      <c r="AB6" s="519"/>
      <c r="AC6" s="537"/>
      <c r="AD6" s="537"/>
      <c r="AE6" s="537"/>
      <c r="AF6" s="537"/>
    </row>
    <row r="7" spans="1:49" s="534" customFormat="1" ht="15" customHeight="1" x14ac:dyDescent="0.25">
      <c r="C7" s="538" t="str">
        <f>'Pre-Assessment Estimator'!C7</f>
        <v/>
      </c>
      <c r="D7" s="539"/>
      <c r="E7" s="540"/>
      <c r="F7" s="539"/>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row>
    <row r="8" spans="1:49" ht="30.75" x14ac:dyDescent="0.3">
      <c r="A8" s="542" t="s">
        <v>235</v>
      </c>
      <c r="B8" s="542" t="s">
        <v>236</v>
      </c>
      <c r="C8" s="542" t="s">
        <v>232</v>
      </c>
      <c r="D8" s="725" t="s">
        <v>105</v>
      </c>
      <c r="E8" s="726" t="s">
        <v>46</v>
      </c>
      <c r="F8" s="727" t="s">
        <v>106</v>
      </c>
      <c r="G8" s="724" t="s">
        <v>53</v>
      </c>
      <c r="H8" s="728" t="s">
        <v>334</v>
      </c>
      <c r="I8" s="729" t="s">
        <v>279</v>
      </c>
      <c r="J8" s="730" t="s">
        <v>240</v>
      </c>
      <c r="K8" s="731"/>
      <c r="L8" s="732" t="s">
        <v>46</v>
      </c>
      <c r="M8" s="733" t="s">
        <v>334</v>
      </c>
      <c r="N8" s="733" t="s">
        <v>279</v>
      </c>
      <c r="O8" s="734" t="s">
        <v>278</v>
      </c>
      <c r="P8" s="735" t="s">
        <v>280</v>
      </c>
      <c r="Q8" s="736"/>
      <c r="R8" s="732" t="s">
        <v>46</v>
      </c>
      <c r="S8" s="733" t="s">
        <v>334</v>
      </c>
      <c r="T8" s="733" t="s">
        <v>279</v>
      </c>
      <c r="U8" s="734" t="s">
        <v>278</v>
      </c>
      <c r="V8" s="737" t="s">
        <v>280</v>
      </c>
      <c r="W8" s="878"/>
      <c r="X8" s="872" t="str">
        <f>IF('Pre-Assessment Estimator'!AF4=ais_yes,"Compliance?","")</f>
        <v/>
      </c>
      <c r="AC8" s="79" t="s">
        <v>275</v>
      </c>
      <c r="AD8" s="78" t="s">
        <v>276</v>
      </c>
      <c r="AE8" s="78" t="s">
        <v>277</v>
      </c>
      <c r="AS8" s="543"/>
      <c r="AW8" s="538"/>
    </row>
    <row r="9" spans="1:49" ht="18.75" customHeight="1" x14ac:dyDescent="0.25">
      <c r="A9" s="399">
        <v>1</v>
      </c>
      <c r="B9" s="399" t="s">
        <v>66</v>
      </c>
      <c r="C9" s="738" t="s">
        <v>66</v>
      </c>
      <c r="D9" s="739"/>
      <c r="E9" s="739"/>
      <c r="F9" s="739"/>
      <c r="G9" s="739"/>
      <c r="H9" s="740"/>
      <c r="I9" s="739"/>
      <c r="J9" s="740"/>
      <c r="K9" s="741"/>
      <c r="L9" s="739"/>
      <c r="M9" s="740"/>
      <c r="N9" s="739"/>
      <c r="O9" s="740"/>
      <c r="P9" s="740"/>
      <c r="Q9" s="742"/>
      <c r="R9" s="739"/>
      <c r="S9" s="740"/>
      <c r="T9" s="739"/>
      <c r="U9" s="740"/>
      <c r="V9" s="544"/>
      <c r="W9" s="879"/>
      <c r="X9" s="883"/>
      <c r="AB9" s="519">
        <f>IF(D2="",1,IF(D2=0,2,1))</f>
        <v>1</v>
      </c>
      <c r="AC9" s="331">
        <v>0</v>
      </c>
      <c r="AD9" s="331">
        <v>0</v>
      </c>
      <c r="AE9" s="331">
        <v>0</v>
      </c>
      <c r="AU9" s="545"/>
    </row>
    <row r="10" spans="1:49" x14ac:dyDescent="0.25">
      <c r="A10" s="399">
        <v>2</v>
      </c>
      <c r="B10" s="439" t="s">
        <v>66</v>
      </c>
      <c r="C10" s="743" t="str">
        <f>Man_01</f>
        <v>Man 01 Project brief and design</v>
      </c>
      <c r="D10" s="744">
        <f>VLOOKUP($A10,'Pre-Assessment Estimator'!$A$9:$V$100,D$2,FALSE)</f>
        <v>4</v>
      </c>
      <c r="E10" s="744">
        <f>VLOOKUP($A10,'Pre-Assessment Estimator'!$A$9:$V$100,E$2,FALSE)</f>
        <v>0</v>
      </c>
      <c r="F10" s="745">
        <f>VLOOKUP($A10,'Pre-Assessment Estimator'!$A$9:$V$100,F$2,FALSE)</f>
        <v>0</v>
      </c>
      <c r="G10" s="746" t="str">
        <f>VLOOKUP($A10,'Pre-Assessment Estimator'!$A$9:$V$100,G$2,FALSE)</f>
        <v>N/A</v>
      </c>
      <c r="H10" s="747" t="str">
        <f>IF(VLOOKUP($A10,'Pre-Assessment Estimator'!$A$9:$V$100,H$2,FALSE)=0,"",VLOOKUP($A10,'Pre-Assessment Estimator'!$A$9:$V$100,H$2,FALSE))</f>
        <v/>
      </c>
      <c r="I10" s="747" t="str">
        <f>IF(VLOOKUP($A10,'Pre-Assessment Estimator'!$A$9:$V$100,I$2,FALSE)=0,"",VLOOKUP($A10,'Pre-Assessment Estimator'!$A$9:$V$100,I$2,FALSE))</f>
        <v xml:space="preserve"> </v>
      </c>
      <c r="J10" s="748" t="str">
        <f>IF(VLOOKUP($A10,'Pre-Assessment Estimator'!$A$9:$V$100,J$2,FALSE)=0,"",VLOOKUP($A10,'Pre-Assessment Estimator'!$A$9:$V$100,J$2,FALSE))</f>
        <v/>
      </c>
      <c r="K10" s="749"/>
      <c r="L10" s="750" t="str">
        <f>IF(VLOOKUP($A10,'Pre-Assessment Estimator'!$A$9:$V$100,L$2,FALSE)=0,"",VLOOKUP($A10,'Pre-Assessment Estimator'!$A$9:$V$100,L$2,FALSE))</f>
        <v/>
      </c>
      <c r="M10" s="747" t="str">
        <f>IF(VLOOKUP($A10,'Pre-Assessment Estimator'!$A$9:$V$100,M$2,FALSE)=0,"",VLOOKUP($A10,'Pre-Assessment Estimator'!$A$9:$V$100,M$2,FALSE))</f>
        <v/>
      </c>
      <c r="N10" s="747" t="str">
        <f>IF(VLOOKUP($A10,'Pre-Assessment Estimator'!$A$9:$V$100,N$2,FALSE)=0,"",VLOOKUP($A10,'Pre-Assessment Estimator'!$A$9:$V$100,N$2,FALSE))</f>
        <v/>
      </c>
      <c r="O10" s="747" t="str">
        <f>IF(VLOOKUP($A10,'Pre-Assessment Estimator'!$A$9:$V$100,O$2,FALSE)=0,"",VLOOKUP($A10,'Pre-Assessment Estimator'!$A$9:$V$100,O$2,FALSE))</f>
        <v/>
      </c>
      <c r="P10" s="748" t="str">
        <f>IF(VLOOKUP($A10,'Pre-Assessment Estimator'!$A$9:$V$100,P$2,FALSE)=0,"",VLOOKUP($A10,'Pre-Assessment Estimator'!$A$9:$V$100,P$2,FALSE))</f>
        <v/>
      </c>
      <c r="Q10" s="751"/>
      <c r="R10" s="750" t="str">
        <f>IF(VLOOKUP($A10,'Pre-Assessment Estimator'!$A$9:$V$100,R$2,FALSE)=0,"",VLOOKUP($A10,'Pre-Assessment Estimator'!$A$9:$V$100,R$2,FALSE))</f>
        <v/>
      </c>
      <c r="S10" s="747" t="str">
        <f>IF(VLOOKUP($A10,'Pre-Assessment Estimator'!$A$9:$V$100,S$2,FALSE)=0,"",VLOOKUP($A10,'Pre-Assessment Estimator'!$A$9:$V$100,S$2,FALSE))</f>
        <v/>
      </c>
      <c r="T10" s="747" t="str">
        <f>IF(VLOOKUP($A10,'Pre-Assessment Estimator'!$A$9:$V$100,T$2,FALSE)=0,"",VLOOKUP($A10,'Pre-Assessment Estimator'!$A$9:$V$100,T$2,FALSE))</f>
        <v/>
      </c>
      <c r="U10" s="747" t="str">
        <f>IF(VLOOKUP($A10,'Pre-Assessment Estimator'!$A$9:$V$100,U$2,FALSE)=0,"",VLOOKUP($A10,'Pre-Assessment Estimator'!$A$9:$V$100,U$2,FALSE))</f>
        <v/>
      </c>
      <c r="V10" s="491" t="str">
        <f>IF(VLOOKUP($A10,'Pre-Assessment Estimator'!$A$9:$V$100,V$2,FALSE)=0,"",VLOOKUP($A10,'Pre-Assessment Estimator'!$A$9:$V$100,V$2,FALSE))</f>
        <v/>
      </c>
      <c r="W10" s="880"/>
      <c r="X10" s="747" t="str">
        <f>IF(VLOOKUP($A10,'Pre-Assessment Estimator'!$A$9:$X$100,X$2,FALSE)=0,"",VLOOKUP($A10,'Pre-Assessment Estimator'!$A$9:$X$100,X$2,FALSE))</f>
        <v>No</v>
      </c>
      <c r="AB10" s="519">
        <f t="shared" ref="AB10:AB72" si="0">IF(D10="",1,IF(D10=0,2,1))</f>
        <v>1</v>
      </c>
      <c r="AC10" s="103">
        <f>VLOOKUP(I10,'Assessment Details'!$L$45:$M$48,2,FALSE)</f>
        <v>4</v>
      </c>
      <c r="AD10" s="103" t="e">
        <f>VLOOKUP(N10,'Assessment Details'!$L$45:$M$48,2,FALSE)</f>
        <v>#N/A</v>
      </c>
      <c r="AE10" s="103" t="e">
        <f>VLOOKUP(T10,'Assessment Details'!$L$45:$M$48,2,FALSE)</f>
        <v>#N/A</v>
      </c>
    </row>
    <row r="11" spans="1:49" ht="30" x14ac:dyDescent="0.25">
      <c r="A11" s="399">
        <v>3</v>
      </c>
      <c r="B11" s="439" t="s">
        <v>66</v>
      </c>
      <c r="C11" s="743" t="str">
        <f>Man_02</f>
        <v>Man 02 Life cycle cost and service life planning</v>
      </c>
      <c r="D11" s="744">
        <f>VLOOKUP($A11,'Pre-Assessment Estimator'!$A$9:$V$100,D$2,FALSE)</f>
        <v>4</v>
      </c>
      <c r="E11" s="744">
        <f>VLOOKUP($A11,'Pre-Assessment Estimator'!$A$9:$V$100,E$2,FALSE)</f>
        <v>0</v>
      </c>
      <c r="F11" s="745">
        <f>VLOOKUP($A11,'Pre-Assessment Estimator'!$A$9:$V$100,F$2,FALSE)</f>
        <v>0</v>
      </c>
      <c r="G11" s="752" t="str">
        <f>VLOOKUP($A11,'Pre-Assessment Estimator'!$A$9:$V$100,G$2,FALSE)</f>
        <v>N/A</v>
      </c>
      <c r="H11" s="747" t="str">
        <f>IF(VLOOKUP($A11,'Pre-Assessment Estimator'!$A$9:$V$100,H$2,FALSE)=0,"",VLOOKUP($A11,'Pre-Assessment Estimator'!$A$9:$V$100,H$2,FALSE))</f>
        <v/>
      </c>
      <c r="I11" s="747" t="str">
        <f>IF(VLOOKUP($A11,'Pre-Assessment Estimator'!$A$9:$V$100,I$2,FALSE)=0,"",VLOOKUP($A11,'Pre-Assessment Estimator'!$A$9:$V$100,I$2,FALSE))</f>
        <v/>
      </c>
      <c r="J11" s="748" t="str">
        <f>IF(VLOOKUP($A11,'Pre-Assessment Estimator'!$A$9:$V$100,J$2,FALSE)=0,"",VLOOKUP($A11,'Pre-Assessment Estimator'!$A$9:$V$100,J$2,FALSE))</f>
        <v/>
      </c>
      <c r="K11" s="749"/>
      <c r="L11" s="750" t="str">
        <f>IF(VLOOKUP($A11,'Pre-Assessment Estimator'!$A$9:$V$100,L$2,FALSE)=0,"",VLOOKUP($A11,'Pre-Assessment Estimator'!$A$9:$V$100,L$2,FALSE))</f>
        <v/>
      </c>
      <c r="M11" s="747" t="str">
        <f>IF(VLOOKUP($A11,'Pre-Assessment Estimator'!$A$9:$V$100,M$2,FALSE)=0,"",VLOOKUP($A11,'Pre-Assessment Estimator'!$A$9:$V$100,M$2,FALSE))</f>
        <v/>
      </c>
      <c r="N11" s="747" t="str">
        <f>IF(VLOOKUP($A11,'Pre-Assessment Estimator'!$A$9:$V$100,N$2,FALSE)=0,"",VLOOKUP($A11,'Pre-Assessment Estimator'!$A$9:$V$100,N$2,FALSE))</f>
        <v/>
      </c>
      <c r="O11" s="747" t="str">
        <f>IF(VLOOKUP($A11,'Pre-Assessment Estimator'!$A$9:$V$100,O$2,FALSE)=0,"",VLOOKUP($A11,'Pre-Assessment Estimator'!$A$9:$V$100,O$2,FALSE))</f>
        <v/>
      </c>
      <c r="P11" s="748" t="str">
        <f>IF(VLOOKUP($A11,'Pre-Assessment Estimator'!$A$9:$V$100,P$2,FALSE)=0,"",VLOOKUP($A11,'Pre-Assessment Estimator'!$A$9:$V$100,P$2,FALSE))</f>
        <v/>
      </c>
      <c r="Q11" s="751"/>
      <c r="R11" s="750" t="str">
        <f>IF(VLOOKUP($A11,'Pre-Assessment Estimator'!$A$9:$V$100,R$2,FALSE)=0,"",VLOOKUP($A11,'Pre-Assessment Estimator'!$A$9:$V$100,R$2,FALSE))</f>
        <v/>
      </c>
      <c r="S11" s="747" t="str">
        <f>IF(VLOOKUP($A11,'Pre-Assessment Estimator'!$A$9:$V$100,S$2,FALSE)=0,"",VLOOKUP($A11,'Pre-Assessment Estimator'!$A$9:$V$100,S$2,FALSE))</f>
        <v/>
      </c>
      <c r="T11" s="747" t="str">
        <f>IF(VLOOKUP($A11,'Pre-Assessment Estimator'!$A$9:$V$100,T$2,FALSE)=0,"",VLOOKUP($A11,'Pre-Assessment Estimator'!$A$9:$V$100,T$2,FALSE))</f>
        <v/>
      </c>
      <c r="U11" s="747" t="str">
        <f>IF(VLOOKUP($A11,'Pre-Assessment Estimator'!$A$9:$V$100,U$2,FALSE)=0,"",VLOOKUP($A11,'Pre-Assessment Estimator'!$A$9:$V$100,U$2,FALSE))</f>
        <v/>
      </c>
      <c r="V11" s="491" t="str">
        <f>IF(VLOOKUP($A11,'Pre-Assessment Estimator'!$A$9:$V$100,V$2,FALSE)=0,"",VLOOKUP($A11,'Pre-Assessment Estimator'!$A$9:$V$100,V$2,FALSE))</f>
        <v/>
      </c>
      <c r="W11" s="880"/>
      <c r="X11" s="747" t="str">
        <f>IF(VLOOKUP($A11,'Pre-Assessment Estimator'!$A$9:$X$100,X$2,FALSE)=0,"",VLOOKUP($A11,'Pre-Assessment Estimator'!$A$9:$X$100,X$2,FALSE))</f>
        <v>No</v>
      </c>
      <c r="AB11" s="519">
        <f t="shared" si="0"/>
        <v>1</v>
      </c>
      <c r="AC11" s="103" t="e">
        <f>VLOOKUP(I11,'Assessment Details'!$L$45:$M$48,2,FALSE)</f>
        <v>#N/A</v>
      </c>
      <c r="AD11" s="103" t="e">
        <f>VLOOKUP(N11,'Assessment Details'!$L$45:$M$48,2,FALSE)</f>
        <v>#N/A</v>
      </c>
      <c r="AE11" s="103" t="e">
        <f>VLOOKUP(T11,'Assessment Details'!$L$45:$M$48,2,FALSE)</f>
        <v>#N/A</v>
      </c>
      <c r="AK11" s="546"/>
    </row>
    <row r="12" spans="1:49" x14ac:dyDescent="0.25">
      <c r="A12" s="399">
        <v>4</v>
      </c>
      <c r="B12" s="439" t="s">
        <v>66</v>
      </c>
      <c r="C12" s="743" t="str">
        <f>Man_03</f>
        <v>Man 03 Responsible construction practices</v>
      </c>
      <c r="D12" s="744">
        <f>VLOOKUP($A12,'Pre-Assessment Estimator'!$A$9:$V$100,D$2,FALSE)</f>
        <v>6</v>
      </c>
      <c r="E12" s="744">
        <f>VLOOKUP($A12,'Pre-Assessment Estimator'!$A$9:$V$100,E$2,FALSE)</f>
        <v>0</v>
      </c>
      <c r="F12" s="745">
        <f>VLOOKUP($A12,'Pre-Assessment Estimator'!$A$9:$V$100,F$2,FALSE)</f>
        <v>0</v>
      </c>
      <c r="G12" s="752" t="str">
        <f>VLOOKUP($A12,'Pre-Assessment Estimator'!$A$9:$V$100,G$2,FALSE)</f>
        <v>Very Good</v>
      </c>
      <c r="H12" s="747" t="str">
        <f>IF(VLOOKUP($A12,'Pre-Assessment Estimator'!$A$9:$V$100,H$2,FALSE)=0,"",VLOOKUP($A12,'Pre-Assessment Estimator'!$A$9:$V$100,H$2,FALSE))</f>
        <v/>
      </c>
      <c r="I12" s="747" t="str">
        <f>IF(VLOOKUP($A12,'Pre-Assessment Estimator'!$A$9:$V$100,I$2,FALSE)=0,"",VLOOKUP($A12,'Pre-Assessment Estimator'!$A$9:$V$100,I$2,FALSE))</f>
        <v/>
      </c>
      <c r="J12" s="748" t="str">
        <f>IF(VLOOKUP($A12,'Pre-Assessment Estimator'!$A$9:$V$100,J$2,FALSE)=0,"",VLOOKUP($A12,'Pre-Assessment Estimator'!$A$9:$V$100,J$2,FALSE))</f>
        <v/>
      </c>
      <c r="K12" s="749"/>
      <c r="L12" s="750" t="str">
        <f>IF(VLOOKUP($A12,'Pre-Assessment Estimator'!$A$9:$V$100,L$2,FALSE)=0,"",VLOOKUP($A12,'Pre-Assessment Estimator'!$A$9:$V$100,L$2,FALSE))</f>
        <v/>
      </c>
      <c r="M12" s="747" t="str">
        <f>IF(VLOOKUP($A12,'Pre-Assessment Estimator'!$A$9:$V$100,M$2,FALSE)=0,"",VLOOKUP($A12,'Pre-Assessment Estimator'!$A$9:$V$100,M$2,FALSE))</f>
        <v/>
      </c>
      <c r="N12" s="747" t="str">
        <f>IF(VLOOKUP($A12,'Pre-Assessment Estimator'!$A$9:$V$100,N$2,FALSE)=0,"",VLOOKUP($A12,'Pre-Assessment Estimator'!$A$9:$V$100,N$2,FALSE))</f>
        <v/>
      </c>
      <c r="O12" s="747" t="str">
        <f>IF(VLOOKUP($A12,'Pre-Assessment Estimator'!$A$9:$V$100,O$2,FALSE)=0,"",VLOOKUP($A12,'Pre-Assessment Estimator'!$A$9:$V$100,O$2,FALSE))</f>
        <v/>
      </c>
      <c r="P12" s="748" t="str">
        <f>IF(VLOOKUP($A12,'Pre-Assessment Estimator'!$A$9:$V$100,P$2,FALSE)=0,"",VLOOKUP($A12,'Pre-Assessment Estimator'!$A$9:$V$100,P$2,FALSE))</f>
        <v/>
      </c>
      <c r="Q12" s="751"/>
      <c r="R12" s="750" t="str">
        <f>IF(VLOOKUP($A12,'Pre-Assessment Estimator'!$A$9:$V$100,R$2,FALSE)=0,"",VLOOKUP($A12,'Pre-Assessment Estimator'!$A$9:$V$100,R$2,FALSE))</f>
        <v/>
      </c>
      <c r="S12" s="747" t="str">
        <f>IF(VLOOKUP($A12,'Pre-Assessment Estimator'!$A$9:$V$100,S$2,FALSE)=0,"",VLOOKUP($A12,'Pre-Assessment Estimator'!$A$9:$V$100,S$2,FALSE))</f>
        <v/>
      </c>
      <c r="T12" s="747" t="str">
        <f>IF(VLOOKUP($A12,'Pre-Assessment Estimator'!$A$9:$V$100,T$2,FALSE)=0,"",VLOOKUP($A12,'Pre-Assessment Estimator'!$A$9:$V$100,T$2,FALSE))</f>
        <v/>
      </c>
      <c r="U12" s="747" t="str">
        <f>IF(VLOOKUP($A12,'Pre-Assessment Estimator'!$A$9:$V$100,U$2,FALSE)=0,"",VLOOKUP($A12,'Pre-Assessment Estimator'!$A$9:$V$100,U$2,FALSE))</f>
        <v/>
      </c>
      <c r="V12" s="491" t="str">
        <f>IF(VLOOKUP($A12,'Pre-Assessment Estimator'!$A$9:$V$100,V$2,FALSE)=0,"",VLOOKUP($A12,'Pre-Assessment Estimator'!$A$9:$V$100,V$2,FALSE))</f>
        <v/>
      </c>
      <c r="W12" s="880"/>
      <c r="X12" s="747" t="str">
        <f>IF(VLOOKUP($A12,'Pre-Assessment Estimator'!$A$9:$X$100,X$2,FALSE)=0,"",VLOOKUP($A12,'Pre-Assessment Estimator'!$A$9:$X$100,X$2,FALSE))</f>
        <v>N/A</v>
      </c>
      <c r="AB12" s="519">
        <f t="shared" si="0"/>
        <v>1</v>
      </c>
      <c r="AC12" s="520" t="e">
        <f>VLOOKUP(I12,'Assessment Details'!$L$45:$M$48,2,FALSE)</f>
        <v>#N/A</v>
      </c>
      <c r="AD12" s="520" t="e">
        <f>VLOOKUP(N12,'Assessment Details'!$L$45:$M$48,2,FALSE)</f>
        <v>#N/A</v>
      </c>
      <c r="AE12" s="520" t="e">
        <f>VLOOKUP(T12,'Assessment Details'!$L$45:$M$48,2,FALSE)</f>
        <v>#N/A</v>
      </c>
      <c r="AK12" s="546"/>
    </row>
    <row r="13" spans="1:49" x14ac:dyDescent="0.25">
      <c r="A13" s="399">
        <v>5</v>
      </c>
      <c r="B13" s="439" t="s">
        <v>66</v>
      </c>
      <c r="C13" s="743" t="str">
        <f>Man_04</f>
        <v>Man 04 Commissioning and handover</v>
      </c>
      <c r="D13" s="744">
        <f>VLOOKUP($A13,'Pre-Assessment Estimator'!$A$9:$V$100,D$2,FALSE)</f>
        <v>3</v>
      </c>
      <c r="E13" s="744">
        <f>VLOOKUP($A13,'Pre-Assessment Estimator'!$A$9:$V$100,E$2,FALSE)</f>
        <v>0</v>
      </c>
      <c r="F13" s="745">
        <f>VLOOKUP($A13,'Pre-Assessment Estimator'!$A$9:$V$100,F$2,FALSE)</f>
        <v>0</v>
      </c>
      <c r="G13" s="752" t="str">
        <f>VLOOKUP($A13,'Pre-Assessment Estimator'!$A$9:$V$100,G$2,FALSE)</f>
        <v>Unclassified</v>
      </c>
      <c r="H13" s="747" t="str">
        <f>IF(VLOOKUP($A13,'Pre-Assessment Estimator'!$A$9:$V$100,H$2,FALSE)=0,"",VLOOKUP($A13,'Pre-Assessment Estimator'!$A$9:$V$100,H$2,FALSE))</f>
        <v/>
      </c>
      <c r="I13" s="747" t="str">
        <f>IF(VLOOKUP($A13,'Pre-Assessment Estimator'!$A$9:$V$100,I$2,FALSE)=0,"",VLOOKUP($A13,'Pre-Assessment Estimator'!$A$9:$V$100,I$2,FALSE))</f>
        <v/>
      </c>
      <c r="J13" s="748" t="str">
        <f>IF(VLOOKUP($A13,'Pre-Assessment Estimator'!$A$9:$V$100,J$2,FALSE)=0,"",VLOOKUP($A13,'Pre-Assessment Estimator'!$A$9:$V$100,J$2,FALSE))</f>
        <v/>
      </c>
      <c r="K13" s="749"/>
      <c r="L13" s="750" t="str">
        <f>IF(VLOOKUP($A13,'Pre-Assessment Estimator'!$A$9:$V$100,L$2,FALSE)=0,"",VLOOKUP($A13,'Pre-Assessment Estimator'!$A$9:$V$100,L$2,FALSE))</f>
        <v/>
      </c>
      <c r="M13" s="747" t="str">
        <f>IF(VLOOKUP($A13,'Pre-Assessment Estimator'!$A$9:$V$100,M$2,FALSE)=0,"",VLOOKUP($A13,'Pre-Assessment Estimator'!$A$9:$V$100,M$2,FALSE))</f>
        <v/>
      </c>
      <c r="N13" s="747" t="str">
        <f>IF(VLOOKUP($A13,'Pre-Assessment Estimator'!$A$9:$V$100,N$2,FALSE)=0,"",VLOOKUP($A13,'Pre-Assessment Estimator'!$A$9:$V$100,N$2,FALSE))</f>
        <v/>
      </c>
      <c r="O13" s="747" t="str">
        <f>IF(VLOOKUP($A13,'Pre-Assessment Estimator'!$A$9:$V$100,O$2,FALSE)=0,"",VLOOKUP($A13,'Pre-Assessment Estimator'!$A$9:$V$100,O$2,FALSE))</f>
        <v/>
      </c>
      <c r="P13" s="748" t="str">
        <f>IF(VLOOKUP($A13,'Pre-Assessment Estimator'!$A$9:$V$100,P$2,FALSE)=0,"",VLOOKUP($A13,'Pre-Assessment Estimator'!$A$9:$V$100,P$2,FALSE))</f>
        <v/>
      </c>
      <c r="Q13" s="751"/>
      <c r="R13" s="750" t="str">
        <f>IF(VLOOKUP($A13,'Pre-Assessment Estimator'!$A$9:$V$100,R$2,FALSE)=0,"",VLOOKUP($A13,'Pre-Assessment Estimator'!$A$9:$V$100,R$2,FALSE))</f>
        <v/>
      </c>
      <c r="S13" s="747" t="str">
        <f>IF(VLOOKUP($A13,'Pre-Assessment Estimator'!$A$9:$V$100,S$2,FALSE)=0,"",VLOOKUP($A13,'Pre-Assessment Estimator'!$A$9:$V$100,S$2,FALSE))</f>
        <v/>
      </c>
      <c r="T13" s="747" t="str">
        <f>IF(VLOOKUP($A13,'Pre-Assessment Estimator'!$A$9:$V$100,T$2,FALSE)=0,"",VLOOKUP($A13,'Pre-Assessment Estimator'!$A$9:$V$100,T$2,FALSE))</f>
        <v/>
      </c>
      <c r="U13" s="747" t="str">
        <f>IF(VLOOKUP($A13,'Pre-Assessment Estimator'!$A$9:$V$100,U$2,FALSE)=0,"",VLOOKUP($A13,'Pre-Assessment Estimator'!$A$9:$V$100,U$2,FALSE))</f>
        <v/>
      </c>
      <c r="V13" s="491" t="str">
        <f>IF(VLOOKUP($A13,'Pre-Assessment Estimator'!$A$9:$V$100,V$2,FALSE)=0,"",VLOOKUP($A13,'Pre-Assessment Estimator'!$A$9:$V$100,V$2,FALSE))</f>
        <v/>
      </c>
      <c r="W13" s="880"/>
      <c r="X13" s="747" t="str">
        <f>IF(VLOOKUP($A13,'Pre-Assessment Estimator'!$A$9:$X$100,X$2,FALSE)=0,"",VLOOKUP($A13,'Pre-Assessment Estimator'!$A$9:$X$100,X$2,FALSE))</f>
        <v>No</v>
      </c>
      <c r="AB13" s="519">
        <f t="shared" si="0"/>
        <v>1</v>
      </c>
      <c r="AC13" s="103" t="e">
        <f>VLOOKUP(I13,'Assessment Details'!$L$45:$M$48,2,FALSE)</f>
        <v>#N/A</v>
      </c>
      <c r="AD13" s="103" t="e">
        <f>VLOOKUP(N13,'Assessment Details'!$L$45:$M$48,2,FALSE)</f>
        <v>#N/A</v>
      </c>
      <c r="AE13" s="103" t="e">
        <f>VLOOKUP(T13,'Assessment Details'!$L$45:$M$48,2,FALSE)</f>
        <v>#N/A</v>
      </c>
      <c r="AK13" s="546"/>
      <c r="AM13" s="545"/>
    </row>
    <row r="14" spans="1:49" x14ac:dyDescent="0.25">
      <c r="A14" s="399">
        <v>6</v>
      </c>
      <c r="B14" s="439" t="s">
        <v>66</v>
      </c>
      <c r="C14" s="743" t="str">
        <f>Man_05</f>
        <v>Man 05 Aftercare</v>
      </c>
      <c r="D14" s="744">
        <f>VLOOKUP($A14,'Pre-Assessment Estimator'!$A$9:$V$100,D$2,FALSE)</f>
        <v>3</v>
      </c>
      <c r="E14" s="744">
        <f>VLOOKUP($A14,'Pre-Assessment Estimator'!$A$9:$V$100,E$2,FALSE)</f>
        <v>0</v>
      </c>
      <c r="F14" s="745">
        <f>VLOOKUP($A14,'Pre-Assessment Estimator'!$A$9:$V$100,F$2,FALSE)</f>
        <v>0</v>
      </c>
      <c r="G14" s="752" t="str">
        <f>VLOOKUP($A14,'Pre-Assessment Estimator'!$A$9:$V$100,G$2,FALSE)</f>
        <v>Very Good</v>
      </c>
      <c r="H14" s="747" t="str">
        <f>IF(VLOOKUP($A14,'Pre-Assessment Estimator'!$A$9:$V$100,H$2,FALSE)=0,"",VLOOKUP($A14,'Pre-Assessment Estimator'!$A$9:$V$100,H$2,FALSE))</f>
        <v/>
      </c>
      <c r="I14" s="747" t="str">
        <f>IF(VLOOKUP($A14,'Pre-Assessment Estimator'!$A$9:$V$100,I$2,FALSE)=0,"",VLOOKUP($A14,'Pre-Assessment Estimator'!$A$9:$V$100,I$2,FALSE))</f>
        <v/>
      </c>
      <c r="J14" s="748" t="str">
        <f>IF(VLOOKUP($A14,'Pre-Assessment Estimator'!$A$9:$V$100,J$2,FALSE)=0,"",VLOOKUP($A14,'Pre-Assessment Estimator'!$A$9:$V$100,J$2,FALSE))</f>
        <v/>
      </c>
      <c r="K14" s="749"/>
      <c r="L14" s="750" t="str">
        <f>IF(VLOOKUP($A14,'Pre-Assessment Estimator'!$A$9:$V$100,L$2,FALSE)=0,"",VLOOKUP($A14,'Pre-Assessment Estimator'!$A$9:$V$100,L$2,FALSE))</f>
        <v/>
      </c>
      <c r="M14" s="747" t="str">
        <f>IF(VLOOKUP($A14,'Pre-Assessment Estimator'!$A$9:$V$100,M$2,FALSE)=0,"",VLOOKUP($A14,'Pre-Assessment Estimator'!$A$9:$V$100,M$2,FALSE))</f>
        <v/>
      </c>
      <c r="N14" s="747" t="str">
        <f>IF(VLOOKUP($A14,'Pre-Assessment Estimator'!$A$9:$V$100,N$2,FALSE)=0,"",VLOOKUP($A14,'Pre-Assessment Estimator'!$A$9:$V$100,N$2,FALSE))</f>
        <v/>
      </c>
      <c r="O14" s="747" t="str">
        <f>IF(VLOOKUP($A14,'Pre-Assessment Estimator'!$A$9:$V$100,O$2,FALSE)=0,"",VLOOKUP($A14,'Pre-Assessment Estimator'!$A$9:$V$100,O$2,FALSE))</f>
        <v/>
      </c>
      <c r="P14" s="748" t="str">
        <f>IF(VLOOKUP($A14,'Pre-Assessment Estimator'!$A$9:$V$100,P$2,FALSE)=0,"",VLOOKUP($A14,'Pre-Assessment Estimator'!$A$9:$V$100,P$2,FALSE))</f>
        <v/>
      </c>
      <c r="Q14" s="751"/>
      <c r="R14" s="750" t="str">
        <f>IF(VLOOKUP($A14,'Pre-Assessment Estimator'!$A$9:$V$100,R$2,FALSE)=0,"",VLOOKUP($A14,'Pre-Assessment Estimator'!$A$9:$V$100,R$2,FALSE))</f>
        <v/>
      </c>
      <c r="S14" s="747" t="str">
        <f>IF(VLOOKUP($A14,'Pre-Assessment Estimator'!$A$9:$V$100,S$2,FALSE)=0,"",VLOOKUP($A14,'Pre-Assessment Estimator'!$A$9:$V$100,S$2,FALSE))</f>
        <v/>
      </c>
      <c r="T14" s="747" t="str">
        <f>IF(VLOOKUP($A14,'Pre-Assessment Estimator'!$A$9:$V$100,T$2,FALSE)=0,"",VLOOKUP($A14,'Pre-Assessment Estimator'!$A$9:$V$100,T$2,FALSE))</f>
        <v/>
      </c>
      <c r="U14" s="747" t="str">
        <f>IF(VLOOKUP($A14,'Pre-Assessment Estimator'!$A$9:$V$100,U$2,FALSE)=0,"",VLOOKUP($A14,'Pre-Assessment Estimator'!$A$9:$V$100,U$2,FALSE))</f>
        <v/>
      </c>
      <c r="V14" s="491" t="str">
        <f>IF(VLOOKUP($A14,'Pre-Assessment Estimator'!$A$9:$V$100,V$2,FALSE)=0,"",VLOOKUP($A14,'Pre-Assessment Estimator'!$A$9:$V$100,V$2,FALSE))</f>
        <v/>
      </c>
      <c r="W14" s="880"/>
      <c r="X14" s="747" t="str">
        <f>IF(VLOOKUP($A14,'Pre-Assessment Estimator'!$A$9:$X$100,X$2,FALSE)=0,"",VLOOKUP($A14,'Pre-Assessment Estimator'!$A$9:$X$100,X$2,FALSE))</f>
        <v>No</v>
      </c>
      <c r="AB14" s="519">
        <f t="shared" si="0"/>
        <v>1</v>
      </c>
      <c r="AC14" s="520" t="e">
        <f>VLOOKUP(I14,'Assessment Details'!$L$45:$M$48,2,FALSE)</f>
        <v>#N/A</v>
      </c>
      <c r="AD14" s="520" t="e">
        <f>VLOOKUP(N14,'Assessment Details'!$L$45:$M$48,2,FALSE)</f>
        <v>#N/A</v>
      </c>
      <c r="AE14" s="520" t="e">
        <f>VLOOKUP(T14,'Assessment Details'!$L$45:$M$48,2,FALSE)</f>
        <v>#N/A</v>
      </c>
      <c r="AF14" s="547"/>
      <c r="AK14" s="546"/>
    </row>
    <row r="15" spans="1:49" ht="15.75" thickBot="1" x14ac:dyDescent="0.3">
      <c r="A15" s="399">
        <v>7</v>
      </c>
      <c r="B15" s="439" t="s">
        <v>66</v>
      </c>
      <c r="C15" s="753" t="s">
        <v>107</v>
      </c>
      <c r="D15" s="754">
        <f>VLOOKUP($A15,'Pre-Assessment Estimator'!$A$9:$V$100,D$2,FALSE)</f>
        <v>20</v>
      </c>
      <c r="E15" s="754">
        <f>SUM(E10:E14)</f>
        <v>0</v>
      </c>
      <c r="F15" s="755">
        <f>VLOOKUP($A15,'Pre-Assessment Estimator'!$A$9:$V$100,F$2,FALSE)</f>
        <v>0</v>
      </c>
      <c r="G15" s="747"/>
      <c r="H15" s="747" t="str">
        <f>IF(VLOOKUP($A15,'Pre-Assessment Estimator'!$A$9:$V$100,H$2,FALSE)=0,"",VLOOKUP($A15,'Pre-Assessment Estimator'!$A$9:$V$100,H$2,FALSE))</f>
        <v/>
      </c>
      <c r="I15" s="744" t="str">
        <f>IF(VLOOKUP($A15,'Pre-Assessment Estimator'!$A$9:$V$100,I$2,FALSE)=0,"",VLOOKUP($A15,'Pre-Assessment Estimator'!$A$9:$V$100,I$2,FALSE))</f>
        <v/>
      </c>
      <c r="J15" s="748" t="str">
        <f>IF(VLOOKUP($A15,'Pre-Assessment Estimator'!$A$9:$V$100,J$2,FALSE)=0,"",VLOOKUP($A15,'Pre-Assessment Estimator'!$A$9:$V$100,J$2,FALSE))</f>
        <v/>
      </c>
      <c r="K15" s="749"/>
      <c r="L15" s="756" t="str">
        <f>IF(VLOOKUP($A15,'Pre-Assessment Estimator'!$A$9:$V$100,L$2,FALSE)=0,"",VLOOKUP($A15,'Pre-Assessment Estimator'!$A$9:$V$100,L$2,FALSE))</f>
        <v/>
      </c>
      <c r="M15" s="747" t="str">
        <f>IF(VLOOKUP($A15,'Pre-Assessment Estimator'!$A$9:$V$100,M$2,FALSE)=0,"",VLOOKUP($A15,'Pre-Assessment Estimator'!$A$9:$V$100,M$2,FALSE))</f>
        <v/>
      </c>
      <c r="N15" s="744" t="str">
        <f>IF(VLOOKUP($A15,'Pre-Assessment Estimator'!$A$9:$V$100,N$2,FALSE)=0,"",VLOOKUP($A15,'Pre-Assessment Estimator'!$A$9:$V$100,N$2,FALSE))</f>
        <v/>
      </c>
      <c r="O15" s="747" t="str">
        <f>IF(VLOOKUP($A15,'Pre-Assessment Estimator'!$A$9:$V$100,O$2,FALSE)=0,"",VLOOKUP($A15,'Pre-Assessment Estimator'!$A$9:$V$100,O$2,FALSE))</f>
        <v/>
      </c>
      <c r="P15" s="748" t="str">
        <f>IF(VLOOKUP($A15,'Pre-Assessment Estimator'!$A$9:$V$100,P$2,FALSE)=0,"",VLOOKUP($A15,'Pre-Assessment Estimator'!$A$9:$V$100,P$2,FALSE))</f>
        <v/>
      </c>
      <c r="Q15" s="751"/>
      <c r="R15" s="756" t="str">
        <f>IF(VLOOKUP($A15,'Pre-Assessment Estimator'!$A$9:$V$100,R$2,FALSE)=0,"",VLOOKUP($A15,'Pre-Assessment Estimator'!$A$9:$V$100,R$2,FALSE))</f>
        <v/>
      </c>
      <c r="S15" s="747" t="str">
        <f>IF(VLOOKUP($A15,'Pre-Assessment Estimator'!$A$9:$V$100,S$2,FALSE)=0,"",VLOOKUP($A15,'Pre-Assessment Estimator'!$A$9:$V$100,S$2,FALSE))</f>
        <v/>
      </c>
      <c r="T15" s="744" t="str">
        <f>IF(VLOOKUP($A15,'Pre-Assessment Estimator'!$A$9:$V$100,T$2,FALSE)=0,"",VLOOKUP($A15,'Pre-Assessment Estimator'!$A$9:$V$100,T$2,FALSE))</f>
        <v/>
      </c>
      <c r="U15" s="747" t="str">
        <f>IF(VLOOKUP($A15,'Pre-Assessment Estimator'!$A$9:$V$100,U$2,FALSE)=0,"",VLOOKUP($A15,'Pre-Assessment Estimator'!$A$9:$V$100,U$2,FALSE))</f>
        <v/>
      </c>
      <c r="V15" s="491" t="str">
        <f>IF(VLOOKUP($A15,'Pre-Assessment Estimator'!$A$9:$V$100,V$2,FALSE)=0,"",VLOOKUP($A15,'Pre-Assessment Estimator'!$A$9:$V$100,V$2,FALSE))</f>
        <v/>
      </c>
      <c r="W15" s="880"/>
      <c r="X15" s="747" t="str">
        <f>IF(VLOOKUP($A15,'Pre-Assessment Estimator'!$A$9:$X$100,X$2,FALSE)=0,"",VLOOKUP($A15,'Pre-Assessment Estimator'!$A$9:$X$100,X$2,FALSE))</f>
        <v/>
      </c>
      <c r="AB15" s="519">
        <f t="shared" si="0"/>
        <v>1</v>
      </c>
      <c r="AC15" s="333">
        <v>0</v>
      </c>
      <c r="AD15" s="333">
        <v>0</v>
      </c>
      <c r="AE15" s="333">
        <v>0</v>
      </c>
      <c r="AF15" s="547"/>
      <c r="AK15" s="546"/>
    </row>
    <row r="16" spans="1:49" x14ac:dyDescent="0.25">
      <c r="A16" s="399">
        <v>8</v>
      </c>
      <c r="B16" s="439" t="s">
        <v>66</v>
      </c>
      <c r="C16" s="757"/>
      <c r="D16" s="758"/>
      <c r="E16" s="758"/>
      <c r="F16" s="758"/>
      <c r="G16" s="758"/>
      <c r="H16" s="757"/>
      <c r="I16" s="758"/>
      <c r="J16" s="757"/>
      <c r="K16" s="749"/>
      <c r="L16" s="758"/>
      <c r="M16" s="757"/>
      <c r="N16" s="758"/>
      <c r="O16" s="757"/>
      <c r="P16" s="757"/>
      <c r="Q16" s="751"/>
      <c r="R16" s="758"/>
      <c r="S16" s="757"/>
      <c r="T16" s="758"/>
      <c r="U16" s="757"/>
      <c r="V16" s="440"/>
      <c r="W16" s="881"/>
      <c r="X16" s="757"/>
      <c r="Y16" s="522"/>
      <c r="Z16" s="522"/>
      <c r="AA16" s="522"/>
      <c r="AB16" s="519">
        <f t="shared" si="0"/>
        <v>1</v>
      </c>
      <c r="AC16" s="335">
        <v>0</v>
      </c>
      <c r="AD16" s="335">
        <v>0</v>
      </c>
      <c r="AE16" s="335">
        <v>0</v>
      </c>
      <c r="AK16" s="546"/>
      <c r="AM16" s="519"/>
      <c r="AO16" s="519"/>
    </row>
    <row r="17" spans="1:41" ht="18.75" x14ac:dyDescent="0.25">
      <c r="A17" s="399">
        <v>9</v>
      </c>
      <c r="B17" s="439" t="s">
        <v>69</v>
      </c>
      <c r="C17" s="759" t="s">
        <v>69</v>
      </c>
      <c r="D17" s="739"/>
      <c r="E17" s="739"/>
      <c r="F17" s="739"/>
      <c r="G17" s="739"/>
      <c r="H17" s="740" t="str">
        <f>IF(VLOOKUP($A17,'Pre-Assessment Estimator'!$A$9:$V$100,H$2,FALSE)=0,"",VLOOKUP($A17,'Pre-Assessment Estimator'!$A$9:$V$100,H$2,FALSE))</f>
        <v/>
      </c>
      <c r="I17" s="739" t="str">
        <f>IF(VLOOKUP($A17,'Pre-Assessment Estimator'!$A$9:$V$100,I$2,FALSE)=0,"",VLOOKUP($A17,'Pre-Assessment Estimator'!$A$9:$V$100,I$2,FALSE))</f>
        <v/>
      </c>
      <c r="J17" s="740" t="str">
        <f>IF(VLOOKUP($A17,'Pre-Assessment Estimator'!$A$9:$V$100,J$2,FALSE)=0,"",VLOOKUP($A17,'Pre-Assessment Estimator'!$A$9:$V$100,J$2,FALSE))</f>
        <v/>
      </c>
      <c r="K17" s="749"/>
      <c r="L17" s="739" t="str">
        <f>IF(VLOOKUP($A17,'Pre-Assessment Estimator'!$A$9:$V$100,L$2,FALSE)=0,"",VLOOKUP($A17,'Pre-Assessment Estimator'!$A$9:$V$100,L$2,FALSE))</f>
        <v/>
      </c>
      <c r="M17" s="740" t="str">
        <f>IF(VLOOKUP($A17,'Pre-Assessment Estimator'!$A$9:$V$100,M$2,FALSE)=0,"",VLOOKUP($A17,'Pre-Assessment Estimator'!$A$9:$V$100,M$2,FALSE))</f>
        <v/>
      </c>
      <c r="N17" s="739" t="str">
        <f>IF(VLOOKUP($A17,'Pre-Assessment Estimator'!$A$9:$V$100,N$2,FALSE)=0,"",VLOOKUP($A17,'Pre-Assessment Estimator'!$A$9:$V$100,N$2,FALSE))</f>
        <v/>
      </c>
      <c r="O17" s="740" t="str">
        <f>IF(VLOOKUP($A17,'Pre-Assessment Estimator'!$A$9:$V$100,O$2,FALSE)=0,"",VLOOKUP($A17,'Pre-Assessment Estimator'!$A$9:$V$100,O$2,FALSE))</f>
        <v/>
      </c>
      <c r="P17" s="740" t="str">
        <f>IF(VLOOKUP($A17,'Pre-Assessment Estimator'!$A$9:$V$100,P$2,FALSE)=0,"",VLOOKUP($A17,'Pre-Assessment Estimator'!$A$9:$V$100,P$2,FALSE))</f>
        <v/>
      </c>
      <c r="Q17" s="751"/>
      <c r="R17" s="739" t="str">
        <f>IF(VLOOKUP($A17,'Pre-Assessment Estimator'!$A$9:$V$100,R$2,FALSE)=0,"",VLOOKUP($A17,'Pre-Assessment Estimator'!$A$9:$V$100,R$2,FALSE))</f>
        <v/>
      </c>
      <c r="S17" s="740" t="str">
        <f>IF(VLOOKUP($A17,'Pre-Assessment Estimator'!$A$9:$V$100,S$2,FALSE)=0,"",VLOOKUP($A17,'Pre-Assessment Estimator'!$A$9:$V$100,S$2,FALSE))</f>
        <v/>
      </c>
      <c r="T17" s="739" t="str">
        <f>IF(VLOOKUP($A17,'Pre-Assessment Estimator'!$A$9:$V$100,T$2,FALSE)=0,"",VLOOKUP($A17,'Pre-Assessment Estimator'!$A$9:$V$100,T$2,FALSE))</f>
        <v/>
      </c>
      <c r="U17" s="740" t="str">
        <f>IF(VLOOKUP($A17,'Pre-Assessment Estimator'!$A$9:$V$100,U$2,FALSE)=0,"",VLOOKUP($A17,'Pre-Assessment Estimator'!$A$9:$V$100,U$2,FALSE))</f>
        <v/>
      </c>
      <c r="V17" s="544" t="str">
        <f>IF(VLOOKUP($A17,'Pre-Assessment Estimator'!$A$9:$V$100,V$2,FALSE)=0,"",VLOOKUP($A17,'Pre-Assessment Estimator'!$A$9:$V$100,V$2,FALSE))</f>
        <v/>
      </c>
      <c r="W17" s="879"/>
      <c r="X17" s="883"/>
      <c r="AB17" s="519">
        <f t="shared" si="0"/>
        <v>1</v>
      </c>
      <c r="AC17" s="331">
        <v>0</v>
      </c>
      <c r="AD17" s="331">
        <v>0</v>
      </c>
      <c r="AE17" s="331">
        <v>0</v>
      </c>
      <c r="AK17" s="546"/>
      <c r="AM17" s="519"/>
      <c r="AO17" s="519"/>
    </row>
    <row r="18" spans="1:41" x14ac:dyDescent="0.25">
      <c r="A18" s="399">
        <v>10</v>
      </c>
      <c r="B18" s="439" t="s">
        <v>69</v>
      </c>
      <c r="C18" s="743" t="str">
        <f>Hea_01</f>
        <v>Hea 01 Visual comfort</v>
      </c>
      <c r="D18" s="744">
        <f>VLOOKUP($A18,'Pre-Assessment Estimator'!$A$9:$V$100,D$2,FALSE)</f>
        <v>4</v>
      </c>
      <c r="E18" s="744">
        <f>VLOOKUP($A18,'Pre-Assessment Estimator'!$A$9:$V$100,E$2,FALSE)</f>
        <v>0</v>
      </c>
      <c r="F18" s="745">
        <f>VLOOKUP($A18,'Pre-Assessment Estimator'!$A$9:$V$100,F$2,FALSE)</f>
        <v>0</v>
      </c>
      <c r="G18" s="760" t="str">
        <f>VLOOKUP($A18,'Pre-Assessment Estimator'!$A$9:$V$100,G$2,FALSE)</f>
        <v>Unclassified</v>
      </c>
      <c r="H18" s="747" t="str">
        <f>IF(VLOOKUP($A18,'Pre-Assessment Estimator'!$A$9:$V$100,H$2,FALSE)=0,"",VLOOKUP($A18,'Pre-Assessment Estimator'!$A$9:$V$100,H$2,FALSE))</f>
        <v/>
      </c>
      <c r="I18" s="747" t="str">
        <f>IF(VLOOKUP($A18,'Pre-Assessment Estimator'!$A$9:$V$100,I$2,FALSE)=0,"",VLOOKUP($A18,'Pre-Assessment Estimator'!$A$9:$V$100,I$2,FALSE))</f>
        <v/>
      </c>
      <c r="J18" s="748" t="str">
        <f>IF(VLOOKUP($A18,'Pre-Assessment Estimator'!$A$9:$V$100,J$2,FALSE)=0,"",VLOOKUP($A18,'Pre-Assessment Estimator'!$A$9:$V$100,J$2,FALSE))</f>
        <v/>
      </c>
      <c r="K18" s="749"/>
      <c r="L18" s="750" t="str">
        <f>IF(VLOOKUP($A18,'Pre-Assessment Estimator'!$A$9:$V$100,L$2,FALSE)=0,"",VLOOKUP($A18,'Pre-Assessment Estimator'!$A$9:$V$100,L$2,FALSE))</f>
        <v/>
      </c>
      <c r="M18" s="747" t="str">
        <f>IF(VLOOKUP($A18,'Pre-Assessment Estimator'!$A$9:$V$100,M$2,FALSE)=0,"",VLOOKUP($A18,'Pre-Assessment Estimator'!$A$9:$V$100,M$2,FALSE))</f>
        <v/>
      </c>
      <c r="N18" s="747" t="str">
        <f>IF(VLOOKUP($A18,'Pre-Assessment Estimator'!$A$9:$V$100,N$2,FALSE)=0,"",VLOOKUP($A18,'Pre-Assessment Estimator'!$A$9:$V$100,N$2,FALSE))</f>
        <v xml:space="preserve"> </v>
      </c>
      <c r="O18" s="747" t="str">
        <f>IF(VLOOKUP($A18,'Pre-Assessment Estimator'!$A$9:$V$100,O$2,FALSE)=0,"",VLOOKUP($A18,'Pre-Assessment Estimator'!$A$9:$V$100,O$2,FALSE))</f>
        <v/>
      </c>
      <c r="P18" s="748" t="str">
        <f>IF(VLOOKUP($A18,'Pre-Assessment Estimator'!$A$9:$V$100,P$2,FALSE)=0,"",VLOOKUP($A18,'Pre-Assessment Estimator'!$A$9:$V$100,P$2,FALSE))</f>
        <v/>
      </c>
      <c r="Q18" s="751"/>
      <c r="R18" s="750" t="str">
        <f>IF(VLOOKUP($A18,'Pre-Assessment Estimator'!$A$9:$V$100,R$2,FALSE)=0,"",VLOOKUP($A18,'Pre-Assessment Estimator'!$A$9:$V$100,R$2,FALSE))</f>
        <v/>
      </c>
      <c r="S18" s="747" t="str">
        <f>IF(VLOOKUP($A18,'Pre-Assessment Estimator'!$A$9:$V$100,S$2,FALSE)=0,"",VLOOKUP($A18,'Pre-Assessment Estimator'!$A$9:$V$100,S$2,FALSE))</f>
        <v/>
      </c>
      <c r="T18" s="747" t="str">
        <f>IF(VLOOKUP($A18,'Pre-Assessment Estimator'!$A$9:$V$100,T$2,FALSE)=0,"",VLOOKUP($A18,'Pre-Assessment Estimator'!$A$9:$V$100,T$2,FALSE))</f>
        <v xml:space="preserve"> </v>
      </c>
      <c r="U18" s="747" t="str">
        <f>IF(VLOOKUP($A18,'Pre-Assessment Estimator'!$A$9:$V$100,U$2,FALSE)=0,"",VLOOKUP($A18,'Pre-Assessment Estimator'!$A$9:$V$100,U$2,FALSE))</f>
        <v/>
      </c>
      <c r="V18" s="491" t="str">
        <f>IF(VLOOKUP($A18,'Pre-Assessment Estimator'!$A$9:$V$100,V$2,FALSE)=0,"",VLOOKUP($A18,'Pre-Assessment Estimator'!$A$9:$V$100,V$2,FALSE))</f>
        <v/>
      </c>
      <c r="W18" s="880"/>
      <c r="X18" s="747" t="str">
        <f>IF(VLOOKUP($A18,'Pre-Assessment Estimator'!$A$9:$X$100,X$2,FALSE)=0,"",VLOOKUP($A18,'Pre-Assessment Estimator'!$A$9:$X$100,X$2,FALSE))</f>
        <v>No</v>
      </c>
      <c r="AB18" s="519">
        <f t="shared" si="0"/>
        <v>1</v>
      </c>
      <c r="AC18" s="103" t="e">
        <f>VLOOKUP(I18,'Assessment Details'!$L$45:$M$48,2,FALSE)</f>
        <v>#N/A</v>
      </c>
      <c r="AD18" s="103">
        <f>VLOOKUP(N18,'Assessment Details'!$L$45:$M$48,2,FALSE)</f>
        <v>4</v>
      </c>
      <c r="AE18" s="103">
        <f>VLOOKUP(T18,'Assessment Details'!$L$45:$M$48,2,FALSE)</f>
        <v>4</v>
      </c>
      <c r="AM18" s="519"/>
      <c r="AO18" s="519"/>
    </row>
    <row r="19" spans="1:41" x14ac:dyDescent="0.25">
      <c r="A19" s="399">
        <v>11</v>
      </c>
      <c r="B19" s="439" t="s">
        <v>69</v>
      </c>
      <c r="C19" s="743" t="str">
        <f>Hea01_Crit1</f>
        <v>Hea 01 Visual comfort - Criteria 1</v>
      </c>
      <c r="D19" s="744" t="str">
        <f>VLOOKUP($A19,'Pre-Assessment Estimator'!$A$9:$V$100,D$2,FALSE)</f>
        <v>Yes/No</v>
      </c>
      <c r="E19" s="744">
        <f>VLOOKUP($A19,'Pre-Assessment Estimator'!$A$9:$V$100,E$2,FALSE)</f>
        <v>0</v>
      </c>
      <c r="F19" s="745" t="str">
        <f>VLOOKUP($A19,'Pre-Assessment Estimator'!$A$9:$V$100,F$2,FALSE)</f>
        <v>-</v>
      </c>
      <c r="G19" s="760" t="str">
        <f>VLOOKUP($A19,'Pre-Assessment Estimator'!$A$9:$V$100,G$2,FALSE)</f>
        <v>Unclassified</v>
      </c>
      <c r="H19" s="747" t="str">
        <f>IF(VLOOKUP($A19,'Pre-Assessment Estimator'!$A$9:$V$100,H$2,FALSE)=0,"",VLOOKUP($A19,'Pre-Assessment Estimator'!$A$9:$V$100,H$2,FALSE))</f>
        <v/>
      </c>
      <c r="I19" s="747" t="str">
        <f>IF(VLOOKUP($A19,'Pre-Assessment Estimator'!$A$9:$V$100,I$2,FALSE)=0,"",VLOOKUP($A19,'Pre-Assessment Estimator'!$A$9:$V$100,I$2,FALSE))</f>
        <v/>
      </c>
      <c r="J19" s="748" t="str">
        <f>IF(VLOOKUP($A19,'Pre-Assessment Estimator'!$A$9:$V$100,J$2,FALSE)=0,"",VLOOKUP($A19,'Pre-Assessment Estimator'!$A$9:$V$100,J$2,FALSE))</f>
        <v/>
      </c>
      <c r="K19" s="749"/>
      <c r="L19" s="750" t="str">
        <f>IF(VLOOKUP($A19,'Pre-Assessment Estimator'!$A$9:$V$100,L$2,FALSE)=0,"",VLOOKUP($A19,'Pre-Assessment Estimator'!$A$9:$V$100,L$2,FALSE))</f>
        <v/>
      </c>
      <c r="M19" s="747" t="str">
        <f>IF(VLOOKUP($A19,'Pre-Assessment Estimator'!$A$9:$V$100,M$2,FALSE)=0,"",VLOOKUP($A19,'Pre-Assessment Estimator'!$A$9:$V$100,M$2,FALSE))</f>
        <v/>
      </c>
      <c r="N19" s="747" t="str">
        <f>IF(VLOOKUP($A19,'Pre-Assessment Estimator'!$A$9:$V$100,N$2,FALSE)=0,"",VLOOKUP($A19,'Pre-Assessment Estimator'!$A$9:$V$100,N$2,FALSE))</f>
        <v xml:space="preserve"> </v>
      </c>
      <c r="O19" s="747" t="str">
        <f>IF(VLOOKUP($A19,'Pre-Assessment Estimator'!$A$9:$V$100,O$2,FALSE)=0,"",VLOOKUP($A19,'Pre-Assessment Estimator'!$A$9:$V$100,O$2,FALSE))</f>
        <v/>
      </c>
      <c r="P19" s="748" t="str">
        <f>IF(VLOOKUP($A19,'Pre-Assessment Estimator'!$A$9:$V$100,P$2,FALSE)=0,"",VLOOKUP($A19,'Pre-Assessment Estimator'!$A$9:$V$100,P$2,FALSE))</f>
        <v/>
      </c>
      <c r="Q19" s="751"/>
      <c r="R19" s="750" t="str">
        <f>IF(VLOOKUP($A19,'Pre-Assessment Estimator'!$A$9:$V$100,R$2,FALSE)=0,"",VLOOKUP($A19,'Pre-Assessment Estimator'!$A$9:$V$100,R$2,FALSE))</f>
        <v/>
      </c>
      <c r="S19" s="747" t="str">
        <f>IF(VLOOKUP($A19,'Pre-Assessment Estimator'!$A$9:$V$100,S$2,FALSE)=0,"",VLOOKUP($A19,'Pre-Assessment Estimator'!$A$9:$V$100,S$2,FALSE))</f>
        <v/>
      </c>
      <c r="T19" s="747" t="str">
        <f>IF(VLOOKUP($A19,'Pre-Assessment Estimator'!$A$9:$V$100,T$2,FALSE)=0,"",VLOOKUP($A19,'Pre-Assessment Estimator'!$A$9:$V$100,T$2,FALSE))</f>
        <v/>
      </c>
      <c r="U19" s="747" t="str">
        <f>IF(VLOOKUP($A19,'Pre-Assessment Estimator'!$A$9:$V$100,U$2,FALSE)=0,"",VLOOKUP($A19,'Pre-Assessment Estimator'!$A$9:$V$100,U$2,FALSE))</f>
        <v/>
      </c>
      <c r="V19" s="491" t="str">
        <f>IF(VLOOKUP($A19,'Pre-Assessment Estimator'!$A$9:$V$100,V$2,FALSE)=0,"",VLOOKUP($A19,'Pre-Assessment Estimator'!$A$9:$V$100,V$2,FALSE))</f>
        <v/>
      </c>
      <c r="W19" s="880"/>
      <c r="X19" s="747" t="str">
        <f>IF(VLOOKUP($A19,'Pre-Assessment Estimator'!$A$9:$X$100,X$2,FALSE)=0,"",VLOOKUP($A19,'Pre-Assessment Estimator'!$A$9:$X$100,X$2,FALSE))</f>
        <v>N/A</v>
      </c>
      <c r="AB19" s="519">
        <f t="shared" si="0"/>
        <v>1</v>
      </c>
      <c r="AC19" s="103" t="e">
        <f>VLOOKUP(I19,'Assessment Details'!$L$45:$M$48,2,FALSE)</f>
        <v>#N/A</v>
      </c>
      <c r="AD19" s="103">
        <f>VLOOKUP(N19,'Assessment Details'!$L$45:$M$48,2,FALSE)</f>
        <v>4</v>
      </c>
      <c r="AE19" s="103" t="e">
        <f>VLOOKUP(T19,'Assessment Details'!$L$45:$M$48,2,FALSE)</f>
        <v>#N/A</v>
      </c>
      <c r="AM19" s="519"/>
      <c r="AO19" s="519"/>
    </row>
    <row r="20" spans="1:41" x14ac:dyDescent="0.25">
      <c r="A20" s="399">
        <v>12</v>
      </c>
      <c r="B20" s="439" t="s">
        <v>69</v>
      </c>
      <c r="C20" s="743" t="str">
        <f>Hea_02</f>
        <v>Hea 02 Indoor air quality</v>
      </c>
      <c r="D20" s="744">
        <f>VLOOKUP($A20,'Pre-Assessment Estimator'!$A$9:$V$100,D$2,FALSE)</f>
        <v>5</v>
      </c>
      <c r="E20" s="744">
        <f>VLOOKUP($A20,'Pre-Assessment Estimator'!$A$9:$V$100,E$2,FALSE)</f>
        <v>0</v>
      </c>
      <c r="F20" s="745">
        <f>VLOOKUP($A20,'Pre-Assessment Estimator'!$A$9:$V$100,F$2,FALSE)</f>
        <v>0</v>
      </c>
      <c r="G20" s="752" t="str">
        <f>VLOOKUP($A20,'Pre-Assessment Estimator'!$A$9:$V$100,G$2,FALSE)</f>
        <v>Good</v>
      </c>
      <c r="H20" s="747" t="str">
        <f>IF(VLOOKUP($A20,'Pre-Assessment Estimator'!$A$9:$V$100,H$2,FALSE)=0,"",VLOOKUP($A20,'Pre-Assessment Estimator'!$A$9:$V$100,H$2,FALSE))</f>
        <v/>
      </c>
      <c r="I20" s="747" t="str">
        <f>IF(VLOOKUP($A20,'Pre-Assessment Estimator'!$A$9:$V$100,I$2,FALSE)=0,"",VLOOKUP($A20,'Pre-Assessment Estimator'!$A$9:$V$100,I$2,FALSE))</f>
        <v/>
      </c>
      <c r="J20" s="748" t="str">
        <f>IF(VLOOKUP($A20,'Pre-Assessment Estimator'!$A$9:$V$100,J$2,FALSE)=0,"",VLOOKUP($A20,'Pre-Assessment Estimator'!$A$9:$V$100,J$2,FALSE))</f>
        <v/>
      </c>
      <c r="K20" s="749"/>
      <c r="L20" s="750" t="str">
        <f>IF(VLOOKUP($A20,'Pre-Assessment Estimator'!$A$9:$V$100,L$2,FALSE)=0,"",VLOOKUP($A20,'Pre-Assessment Estimator'!$A$9:$V$100,L$2,FALSE))</f>
        <v/>
      </c>
      <c r="M20" s="747" t="str">
        <f>IF(VLOOKUP($A20,'Pre-Assessment Estimator'!$A$9:$V$100,M$2,FALSE)=0,"",VLOOKUP($A20,'Pre-Assessment Estimator'!$A$9:$V$100,M$2,FALSE))</f>
        <v/>
      </c>
      <c r="N20" s="747" t="str">
        <f>IF(VLOOKUP($A20,'Pre-Assessment Estimator'!$A$9:$V$100,N$2,FALSE)=0,"",VLOOKUP($A20,'Pre-Assessment Estimator'!$A$9:$V$100,N$2,FALSE))</f>
        <v/>
      </c>
      <c r="O20" s="747" t="str">
        <f>IF(VLOOKUP($A20,'Pre-Assessment Estimator'!$A$9:$V$100,O$2,FALSE)=0,"",VLOOKUP($A20,'Pre-Assessment Estimator'!$A$9:$V$100,O$2,FALSE))</f>
        <v/>
      </c>
      <c r="P20" s="748" t="str">
        <f>IF(VLOOKUP($A20,'Pre-Assessment Estimator'!$A$9:$V$100,P$2,FALSE)=0,"",VLOOKUP($A20,'Pre-Assessment Estimator'!$A$9:$V$100,P$2,FALSE))</f>
        <v/>
      </c>
      <c r="Q20" s="751"/>
      <c r="R20" s="750" t="str">
        <f>IF(VLOOKUP($A20,'Pre-Assessment Estimator'!$A$9:$V$100,R$2,FALSE)=0,"",VLOOKUP($A20,'Pre-Assessment Estimator'!$A$9:$V$100,R$2,FALSE))</f>
        <v/>
      </c>
      <c r="S20" s="747" t="str">
        <f>IF(VLOOKUP($A20,'Pre-Assessment Estimator'!$A$9:$V$100,S$2,FALSE)=0,"",VLOOKUP($A20,'Pre-Assessment Estimator'!$A$9:$V$100,S$2,FALSE))</f>
        <v/>
      </c>
      <c r="T20" s="747" t="str">
        <f>IF(VLOOKUP($A20,'Pre-Assessment Estimator'!$A$9:$V$100,T$2,FALSE)=0,"",VLOOKUP($A20,'Pre-Assessment Estimator'!$A$9:$V$100,T$2,FALSE))</f>
        <v xml:space="preserve"> </v>
      </c>
      <c r="U20" s="747" t="str">
        <f>IF(VLOOKUP($A20,'Pre-Assessment Estimator'!$A$9:$V$100,U$2,FALSE)=0,"",VLOOKUP($A20,'Pre-Assessment Estimator'!$A$9:$V$100,U$2,FALSE))</f>
        <v/>
      </c>
      <c r="V20" s="491" t="str">
        <f>IF(VLOOKUP($A20,'Pre-Assessment Estimator'!$A$9:$V$100,V$2,FALSE)=0,"",VLOOKUP($A20,'Pre-Assessment Estimator'!$A$9:$V$100,V$2,FALSE))</f>
        <v/>
      </c>
      <c r="W20" s="880"/>
      <c r="X20" s="747" t="str">
        <f>IF(VLOOKUP($A20,'Pre-Assessment Estimator'!$A$9:$X$100,X$2,FALSE)=0,"",VLOOKUP($A20,'Pre-Assessment Estimator'!$A$9:$X$100,X$2,FALSE))</f>
        <v>O2: VOC (AC 8-9: -1,0 c)</v>
      </c>
      <c r="AB20" s="519">
        <f t="shared" si="0"/>
        <v>1</v>
      </c>
      <c r="AC20" s="103" t="e">
        <f>VLOOKUP(I20,'Assessment Details'!$L$45:$M$48,2,FALSE)</f>
        <v>#N/A</v>
      </c>
      <c r="AD20" s="103" t="e">
        <f>VLOOKUP(N20,'Assessment Details'!$L$45:$M$48,2,FALSE)</f>
        <v>#N/A</v>
      </c>
      <c r="AE20" s="103">
        <f>VLOOKUP(T20,'Assessment Details'!$L$45:$M$48,2,FALSE)</f>
        <v>4</v>
      </c>
      <c r="AM20" s="519"/>
      <c r="AN20" s="519"/>
      <c r="AO20" s="519"/>
    </row>
    <row r="21" spans="1:41" x14ac:dyDescent="0.25">
      <c r="A21" s="399">
        <v>13</v>
      </c>
      <c r="B21" s="439" t="s">
        <v>69</v>
      </c>
      <c r="C21" s="743" t="str">
        <f>Hea_03</f>
        <v>Hea 03 Thermal comfort</v>
      </c>
      <c r="D21" s="744">
        <f>VLOOKUP($A21,'Pre-Assessment Estimator'!$A$9:$V$100,D$2,FALSE)</f>
        <v>2</v>
      </c>
      <c r="E21" s="744">
        <f>VLOOKUP($A21,'Pre-Assessment Estimator'!$A$9:$V$100,E$2,FALSE)</f>
        <v>0</v>
      </c>
      <c r="F21" s="745">
        <f>VLOOKUP($A21,'Pre-Assessment Estimator'!$A$9:$V$100,F$2,FALSE)</f>
        <v>0</v>
      </c>
      <c r="G21" s="752" t="str">
        <f>VLOOKUP($A21,'Pre-Assessment Estimator'!$A$9:$V$100,G$2,FALSE)</f>
        <v>N/A</v>
      </c>
      <c r="H21" s="747" t="str">
        <f>IF(VLOOKUP($A21,'Pre-Assessment Estimator'!$A$9:$V$100,H$2,FALSE)=0,"",VLOOKUP($A21,'Pre-Assessment Estimator'!$A$9:$V$100,H$2,FALSE))</f>
        <v/>
      </c>
      <c r="I21" s="747" t="str">
        <f>IF(VLOOKUP($A21,'Pre-Assessment Estimator'!$A$9:$V$100,I$2,FALSE)=0,"",VLOOKUP($A21,'Pre-Assessment Estimator'!$A$9:$V$100,I$2,FALSE))</f>
        <v xml:space="preserve"> </v>
      </c>
      <c r="J21" s="748" t="str">
        <f>IF(VLOOKUP($A21,'Pre-Assessment Estimator'!$A$9:$V$100,J$2,FALSE)=0,"",VLOOKUP($A21,'Pre-Assessment Estimator'!$A$9:$V$100,J$2,FALSE))</f>
        <v/>
      </c>
      <c r="K21" s="749"/>
      <c r="L21" s="750" t="str">
        <f>IF(VLOOKUP($A21,'Pre-Assessment Estimator'!$A$9:$V$100,L$2,FALSE)=0,"",VLOOKUP($A21,'Pre-Assessment Estimator'!$A$9:$V$100,L$2,FALSE))</f>
        <v/>
      </c>
      <c r="M21" s="747" t="str">
        <f>IF(VLOOKUP($A21,'Pre-Assessment Estimator'!$A$9:$V$100,M$2,FALSE)=0,"",VLOOKUP($A21,'Pre-Assessment Estimator'!$A$9:$V$100,M$2,FALSE))</f>
        <v/>
      </c>
      <c r="N21" s="747" t="str">
        <f>IF(VLOOKUP($A21,'Pre-Assessment Estimator'!$A$9:$V$100,N$2,FALSE)=0,"",VLOOKUP($A21,'Pre-Assessment Estimator'!$A$9:$V$100,N$2,FALSE))</f>
        <v/>
      </c>
      <c r="O21" s="747" t="str">
        <f>IF(VLOOKUP($A21,'Pre-Assessment Estimator'!$A$9:$V$100,O$2,FALSE)=0,"",VLOOKUP($A21,'Pre-Assessment Estimator'!$A$9:$V$100,O$2,FALSE))</f>
        <v/>
      </c>
      <c r="P21" s="748" t="str">
        <f>IF(VLOOKUP($A21,'Pre-Assessment Estimator'!$A$9:$V$100,P$2,FALSE)=0,"",VLOOKUP($A21,'Pre-Assessment Estimator'!$A$9:$V$100,P$2,FALSE))</f>
        <v/>
      </c>
      <c r="Q21" s="751"/>
      <c r="R21" s="750" t="str">
        <f>IF(VLOOKUP($A21,'Pre-Assessment Estimator'!$A$9:$V$100,R$2,FALSE)=0,"",VLOOKUP($A21,'Pre-Assessment Estimator'!$A$9:$V$100,R$2,FALSE))</f>
        <v/>
      </c>
      <c r="S21" s="747" t="str">
        <f>IF(VLOOKUP($A21,'Pre-Assessment Estimator'!$A$9:$V$100,S$2,FALSE)=0,"",VLOOKUP($A21,'Pre-Assessment Estimator'!$A$9:$V$100,S$2,FALSE))</f>
        <v/>
      </c>
      <c r="T21" s="747" t="str">
        <f>IF(VLOOKUP($A21,'Pre-Assessment Estimator'!$A$9:$V$100,T$2,FALSE)=0,"",VLOOKUP($A21,'Pre-Assessment Estimator'!$A$9:$V$100,T$2,FALSE))</f>
        <v/>
      </c>
      <c r="U21" s="747" t="str">
        <f>IF(VLOOKUP($A21,'Pre-Assessment Estimator'!$A$9:$V$100,U$2,FALSE)=0,"",VLOOKUP($A21,'Pre-Assessment Estimator'!$A$9:$V$100,U$2,FALSE))</f>
        <v/>
      </c>
      <c r="V21" s="491" t="str">
        <f>IF(VLOOKUP($A21,'Pre-Assessment Estimator'!$A$9:$V$100,V$2,FALSE)=0,"",VLOOKUP($A21,'Pre-Assessment Estimator'!$A$9:$V$100,V$2,FALSE))</f>
        <v/>
      </c>
      <c r="W21" s="880"/>
      <c r="X21" s="747" t="str">
        <f>IF(VLOOKUP($A21,'Pre-Assessment Estimator'!$A$9:$X$100,X$2,FALSE)=0,"",VLOOKUP($A21,'Pre-Assessment Estimator'!$A$9:$X$100,X$2,FALSE))</f>
        <v>No</v>
      </c>
      <c r="AB21" s="519">
        <f t="shared" si="0"/>
        <v>1</v>
      </c>
      <c r="AC21" s="103">
        <f>VLOOKUP(I21,'Assessment Details'!$L$45:$M$48,2,FALSE)</f>
        <v>4</v>
      </c>
      <c r="AD21" s="103" t="e">
        <f>VLOOKUP(N21,'Assessment Details'!$L$45:$M$48,2,FALSE)</f>
        <v>#N/A</v>
      </c>
      <c r="AE21" s="103" t="e">
        <f>VLOOKUP(T21,'Assessment Details'!$L$45:$M$48,2,FALSE)</f>
        <v>#N/A</v>
      </c>
      <c r="AM21" s="519"/>
      <c r="AN21" s="519"/>
      <c r="AO21" s="519"/>
    </row>
    <row r="22" spans="1:41" x14ac:dyDescent="0.25">
      <c r="A22" s="399">
        <v>14</v>
      </c>
      <c r="B22" s="439" t="s">
        <v>69</v>
      </c>
      <c r="C22" s="743" t="str">
        <f>Hea_04</f>
        <v>Hea 04 Microbial contamination</v>
      </c>
      <c r="D22" s="744">
        <f>VLOOKUP($A22,'Pre-Assessment Estimator'!$A$9:$V$100,D$2,FALSE)</f>
        <v>1</v>
      </c>
      <c r="E22" s="744">
        <f>VLOOKUP($A22,'Pre-Assessment Estimator'!$A$9:$V$100,E$2,FALSE)</f>
        <v>0</v>
      </c>
      <c r="F22" s="745">
        <f>VLOOKUP($A22,'Pre-Assessment Estimator'!$A$9:$V$100,F$2,FALSE)</f>
        <v>0</v>
      </c>
      <c r="G22" s="752" t="str">
        <f>VLOOKUP($A22,'Pre-Assessment Estimator'!$A$9:$V$100,G$2,FALSE)</f>
        <v>N/A</v>
      </c>
      <c r="H22" s="747" t="str">
        <f>IF(VLOOKUP($A22,'Pre-Assessment Estimator'!$A$9:$V$100,H$2,FALSE)=0,"",VLOOKUP($A22,'Pre-Assessment Estimator'!$A$9:$V$100,H$2,FALSE))</f>
        <v/>
      </c>
      <c r="I22" s="747" t="str">
        <f>IF(VLOOKUP($A22,'Pre-Assessment Estimator'!$A$9:$V$100,I$2,FALSE)=0,"",VLOOKUP($A22,'Pre-Assessment Estimator'!$A$9:$V$100,I$2,FALSE))</f>
        <v/>
      </c>
      <c r="J22" s="748" t="str">
        <f>IF(VLOOKUP($A22,'Pre-Assessment Estimator'!$A$9:$V$100,J$2,FALSE)=0,"",VLOOKUP($A22,'Pre-Assessment Estimator'!$A$9:$V$100,J$2,FALSE))</f>
        <v/>
      </c>
      <c r="K22" s="749"/>
      <c r="L22" s="750" t="str">
        <f>IF(VLOOKUP($A22,'Pre-Assessment Estimator'!$A$9:$V$100,L$2,FALSE)=0,"",VLOOKUP($A22,'Pre-Assessment Estimator'!$A$9:$V$100,L$2,FALSE))</f>
        <v/>
      </c>
      <c r="M22" s="747" t="str">
        <f>IF(VLOOKUP($A22,'Pre-Assessment Estimator'!$A$9:$V$100,M$2,FALSE)=0,"",VLOOKUP($A22,'Pre-Assessment Estimator'!$A$9:$V$100,M$2,FALSE))</f>
        <v/>
      </c>
      <c r="N22" s="747" t="str">
        <f>IF(VLOOKUP($A22,'Pre-Assessment Estimator'!$A$9:$V$100,N$2,FALSE)=0,"",VLOOKUP($A22,'Pre-Assessment Estimator'!$A$9:$V$100,N$2,FALSE))</f>
        <v/>
      </c>
      <c r="O22" s="747" t="str">
        <f>IF(VLOOKUP($A22,'Pre-Assessment Estimator'!$A$9:$V$100,O$2,FALSE)=0,"",VLOOKUP($A22,'Pre-Assessment Estimator'!$A$9:$V$100,O$2,FALSE))</f>
        <v/>
      </c>
      <c r="P22" s="748" t="str">
        <f>IF(VLOOKUP($A22,'Pre-Assessment Estimator'!$A$9:$V$100,P$2,FALSE)=0,"",VLOOKUP($A22,'Pre-Assessment Estimator'!$A$9:$V$100,P$2,FALSE))</f>
        <v/>
      </c>
      <c r="Q22" s="751"/>
      <c r="R22" s="750" t="str">
        <f>IF(VLOOKUP($A22,'Pre-Assessment Estimator'!$A$9:$V$100,R$2,FALSE)=0,"",VLOOKUP($A22,'Pre-Assessment Estimator'!$A$9:$V$100,R$2,FALSE))</f>
        <v/>
      </c>
      <c r="S22" s="747" t="str">
        <f>IF(VLOOKUP($A22,'Pre-Assessment Estimator'!$A$9:$V$100,S$2,FALSE)=0,"",VLOOKUP($A22,'Pre-Assessment Estimator'!$A$9:$V$100,S$2,FALSE))</f>
        <v/>
      </c>
      <c r="T22" s="747" t="str">
        <f>IF(VLOOKUP($A22,'Pre-Assessment Estimator'!$A$9:$V$100,T$2,FALSE)=0,"",VLOOKUP($A22,'Pre-Assessment Estimator'!$A$9:$V$100,T$2,FALSE))</f>
        <v/>
      </c>
      <c r="U22" s="747" t="str">
        <f>IF(VLOOKUP($A22,'Pre-Assessment Estimator'!$A$9:$V$100,U$2,FALSE)=0,"",VLOOKUP($A22,'Pre-Assessment Estimator'!$A$9:$V$100,U$2,FALSE))</f>
        <v/>
      </c>
      <c r="V22" s="491" t="str">
        <f>IF(VLOOKUP($A22,'Pre-Assessment Estimator'!$A$9:$V$100,V$2,FALSE)=0,"",VLOOKUP($A22,'Pre-Assessment Estimator'!$A$9:$V$100,V$2,FALSE))</f>
        <v/>
      </c>
      <c r="W22" s="880"/>
      <c r="X22" s="747" t="str">
        <f>IF(VLOOKUP($A22,'Pre-Assessment Estimator'!$A$9:$X$100,X$2,FALSE)=0,"",VLOOKUP($A22,'Pre-Assessment Estimator'!$A$9:$X$100,X$2,FALSE))</f>
        <v>No</v>
      </c>
      <c r="AB22" s="519">
        <f t="shared" si="0"/>
        <v>1</v>
      </c>
      <c r="AC22" s="103" t="e">
        <f>VLOOKUP(I22,'Assessment Details'!$L$45:$M$48,2,FALSE)</f>
        <v>#N/A</v>
      </c>
      <c r="AD22" s="103" t="e">
        <f>VLOOKUP(N22,'Assessment Details'!$L$45:$M$48,2,FALSE)</f>
        <v>#N/A</v>
      </c>
      <c r="AE22" s="103" t="e">
        <f>VLOOKUP(T22,'Assessment Details'!$L$45:$M$48,2,FALSE)</f>
        <v>#N/A</v>
      </c>
      <c r="AM22" s="519"/>
      <c r="AN22" s="519"/>
      <c r="AO22" s="519"/>
    </row>
    <row r="23" spans="1:41" x14ac:dyDescent="0.25">
      <c r="A23" s="399">
        <v>15</v>
      </c>
      <c r="B23" s="439" t="s">
        <v>69</v>
      </c>
      <c r="C23" s="743" t="str">
        <f>Hea_05</f>
        <v>Hea 05 Acoustic performance</v>
      </c>
      <c r="D23" s="744">
        <f>VLOOKUP($A23,'Pre-Assessment Estimator'!$A$9:$V$100,D$2,FALSE)</f>
        <v>2</v>
      </c>
      <c r="E23" s="744">
        <f>VLOOKUP($A23,'Pre-Assessment Estimator'!$A$9:$V$100,E$2,FALSE)</f>
        <v>0</v>
      </c>
      <c r="F23" s="745">
        <f>VLOOKUP($A23,'Pre-Assessment Estimator'!$A$9:$V$100,F$2,FALSE)</f>
        <v>0</v>
      </c>
      <c r="G23" s="752" t="str">
        <f>VLOOKUP($A23,'Pre-Assessment Estimator'!$A$9:$V$100,G$2,FALSE)</f>
        <v>N/A</v>
      </c>
      <c r="H23" s="747" t="str">
        <f>IF(VLOOKUP($A23,'Pre-Assessment Estimator'!$A$9:$V$100,H$2,FALSE)=0,"",VLOOKUP($A23,'Pre-Assessment Estimator'!$A$9:$V$100,H$2,FALSE))</f>
        <v/>
      </c>
      <c r="I23" s="747" t="str">
        <f>IF(VLOOKUP($A23,'Pre-Assessment Estimator'!$A$9:$V$100,I$2,FALSE)=0,"",VLOOKUP($A23,'Pre-Assessment Estimator'!$A$9:$V$100,I$2,FALSE))</f>
        <v/>
      </c>
      <c r="J23" s="748" t="str">
        <f>IF(VLOOKUP($A23,'Pre-Assessment Estimator'!$A$9:$V$100,J$2,FALSE)=0,"",VLOOKUP($A23,'Pre-Assessment Estimator'!$A$9:$V$100,J$2,FALSE))</f>
        <v/>
      </c>
      <c r="K23" s="749"/>
      <c r="L23" s="750" t="str">
        <f>IF(VLOOKUP($A23,'Pre-Assessment Estimator'!$A$9:$V$100,L$2,FALSE)=0,"",VLOOKUP($A23,'Pre-Assessment Estimator'!$A$9:$V$100,L$2,FALSE))</f>
        <v/>
      </c>
      <c r="M23" s="747" t="str">
        <f>IF(VLOOKUP($A23,'Pre-Assessment Estimator'!$A$9:$V$100,M$2,FALSE)=0,"",VLOOKUP($A23,'Pre-Assessment Estimator'!$A$9:$V$100,M$2,FALSE))</f>
        <v/>
      </c>
      <c r="N23" s="747" t="str">
        <f>IF(VLOOKUP($A23,'Pre-Assessment Estimator'!$A$9:$V$100,N$2,FALSE)=0,"",VLOOKUP($A23,'Pre-Assessment Estimator'!$A$9:$V$100,N$2,FALSE))</f>
        <v/>
      </c>
      <c r="O23" s="747" t="str">
        <f>IF(VLOOKUP($A23,'Pre-Assessment Estimator'!$A$9:$V$100,O$2,FALSE)=0,"",VLOOKUP($A23,'Pre-Assessment Estimator'!$A$9:$V$100,O$2,FALSE))</f>
        <v/>
      </c>
      <c r="P23" s="748" t="str">
        <f>IF(VLOOKUP($A23,'Pre-Assessment Estimator'!$A$9:$V$100,P$2,FALSE)=0,"",VLOOKUP($A23,'Pre-Assessment Estimator'!$A$9:$V$100,P$2,FALSE))</f>
        <v/>
      </c>
      <c r="Q23" s="751"/>
      <c r="R23" s="750" t="str">
        <f>IF(VLOOKUP($A23,'Pre-Assessment Estimator'!$A$9:$V$100,R$2,FALSE)=0,"",VLOOKUP($A23,'Pre-Assessment Estimator'!$A$9:$V$100,R$2,FALSE))</f>
        <v/>
      </c>
      <c r="S23" s="747" t="str">
        <f>IF(VLOOKUP($A23,'Pre-Assessment Estimator'!$A$9:$V$100,S$2,FALSE)=0,"",VLOOKUP($A23,'Pre-Assessment Estimator'!$A$9:$V$100,S$2,FALSE))</f>
        <v/>
      </c>
      <c r="T23" s="747" t="str">
        <f>IF(VLOOKUP($A23,'Pre-Assessment Estimator'!$A$9:$V$100,T$2,FALSE)=0,"",VLOOKUP($A23,'Pre-Assessment Estimator'!$A$9:$V$100,T$2,FALSE))</f>
        <v/>
      </c>
      <c r="U23" s="747" t="str">
        <f>IF(VLOOKUP($A23,'Pre-Assessment Estimator'!$A$9:$V$100,U$2,FALSE)=0,"",VLOOKUP($A23,'Pre-Assessment Estimator'!$A$9:$V$100,U$2,FALSE))</f>
        <v/>
      </c>
      <c r="V23" s="491" t="str">
        <f>IF(VLOOKUP($A23,'Pre-Assessment Estimator'!$A$9:$V$100,V$2,FALSE)=0,"",VLOOKUP($A23,'Pre-Assessment Estimator'!$A$9:$V$100,V$2,FALSE))</f>
        <v/>
      </c>
      <c r="W23" s="880"/>
      <c r="X23" s="747" t="str">
        <f>IF(VLOOKUP($A23,'Pre-Assessment Estimator'!$A$9:$X$100,X$2,FALSE)=0,"",VLOOKUP($A23,'Pre-Assessment Estimator'!$A$9:$X$100,X$2,FALSE))</f>
        <v>No</v>
      </c>
      <c r="AB23" s="519">
        <f t="shared" si="0"/>
        <v>1</v>
      </c>
      <c r="AC23" s="103" t="e">
        <f>VLOOKUP(I23,'Assessment Details'!$L$45:$M$48,2,FALSE)</f>
        <v>#N/A</v>
      </c>
      <c r="AD23" s="103" t="e">
        <f>VLOOKUP(N23,'Assessment Details'!$L$45:$M$48,2,FALSE)</f>
        <v>#N/A</v>
      </c>
      <c r="AE23" s="103" t="e">
        <f>VLOOKUP(T23,'Assessment Details'!$L$45:$M$48,2,FALSE)</f>
        <v>#N/A</v>
      </c>
      <c r="AM23" s="519"/>
      <c r="AN23" s="519"/>
      <c r="AO23" s="519"/>
    </row>
    <row r="24" spans="1:41" x14ac:dyDescent="0.25">
      <c r="A24" s="399">
        <v>16</v>
      </c>
      <c r="B24" s="439" t="s">
        <v>69</v>
      </c>
      <c r="C24" s="743" t="str">
        <f>Hea_06</f>
        <v>Hea 06 Safe access</v>
      </c>
      <c r="D24" s="744">
        <f>VLOOKUP($A24,'Pre-Assessment Estimator'!$A$9:$V$100,D$2,FALSE)</f>
        <v>2</v>
      </c>
      <c r="E24" s="744">
        <f>VLOOKUP($A24,'Pre-Assessment Estimator'!$A$9:$V$100,E$2,FALSE)</f>
        <v>0</v>
      </c>
      <c r="F24" s="745">
        <f>VLOOKUP($A24,'Pre-Assessment Estimator'!$A$9:$V$100,F$2,FALSE)</f>
        <v>0</v>
      </c>
      <c r="G24" s="752" t="str">
        <f>VLOOKUP($A24,'Pre-Assessment Estimator'!$A$9:$V$100,G$2,FALSE)</f>
        <v>N/A</v>
      </c>
      <c r="H24" s="747" t="str">
        <f>IF(VLOOKUP($A24,'Pre-Assessment Estimator'!$A$9:$V$100,H$2,FALSE)=0,"",VLOOKUP($A24,'Pre-Assessment Estimator'!$A$9:$V$100,H$2,FALSE))</f>
        <v/>
      </c>
      <c r="I24" s="747" t="str">
        <f>IF(VLOOKUP($A24,'Pre-Assessment Estimator'!$A$9:$V$100,I$2,FALSE)=0,"",VLOOKUP($A24,'Pre-Assessment Estimator'!$A$9:$V$100,I$2,FALSE))</f>
        <v/>
      </c>
      <c r="J24" s="748" t="str">
        <f>IF(VLOOKUP($A24,'Pre-Assessment Estimator'!$A$9:$V$100,J$2,FALSE)=0,"",VLOOKUP($A24,'Pre-Assessment Estimator'!$A$9:$V$100,J$2,FALSE))</f>
        <v/>
      </c>
      <c r="K24" s="749"/>
      <c r="L24" s="750" t="str">
        <f>IF(VLOOKUP($A24,'Pre-Assessment Estimator'!$A$9:$V$100,L$2,FALSE)=0,"",VLOOKUP($A24,'Pre-Assessment Estimator'!$A$9:$V$100,L$2,FALSE))</f>
        <v/>
      </c>
      <c r="M24" s="747" t="str">
        <f>IF(VLOOKUP($A24,'Pre-Assessment Estimator'!$A$9:$V$100,M$2,FALSE)=0,"",VLOOKUP($A24,'Pre-Assessment Estimator'!$A$9:$V$100,M$2,FALSE))</f>
        <v/>
      </c>
      <c r="N24" s="747" t="str">
        <f>IF(VLOOKUP($A24,'Pre-Assessment Estimator'!$A$9:$V$100,N$2,FALSE)=0,"",VLOOKUP($A24,'Pre-Assessment Estimator'!$A$9:$V$100,N$2,FALSE))</f>
        <v/>
      </c>
      <c r="O24" s="747" t="str">
        <f>IF(VLOOKUP($A24,'Pre-Assessment Estimator'!$A$9:$V$100,O$2,FALSE)=0,"",VLOOKUP($A24,'Pre-Assessment Estimator'!$A$9:$V$100,O$2,FALSE))</f>
        <v/>
      </c>
      <c r="P24" s="748" t="str">
        <f>IF(VLOOKUP($A24,'Pre-Assessment Estimator'!$A$9:$V$100,P$2,FALSE)=0,"",VLOOKUP($A24,'Pre-Assessment Estimator'!$A$9:$V$100,P$2,FALSE))</f>
        <v/>
      </c>
      <c r="Q24" s="751"/>
      <c r="R24" s="750" t="str">
        <f>IF(VLOOKUP($A24,'Pre-Assessment Estimator'!$A$9:$V$100,R$2,FALSE)=0,"",VLOOKUP($A24,'Pre-Assessment Estimator'!$A$9:$V$100,R$2,FALSE))</f>
        <v/>
      </c>
      <c r="S24" s="747" t="str">
        <f>IF(VLOOKUP($A24,'Pre-Assessment Estimator'!$A$9:$V$100,S$2,FALSE)=0,"",VLOOKUP($A24,'Pre-Assessment Estimator'!$A$9:$V$100,S$2,FALSE))</f>
        <v/>
      </c>
      <c r="T24" s="747" t="str">
        <f>IF(VLOOKUP($A24,'Pre-Assessment Estimator'!$A$9:$V$100,T$2,FALSE)=0,"",VLOOKUP($A24,'Pre-Assessment Estimator'!$A$9:$V$100,T$2,FALSE))</f>
        <v/>
      </c>
      <c r="U24" s="747" t="str">
        <f>IF(VLOOKUP($A24,'Pre-Assessment Estimator'!$A$9:$V$100,U$2,FALSE)=0,"",VLOOKUP($A24,'Pre-Assessment Estimator'!$A$9:$V$100,U$2,FALSE))</f>
        <v/>
      </c>
      <c r="V24" s="491" t="str">
        <f>IF(VLOOKUP($A24,'Pre-Assessment Estimator'!$A$9:$V$100,V$2,FALSE)=0,"",VLOOKUP($A24,'Pre-Assessment Estimator'!$A$9:$V$100,V$2,FALSE))</f>
        <v/>
      </c>
      <c r="W24" s="880"/>
      <c r="X24" s="747" t="str">
        <f>IF(VLOOKUP($A24,'Pre-Assessment Estimator'!$A$9:$X$100,X$2,FALSE)=0,"",VLOOKUP($A24,'Pre-Assessment Estimator'!$A$9:$X$100,X$2,FALSE))</f>
        <v>N/A</v>
      </c>
      <c r="AB24" s="519">
        <f t="shared" si="0"/>
        <v>1</v>
      </c>
      <c r="AC24" s="103" t="e">
        <f>VLOOKUP(I24,'Assessment Details'!$L$45:$M$48,2,FALSE)</f>
        <v>#N/A</v>
      </c>
      <c r="AD24" s="103" t="e">
        <f>VLOOKUP(N24,'Assessment Details'!$L$45:$M$48,2,FALSE)</f>
        <v>#N/A</v>
      </c>
      <c r="AE24" s="103" t="e">
        <f>VLOOKUP(T24,'Assessment Details'!$L$45:$M$48,2,FALSE)</f>
        <v>#N/A</v>
      </c>
    </row>
    <row r="25" spans="1:41" x14ac:dyDescent="0.25">
      <c r="A25" s="399">
        <v>17</v>
      </c>
      <c r="B25" s="439" t="s">
        <v>69</v>
      </c>
      <c r="C25" s="743" t="str">
        <f>Hea_07</f>
        <v>Hea 07 Natural Hazards</v>
      </c>
      <c r="D25" s="744">
        <f>VLOOKUP($A25,'Pre-Assessment Estimator'!$A$9:$V$100,D$2,FALSE)</f>
        <v>1</v>
      </c>
      <c r="E25" s="744">
        <f>VLOOKUP($A25,'Pre-Assessment Estimator'!$A$9:$V$100,E$2,FALSE)</f>
        <v>0</v>
      </c>
      <c r="F25" s="745">
        <f>VLOOKUP($A25,'Pre-Assessment Estimator'!$A$9:$V$100,F$2,FALSE)</f>
        <v>0</v>
      </c>
      <c r="G25" s="752" t="str">
        <f>VLOOKUP($A25,'Pre-Assessment Estimator'!$A$9:$V$100,G$2,FALSE)</f>
        <v>N/A</v>
      </c>
      <c r="H25" s="747" t="str">
        <f>IF(VLOOKUP($A25,'Pre-Assessment Estimator'!$A$9:$V$100,H$2,FALSE)=0,"",VLOOKUP($A25,'Pre-Assessment Estimator'!$A$9:$V$100,H$2,FALSE))</f>
        <v/>
      </c>
      <c r="I25" s="747" t="str">
        <f>IF(VLOOKUP($A25,'Pre-Assessment Estimator'!$A$9:$V$100,I$2,FALSE)=0,"",VLOOKUP($A25,'Pre-Assessment Estimator'!$A$9:$V$100,I$2,FALSE))</f>
        <v/>
      </c>
      <c r="J25" s="748" t="str">
        <f>IF(VLOOKUP($A25,'Pre-Assessment Estimator'!$A$9:$V$100,J$2,FALSE)=0,"",VLOOKUP($A25,'Pre-Assessment Estimator'!$A$9:$V$100,J$2,FALSE))</f>
        <v/>
      </c>
      <c r="K25" s="749"/>
      <c r="L25" s="750" t="str">
        <f>IF(VLOOKUP($A25,'Pre-Assessment Estimator'!$A$9:$V$100,L$2,FALSE)=0,"",VLOOKUP($A25,'Pre-Assessment Estimator'!$A$9:$V$100,L$2,FALSE))</f>
        <v/>
      </c>
      <c r="M25" s="747" t="str">
        <f>IF(VLOOKUP($A25,'Pre-Assessment Estimator'!$A$9:$V$100,M$2,FALSE)=0,"",VLOOKUP($A25,'Pre-Assessment Estimator'!$A$9:$V$100,M$2,FALSE))</f>
        <v/>
      </c>
      <c r="N25" s="747" t="str">
        <f>IF(VLOOKUP($A25,'Pre-Assessment Estimator'!$A$9:$V$100,N$2,FALSE)=0,"",VLOOKUP($A25,'Pre-Assessment Estimator'!$A$9:$V$100,N$2,FALSE))</f>
        <v/>
      </c>
      <c r="O25" s="747" t="str">
        <f>IF(VLOOKUP($A25,'Pre-Assessment Estimator'!$A$9:$V$100,O$2,FALSE)=0,"",VLOOKUP($A25,'Pre-Assessment Estimator'!$A$9:$V$100,O$2,FALSE))</f>
        <v/>
      </c>
      <c r="P25" s="748" t="str">
        <f>IF(VLOOKUP($A25,'Pre-Assessment Estimator'!$A$9:$V$100,P$2,FALSE)=0,"",VLOOKUP($A25,'Pre-Assessment Estimator'!$A$9:$V$100,P$2,FALSE))</f>
        <v/>
      </c>
      <c r="Q25" s="751"/>
      <c r="R25" s="750" t="str">
        <f>IF(VLOOKUP($A25,'Pre-Assessment Estimator'!$A$9:$V$100,R$2,FALSE)=0,"",VLOOKUP($A25,'Pre-Assessment Estimator'!$A$9:$V$100,R$2,FALSE))</f>
        <v/>
      </c>
      <c r="S25" s="747" t="str">
        <f>IF(VLOOKUP($A25,'Pre-Assessment Estimator'!$A$9:$V$100,S$2,FALSE)=0,"",VLOOKUP($A25,'Pre-Assessment Estimator'!$A$9:$V$100,S$2,FALSE))</f>
        <v/>
      </c>
      <c r="T25" s="747" t="str">
        <f>IF(VLOOKUP($A25,'Pre-Assessment Estimator'!$A$9:$V$100,T$2,FALSE)=0,"",VLOOKUP($A25,'Pre-Assessment Estimator'!$A$9:$V$100,T$2,FALSE))</f>
        <v/>
      </c>
      <c r="U25" s="747" t="str">
        <f>IF(VLOOKUP($A25,'Pre-Assessment Estimator'!$A$9:$V$100,U$2,FALSE)=0,"",VLOOKUP($A25,'Pre-Assessment Estimator'!$A$9:$V$100,U$2,FALSE))</f>
        <v/>
      </c>
      <c r="V25" s="491" t="str">
        <f>IF(VLOOKUP($A25,'Pre-Assessment Estimator'!$A$9:$V$100,V$2,FALSE)=0,"",VLOOKUP($A25,'Pre-Assessment Estimator'!$A$9:$V$100,V$2,FALSE))</f>
        <v/>
      </c>
      <c r="W25" s="880"/>
      <c r="X25" s="747" t="str">
        <f>IF(VLOOKUP($A25,'Pre-Assessment Estimator'!$A$9:$X$100,X$2,FALSE)=0,"",VLOOKUP($A25,'Pre-Assessment Estimator'!$A$9:$X$100,X$2,FALSE))</f>
        <v>N/A</v>
      </c>
      <c r="AB25" s="519">
        <f t="shared" si="0"/>
        <v>1</v>
      </c>
      <c r="AC25" s="103" t="e">
        <f>VLOOKUP(I25,'Assessment Details'!$L$45:$M$48,2,FALSE)</f>
        <v>#N/A</v>
      </c>
      <c r="AD25" s="103" t="e">
        <f>VLOOKUP(N25,'Assessment Details'!$L$45:$M$48,2,FALSE)</f>
        <v>#N/A</v>
      </c>
      <c r="AE25" s="103" t="e">
        <f>VLOOKUP(T25,'Assessment Details'!$L$45:$M$48,2,FALSE)</f>
        <v>#N/A</v>
      </c>
    </row>
    <row r="26" spans="1:41" x14ac:dyDescent="0.25">
      <c r="A26" s="399">
        <v>18</v>
      </c>
      <c r="B26" s="439" t="s">
        <v>69</v>
      </c>
      <c r="C26" s="743" t="str">
        <f>Hea_08</f>
        <v>Hea 08 Private space</v>
      </c>
      <c r="D26" s="744">
        <f>VLOOKUP($A26,'Pre-Assessment Estimator'!$A$9:$V$100,D$2,FALSE)</f>
        <v>0</v>
      </c>
      <c r="E26" s="744">
        <f>VLOOKUP($A26,'Pre-Assessment Estimator'!$A$9:$V$100,E$2,FALSE)</f>
        <v>0</v>
      </c>
      <c r="F26" s="745">
        <f>VLOOKUP($A26,'Pre-Assessment Estimator'!$A$9:$V$100,F$2,FALSE)</f>
        <v>0</v>
      </c>
      <c r="G26" s="746" t="str">
        <f>VLOOKUP($A26,'Pre-Assessment Estimator'!$A$9:$V$100,G$2,FALSE)</f>
        <v>N/A</v>
      </c>
      <c r="H26" s="747" t="str">
        <f>IF(VLOOKUP($A26,'Pre-Assessment Estimator'!$A$9:$V$100,H$2,FALSE)=0,"",VLOOKUP($A26,'Pre-Assessment Estimator'!$A$9:$V$100,H$2,FALSE))</f>
        <v/>
      </c>
      <c r="I26" s="747" t="str">
        <f>IF(VLOOKUP($A26,'Pre-Assessment Estimator'!$A$9:$V$100,I$2,FALSE)=0,"",VLOOKUP($A26,'Pre-Assessment Estimator'!$A$9:$V$100,I$2,FALSE))</f>
        <v/>
      </c>
      <c r="J26" s="748" t="str">
        <f>IF(VLOOKUP($A26,'Pre-Assessment Estimator'!$A$9:$V$100,J$2,FALSE)=0,"",VLOOKUP($A26,'Pre-Assessment Estimator'!$A$9:$V$100,J$2,FALSE))</f>
        <v/>
      </c>
      <c r="K26" s="749"/>
      <c r="L26" s="750" t="str">
        <f>IF(VLOOKUP($A26,'Pre-Assessment Estimator'!$A$9:$V$100,L$2,FALSE)=0,"",VLOOKUP($A26,'Pre-Assessment Estimator'!$A$9:$V$100,L$2,FALSE))</f>
        <v/>
      </c>
      <c r="M26" s="747" t="str">
        <f>IF(VLOOKUP($A26,'Pre-Assessment Estimator'!$A$9:$V$100,M$2,FALSE)=0,"",VLOOKUP($A26,'Pre-Assessment Estimator'!$A$9:$V$100,M$2,FALSE))</f>
        <v/>
      </c>
      <c r="N26" s="747" t="str">
        <f>IF(VLOOKUP($A26,'Pre-Assessment Estimator'!$A$9:$V$100,N$2,FALSE)=0,"",VLOOKUP($A26,'Pre-Assessment Estimator'!$A$9:$V$100,N$2,FALSE))</f>
        <v/>
      </c>
      <c r="O26" s="747" t="str">
        <f>IF(VLOOKUP($A26,'Pre-Assessment Estimator'!$A$9:$V$100,O$2,FALSE)=0,"",VLOOKUP($A26,'Pre-Assessment Estimator'!$A$9:$V$100,O$2,FALSE))</f>
        <v/>
      </c>
      <c r="P26" s="748" t="str">
        <f>IF(VLOOKUP($A26,'Pre-Assessment Estimator'!$A$9:$V$100,P$2,FALSE)=0,"",VLOOKUP($A26,'Pre-Assessment Estimator'!$A$9:$V$100,P$2,FALSE))</f>
        <v/>
      </c>
      <c r="Q26" s="751"/>
      <c r="R26" s="750" t="str">
        <f>IF(VLOOKUP($A26,'Pre-Assessment Estimator'!$A$9:$V$100,R$2,FALSE)=0,"",VLOOKUP($A26,'Pre-Assessment Estimator'!$A$9:$V$100,R$2,FALSE))</f>
        <v/>
      </c>
      <c r="S26" s="747" t="str">
        <f>IF(VLOOKUP($A26,'Pre-Assessment Estimator'!$A$9:$V$100,S$2,FALSE)=0,"",VLOOKUP($A26,'Pre-Assessment Estimator'!$A$9:$V$100,S$2,FALSE))</f>
        <v/>
      </c>
      <c r="T26" s="747" t="str">
        <f>IF(VLOOKUP($A26,'Pre-Assessment Estimator'!$A$9:$V$100,T$2,FALSE)=0,"",VLOOKUP($A26,'Pre-Assessment Estimator'!$A$9:$V$100,T$2,FALSE))</f>
        <v/>
      </c>
      <c r="U26" s="747" t="str">
        <f>IF(VLOOKUP($A26,'Pre-Assessment Estimator'!$A$9:$V$100,U$2,FALSE)=0,"",VLOOKUP($A26,'Pre-Assessment Estimator'!$A$9:$V$100,U$2,FALSE))</f>
        <v/>
      </c>
      <c r="V26" s="491" t="str">
        <f>IF(VLOOKUP($A26,'Pre-Assessment Estimator'!$A$9:$V$100,V$2,FALSE)=0,"",VLOOKUP($A26,'Pre-Assessment Estimator'!$A$9:$V$100,V$2,FALSE))</f>
        <v/>
      </c>
      <c r="W26" s="880"/>
      <c r="X26" s="747" t="str">
        <f>IF(VLOOKUP($A26,'Pre-Assessment Estimator'!$A$9:$X$100,X$2,FALSE)=0,"",VLOOKUP($A26,'Pre-Assessment Estimator'!$A$9:$X$100,X$2,FALSE))</f>
        <v>N/A</v>
      </c>
      <c r="AB26" s="519">
        <f t="shared" si="0"/>
        <v>2</v>
      </c>
      <c r="AC26" s="520" t="e">
        <f>VLOOKUP(I26,'Assessment Details'!$L$45:$M$48,2,FALSE)</f>
        <v>#N/A</v>
      </c>
      <c r="AD26" s="520" t="e">
        <f>VLOOKUP(N26,'Assessment Details'!$L$45:$M$48,2,FALSE)</f>
        <v>#N/A</v>
      </c>
      <c r="AE26" s="520" t="e">
        <f>VLOOKUP(T26,'Assessment Details'!$L$45:$M$48,2,FALSE)</f>
        <v>#N/A</v>
      </c>
    </row>
    <row r="27" spans="1:41" x14ac:dyDescent="0.25">
      <c r="A27" s="399">
        <v>19</v>
      </c>
      <c r="B27" s="439" t="s">
        <v>69</v>
      </c>
      <c r="C27" s="743" t="str">
        <f>Hea_09</f>
        <v>Hea 09 Moisture protection</v>
      </c>
      <c r="D27" s="744">
        <f>VLOOKUP($A27,'Pre-Assessment Estimator'!$A$9:$V$100,D$2,FALSE)</f>
        <v>3</v>
      </c>
      <c r="E27" s="744">
        <f>VLOOKUP($A27,'Pre-Assessment Estimator'!$A$9:$V$100,E$2,FALSE)</f>
        <v>0</v>
      </c>
      <c r="F27" s="745">
        <f>VLOOKUP($A27,'Pre-Assessment Estimator'!$A$9:$V$100,F$2,FALSE)</f>
        <v>0</v>
      </c>
      <c r="G27" s="752" t="str">
        <f>VLOOKUP($A27,'Pre-Assessment Estimator'!$A$9:$V$100,G$2,FALSE)</f>
        <v>Good</v>
      </c>
      <c r="H27" s="747" t="str">
        <f>IF(VLOOKUP($A27,'Pre-Assessment Estimator'!$A$9:$V$100,H$2,FALSE)=0,"",VLOOKUP($A27,'Pre-Assessment Estimator'!$A$9:$V$100,H$2,FALSE))</f>
        <v/>
      </c>
      <c r="I27" s="747" t="str">
        <f>IF(VLOOKUP($A27,'Pre-Assessment Estimator'!$A$9:$V$100,I$2,FALSE)=0,"",VLOOKUP($A27,'Pre-Assessment Estimator'!$A$9:$V$100,I$2,FALSE))</f>
        <v/>
      </c>
      <c r="J27" s="748" t="str">
        <f>IF(VLOOKUP($A27,'Pre-Assessment Estimator'!$A$9:$V$100,J$2,FALSE)=0,"",VLOOKUP($A27,'Pre-Assessment Estimator'!$A$9:$V$100,J$2,FALSE))</f>
        <v/>
      </c>
      <c r="K27" s="749"/>
      <c r="L27" s="750" t="str">
        <f>IF(VLOOKUP($A27,'Pre-Assessment Estimator'!$A$9:$V$100,L$2,FALSE)=0,"",VLOOKUP($A27,'Pre-Assessment Estimator'!$A$9:$V$100,L$2,FALSE))</f>
        <v/>
      </c>
      <c r="M27" s="747" t="str">
        <f>IF(VLOOKUP($A27,'Pre-Assessment Estimator'!$A$9:$V$100,M$2,FALSE)=0,"",VLOOKUP($A27,'Pre-Assessment Estimator'!$A$9:$V$100,M$2,FALSE))</f>
        <v/>
      </c>
      <c r="N27" s="747" t="str">
        <f>IF(VLOOKUP($A27,'Pre-Assessment Estimator'!$A$9:$V$100,N$2,FALSE)=0,"",VLOOKUP($A27,'Pre-Assessment Estimator'!$A$9:$V$100,N$2,FALSE))</f>
        <v/>
      </c>
      <c r="O27" s="747" t="str">
        <f>IF(VLOOKUP($A27,'Pre-Assessment Estimator'!$A$9:$V$100,O$2,FALSE)=0,"",VLOOKUP($A27,'Pre-Assessment Estimator'!$A$9:$V$100,O$2,FALSE))</f>
        <v/>
      </c>
      <c r="P27" s="748" t="str">
        <f>IF(VLOOKUP($A27,'Pre-Assessment Estimator'!$A$9:$V$100,P$2,FALSE)=0,"",VLOOKUP($A27,'Pre-Assessment Estimator'!$A$9:$V$100,P$2,FALSE))</f>
        <v/>
      </c>
      <c r="Q27" s="751"/>
      <c r="R27" s="750" t="str">
        <f>IF(VLOOKUP($A27,'Pre-Assessment Estimator'!$A$9:$V$100,R$2,FALSE)=0,"",VLOOKUP($A27,'Pre-Assessment Estimator'!$A$9:$V$100,R$2,FALSE))</f>
        <v/>
      </c>
      <c r="S27" s="747" t="str">
        <f>IF(VLOOKUP($A27,'Pre-Assessment Estimator'!$A$9:$V$100,S$2,FALSE)=0,"",VLOOKUP($A27,'Pre-Assessment Estimator'!$A$9:$V$100,S$2,FALSE))</f>
        <v/>
      </c>
      <c r="T27" s="747" t="str">
        <f>IF(VLOOKUP($A27,'Pre-Assessment Estimator'!$A$9:$V$100,T$2,FALSE)=0,"",VLOOKUP($A27,'Pre-Assessment Estimator'!$A$9:$V$100,T$2,FALSE))</f>
        <v/>
      </c>
      <c r="U27" s="747" t="str">
        <f>IF(VLOOKUP($A27,'Pre-Assessment Estimator'!$A$9:$V$100,U$2,FALSE)=0,"",VLOOKUP($A27,'Pre-Assessment Estimator'!$A$9:$V$100,U$2,FALSE))</f>
        <v/>
      </c>
      <c r="V27" s="491" t="str">
        <f>IF(VLOOKUP($A27,'Pre-Assessment Estimator'!$A$9:$V$100,V$2,FALSE)=0,"",VLOOKUP($A27,'Pre-Assessment Estimator'!$A$9:$V$100,V$2,FALSE))</f>
        <v/>
      </c>
      <c r="W27" s="880"/>
      <c r="X27" s="747" t="str">
        <f>IF(VLOOKUP($A27,'Pre-Assessment Estimator'!$A$9:$X$100,X$2,FALSE)=0,"",VLOOKUP($A27,'Pre-Assessment Estimator'!$A$9:$X$100,X$2,FALSE))</f>
        <v>N/A</v>
      </c>
      <c r="AB27" s="519">
        <f t="shared" si="0"/>
        <v>1</v>
      </c>
      <c r="AC27" s="103" t="e">
        <f>VLOOKUP(I27,'Assessment Details'!$L$45:$M$48,2,FALSE)</f>
        <v>#N/A</v>
      </c>
      <c r="AD27" s="103" t="e">
        <f>VLOOKUP(N27,'Assessment Details'!$L$45:$M$48,2,FALSE)</f>
        <v>#N/A</v>
      </c>
      <c r="AE27" s="103" t="e">
        <f>VLOOKUP(T27,'Assessment Details'!$L$45:$M$48,2,FALSE)</f>
        <v>#N/A</v>
      </c>
    </row>
    <row r="28" spans="1:41" ht="15.75" thickBot="1" x14ac:dyDescent="0.3">
      <c r="A28" s="399">
        <v>20</v>
      </c>
      <c r="B28" s="439" t="s">
        <v>69</v>
      </c>
      <c r="C28" s="753" t="s">
        <v>108</v>
      </c>
      <c r="D28" s="754">
        <f>VLOOKUP($A28,'Pre-Assessment Estimator'!$A$9:$V$100,D$2,FALSE)</f>
        <v>20</v>
      </c>
      <c r="E28" s="754">
        <f>SUM(E18:E27)</f>
        <v>0</v>
      </c>
      <c r="F28" s="755">
        <f>VLOOKUP($A28,'Pre-Assessment Estimator'!$A$9:$V$100,F$2,FALSE)</f>
        <v>0</v>
      </c>
      <c r="G28" s="747"/>
      <c r="H28" s="747" t="str">
        <f>IF(VLOOKUP($A28,'Pre-Assessment Estimator'!$A$9:$V$100,H$2,FALSE)=0,"",VLOOKUP($A28,'Pre-Assessment Estimator'!$A$9:$V$100,H$2,FALSE))</f>
        <v/>
      </c>
      <c r="I28" s="744" t="str">
        <f>IF(VLOOKUP($A28,'Pre-Assessment Estimator'!$A$9:$V$100,I$2,FALSE)=0,"",VLOOKUP($A28,'Pre-Assessment Estimator'!$A$9:$V$100,I$2,FALSE))</f>
        <v/>
      </c>
      <c r="J28" s="748" t="str">
        <f>IF(VLOOKUP($A28,'Pre-Assessment Estimator'!$A$9:$V$100,J$2,FALSE)=0,"",VLOOKUP($A28,'Pre-Assessment Estimator'!$A$9:$V$100,J$2,FALSE))</f>
        <v/>
      </c>
      <c r="K28" s="749"/>
      <c r="L28" s="756" t="str">
        <f>IF(VLOOKUP($A28,'Pre-Assessment Estimator'!$A$9:$V$100,L$2,FALSE)=0,"",VLOOKUP($A28,'Pre-Assessment Estimator'!$A$9:$V$100,L$2,FALSE))</f>
        <v/>
      </c>
      <c r="M28" s="747" t="str">
        <f>IF(VLOOKUP($A28,'Pre-Assessment Estimator'!$A$9:$V$100,M$2,FALSE)=0,"",VLOOKUP($A28,'Pre-Assessment Estimator'!$A$9:$V$100,M$2,FALSE))</f>
        <v/>
      </c>
      <c r="N28" s="744" t="str">
        <f>IF(VLOOKUP($A28,'Pre-Assessment Estimator'!$A$9:$V$100,N$2,FALSE)=0,"",VLOOKUP($A28,'Pre-Assessment Estimator'!$A$9:$V$100,N$2,FALSE))</f>
        <v/>
      </c>
      <c r="O28" s="747" t="str">
        <f>IF(VLOOKUP($A28,'Pre-Assessment Estimator'!$A$9:$V$100,O$2,FALSE)=0,"",VLOOKUP($A28,'Pre-Assessment Estimator'!$A$9:$V$100,O$2,FALSE))</f>
        <v/>
      </c>
      <c r="P28" s="748" t="str">
        <f>IF(VLOOKUP($A28,'Pre-Assessment Estimator'!$A$9:$V$100,P$2,FALSE)=0,"",VLOOKUP($A28,'Pre-Assessment Estimator'!$A$9:$V$100,P$2,FALSE))</f>
        <v/>
      </c>
      <c r="Q28" s="751"/>
      <c r="R28" s="756" t="str">
        <f>IF(VLOOKUP($A28,'Pre-Assessment Estimator'!$A$9:$V$100,R$2,FALSE)=0,"",VLOOKUP($A28,'Pre-Assessment Estimator'!$A$9:$V$100,R$2,FALSE))</f>
        <v/>
      </c>
      <c r="S28" s="747" t="str">
        <f>IF(VLOOKUP($A28,'Pre-Assessment Estimator'!$A$9:$V$100,S$2,FALSE)=0,"",VLOOKUP($A28,'Pre-Assessment Estimator'!$A$9:$V$100,S$2,FALSE))</f>
        <v/>
      </c>
      <c r="T28" s="744" t="str">
        <f>IF(VLOOKUP($A28,'Pre-Assessment Estimator'!$A$9:$V$100,T$2,FALSE)=0,"",VLOOKUP($A28,'Pre-Assessment Estimator'!$A$9:$V$100,T$2,FALSE))</f>
        <v/>
      </c>
      <c r="U28" s="747" t="str">
        <f>IF(VLOOKUP($A28,'Pre-Assessment Estimator'!$A$9:$V$100,U$2,FALSE)=0,"",VLOOKUP($A28,'Pre-Assessment Estimator'!$A$9:$V$100,U$2,FALSE))</f>
        <v/>
      </c>
      <c r="V28" s="491" t="str">
        <f>IF(VLOOKUP($A28,'Pre-Assessment Estimator'!$A$9:$V$100,V$2,FALSE)=0,"",VLOOKUP($A28,'Pre-Assessment Estimator'!$A$9:$V$100,V$2,FALSE))</f>
        <v/>
      </c>
      <c r="W28" s="880"/>
      <c r="X28" s="747" t="str">
        <f>IF(VLOOKUP($A28,'Pre-Assessment Estimator'!$A$9:$X$100,X$2,FALSE)=0,"",VLOOKUP($A28,'Pre-Assessment Estimator'!$A$9:$X$100,X$2,FALSE))</f>
        <v/>
      </c>
      <c r="AB28" s="519">
        <f t="shared" si="0"/>
        <v>1</v>
      </c>
      <c r="AC28" s="333">
        <v>0</v>
      </c>
      <c r="AD28" s="333">
        <v>0</v>
      </c>
      <c r="AE28" s="333">
        <v>0</v>
      </c>
    </row>
    <row r="29" spans="1:41" x14ac:dyDescent="0.25">
      <c r="A29" s="399">
        <v>21</v>
      </c>
      <c r="B29" s="439" t="s">
        <v>69</v>
      </c>
      <c r="C29" s="757"/>
      <c r="D29" s="758"/>
      <c r="E29" s="758"/>
      <c r="F29" s="758"/>
      <c r="G29" s="758"/>
      <c r="H29" s="757"/>
      <c r="I29" s="758"/>
      <c r="J29" s="757"/>
      <c r="K29" s="749"/>
      <c r="L29" s="758"/>
      <c r="M29" s="757"/>
      <c r="N29" s="758"/>
      <c r="O29" s="757"/>
      <c r="P29" s="757"/>
      <c r="Q29" s="751"/>
      <c r="R29" s="758"/>
      <c r="S29" s="757"/>
      <c r="T29" s="758"/>
      <c r="U29" s="757"/>
      <c r="V29" s="440"/>
      <c r="W29" s="881"/>
      <c r="X29" s="757"/>
      <c r="Y29" s="522"/>
      <c r="Z29" s="522"/>
      <c r="AA29" s="522"/>
      <c r="AB29" s="519">
        <f t="shared" si="0"/>
        <v>1</v>
      </c>
      <c r="AC29" s="335">
        <v>0</v>
      </c>
      <c r="AD29" s="335">
        <v>0</v>
      </c>
      <c r="AE29" s="335">
        <v>0</v>
      </c>
    </row>
    <row r="30" spans="1:41" ht="18.75" x14ac:dyDescent="0.25">
      <c r="A30" s="399">
        <v>22</v>
      </c>
      <c r="B30" s="439" t="s">
        <v>70</v>
      </c>
      <c r="C30" s="759" t="s">
        <v>70</v>
      </c>
      <c r="D30" s="739"/>
      <c r="E30" s="739"/>
      <c r="F30" s="739"/>
      <c r="G30" s="739"/>
      <c r="H30" s="740" t="str">
        <f>IF(VLOOKUP($A30,'Pre-Assessment Estimator'!$A$9:$V$100,H$2,FALSE)=0,"",VLOOKUP($A30,'Pre-Assessment Estimator'!$A$9:$V$100,H$2,FALSE))</f>
        <v/>
      </c>
      <c r="I30" s="739" t="str">
        <f>IF(VLOOKUP($A30,'Pre-Assessment Estimator'!$A$9:$V$100,I$2,FALSE)=0,"",VLOOKUP($A30,'Pre-Assessment Estimator'!$A$9:$V$100,I$2,FALSE))</f>
        <v/>
      </c>
      <c r="J30" s="740" t="str">
        <f>IF(VLOOKUP($A30,'Pre-Assessment Estimator'!$A$9:$V$100,J$2,FALSE)=0,"",VLOOKUP($A30,'Pre-Assessment Estimator'!$A$9:$V$100,J$2,FALSE))</f>
        <v/>
      </c>
      <c r="K30" s="749"/>
      <c r="L30" s="739" t="str">
        <f>IF(VLOOKUP($A30,'Pre-Assessment Estimator'!$A$9:$V$100,L$2,FALSE)=0,"",VLOOKUP($A30,'Pre-Assessment Estimator'!$A$9:$V$100,L$2,FALSE))</f>
        <v/>
      </c>
      <c r="M30" s="740" t="str">
        <f>IF(VLOOKUP($A30,'Pre-Assessment Estimator'!$A$9:$V$100,M$2,FALSE)=0,"",VLOOKUP($A30,'Pre-Assessment Estimator'!$A$9:$V$100,M$2,FALSE))</f>
        <v/>
      </c>
      <c r="N30" s="739" t="str">
        <f>IF(VLOOKUP($A30,'Pre-Assessment Estimator'!$A$9:$V$100,N$2,FALSE)=0,"",VLOOKUP($A30,'Pre-Assessment Estimator'!$A$9:$V$100,N$2,FALSE))</f>
        <v/>
      </c>
      <c r="O30" s="740" t="str">
        <f>IF(VLOOKUP($A30,'Pre-Assessment Estimator'!$A$9:$V$100,O$2,FALSE)=0,"",VLOOKUP($A30,'Pre-Assessment Estimator'!$A$9:$V$100,O$2,FALSE))</f>
        <v/>
      </c>
      <c r="P30" s="740" t="str">
        <f>IF(VLOOKUP($A30,'Pre-Assessment Estimator'!$A$9:$V$100,P$2,FALSE)=0,"",VLOOKUP($A30,'Pre-Assessment Estimator'!$A$9:$V$100,P$2,FALSE))</f>
        <v/>
      </c>
      <c r="Q30" s="751"/>
      <c r="R30" s="739" t="str">
        <f>IF(VLOOKUP($A30,'Pre-Assessment Estimator'!$A$9:$V$100,R$2,FALSE)=0,"",VLOOKUP($A30,'Pre-Assessment Estimator'!$A$9:$V$100,R$2,FALSE))</f>
        <v/>
      </c>
      <c r="S30" s="740" t="str">
        <f>IF(VLOOKUP($A30,'Pre-Assessment Estimator'!$A$9:$V$100,S$2,FALSE)=0,"",VLOOKUP($A30,'Pre-Assessment Estimator'!$A$9:$V$100,S$2,FALSE))</f>
        <v/>
      </c>
      <c r="T30" s="739" t="str">
        <f>IF(VLOOKUP($A30,'Pre-Assessment Estimator'!$A$9:$V$100,T$2,FALSE)=0,"",VLOOKUP($A30,'Pre-Assessment Estimator'!$A$9:$V$100,T$2,FALSE))</f>
        <v/>
      </c>
      <c r="U30" s="740" t="str">
        <f>IF(VLOOKUP($A30,'Pre-Assessment Estimator'!$A$9:$V$100,U$2,FALSE)=0,"",VLOOKUP($A30,'Pre-Assessment Estimator'!$A$9:$V$100,U$2,FALSE))</f>
        <v/>
      </c>
      <c r="V30" s="544" t="str">
        <f>IF(VLOOKUP($A30,'Pre-Assessment Estimator'!$A$9:$V$100,V$2,FALSE)=0,"",VLOOKUP($A30,'Pre-Assessment Estimator'!$A$9:$V$100,V$2,FALSE))</f>
        <v/>
      </c>
      <c r="W30" s="879"/>
      <c r="X30" s="883"/>
      <c r="AB30" s="519">
        <f t="shared" si="0"/>
        <v>1</v>
      </c>
      <c r="AC30" s="331">
        <v>0</v>
      </c>
      <c r="AD30" s="331">
        <v>0</v>
      </c>
      <c r="AE30" s="331">
        <v>0</v>
      </c>
    </row>
    <row r="31" spans="1:41" x14ac:dyDescent="0.25">
      <c r="A31" s="399">
        <v>23</v>
      </c>
      <c r="B31" s="439" t="s">
        <v>70</v>
      </c>
      <c r="C31" s="743" t="str">
        <f>Ene_01</f>
        <v>Ene 01 Energy efficiency</v>
      </c>
      <c r="D31" s="744">
        <f>VLOOKUP($A31,'Pre-Assessment Estimator'!$A$9:$V$100,D$2,FALSE)</f>
        <v>12</v>
      </c>
      <c r="E31" s="744">
        <f>VLOOKUP($A31,'Pre-Assessment Estimator'!$A$9:$V$100,E$2,FALSE)</f>
        <v>0</v>
      </c>
      <c r="F31" s="745">
        <f>VLOOKUP($A31,'Pre-Assessment Estimator'!$A$9:$V$100,F$2,FALSE)</f>
        <v>0</v>
      </c>
      <c r="G31" s="746" t="str">
        <f>VLOOKUP($A31,'Pre-Assessment Estimator'!$A$9:$V$100,G$2,FALSE)</f>
        <v>Very Good</v>
      </c>
      <c r="H31" s="747" t="str">
        <f>IF(VLOOKUP($A31,'Pre-Assessment Estimator'!$A$9:$V$100,H$2,FALSE)=0,"",VLOOKUP($A31,'Pre-Assessment Estimator'!$A$9:$V$100,H$2,FALSE))</f>
        <v/>
      </c>
      <c r="I31" s="747" t="str">
        <f>IF(VLOOKUP($A31,'Pre-Assessment Estimator'!$A$9:$V$100,I$2,FALSE)=0,"",VLOOKUP($A31,'Pre-Assessment Estimator'!$A$9:$V$100,I$2,FALSE))</f>
        <v/>
      </c>
      <c r="J31" s="748" t="str">
        <f>IF(VLOOKUP($A31,'Pre-Assessment Estimator'!$A$9:$V$100,J$2,FALSE)=0,"",VLOOKUP($A31,'Pre-Assessment Estimator'!$A$9:$V$100,J$2,FALSE))</f>
        <v/>
      </c>
      <c r="K31" s="749"/>
      <c r="L31" s="750" t="str">
        <f>IF(VLOOKUP($A31,'Pre-Assessment Estimator'!$A$9:$V$100,L$2,FALSE)=0,"",VLOOKUP($A31,'Pre-Assessment Estimator'!$A$9:$V$100,L$2,FALSE))</f>
        <v/>
      </c>
      <c r="M31" s="747" t="str">
        <f>IF(VLOOKUP($A31,'Pre-Assessment Estimator'!$A$9:$V$100,M$2,FALSE)=0,"",VLOOKUP($A31,'Pre-Assessment Estimator'!$A$9:$V$100,M$2,FALSE))</f>
        <v/>
      </c>
      <c r="N31" s="747" t="str">
        <f>IF(VLOOKUP($A31,'Pre-Assessment Estimator'!$A$9:$V$100,N$2,FALSE)=0,"",VLOOKUP($A31,'Pre-Assessment Estimator'!$A$9:$V$100,N$2,FALSE))</f>
        <v/>
      </c>
      <c r="O31" s="747" t="str">
        <f>IF(VLOOKUP($A31,'Pre-Assessment Estimator'!$A$9:$V$100,O$2,FALSE)=0,"",VLOOKUP($A31,'Pre-Assessment Estimator'!$A$9:$V$100,O$2,FALSE))</f>
        <v/>
      </c>
      <c r="P31" s="748" t="str">
        <f>IF(VLOOKUP($A31,'Pre-Assessment Estimator'!$A$9:$V$100,P$2,FALSE)=0,"",VLOOKUP($A31,'Pre-Assessment Estimator'!$A$9:$V$100,P$2,FALSE))</f>
        <v/>
      </c>
      <c r="Q31" s="751"/>
      <c r="R31" s="750" t="str">
        <f>IF(VLOOKUP($A31,'Pre-Assessment Estimator'!$A$9:$V$100,R$2,FALSE)=0,"",VLOOKUP($A31,'Pre-Assessment Estimator'!$A$9:$V$100,R$2,FALSE))</f>
        <v/>
      </c>
      <c r="S31" s="747" t="str">
        <f>IF(VLOOKUP($A31,'Pre-Assessment Estimator'!$A$9:$V$100,S$2,FALSE)=0,"",VLOOKUP($A31,'Pre-Assessment Estimator'!$A$9:$V$100,S$2,FALSE))</f>
        <v/>
      </c>
      <c r="T31" s="747" t="str">
        <f>IF(VLOOKUP($A31,'Pre-Assessment Estimator'!$A$9:$V$100,T$2,FALSE)=0,"",VLOOKUP($A31,'Pre-Assessment Estimator'!$A$9:$V$100,T$2,FALSE))</f>
        <v/>
      </c>
      <c r="U31" s="747" t="str">
        <f>IF(VLOOKUP($A31,'Pre-Assessment Estimator'!$A$9:$V$100,U$2,FALSE)=0,"",VLOOKUP($A31,'Pre-Assessment Estimator'!$A$9:$V$100,U$2,FALSE))</f>
        <v/>
      </c>
      <c r="V31" s="491" t="str">
        <f>IF(VLOOKUP($A31,'Pre-Assessment Estimator'!$A$9:$V$100,V$2,FALSE)=0,"",VLOOKUP($A31,'Pre-Assessment Estimator'!$A$9:$V$100,V$2,FALSE))</f>
        <v/>
      </c>
      <c r="W31" s="880"/>
      <c r="X31" s="747" t="str">
        <f>IF(VLOOKUP($A31,'Pre-Assessment Estimator'!$A$9:$X$100,X$2,FALSE)=0,"",VLOOKUP($A31,'Pre-Assessment Estimator'!$A$9:$X$100,X$2,FALSE))</f>
        <v>No</v>
      </c>
      <c r="AB31" s="519">
        <f t="shared" si="0"/>
        <v>1</v>
      </c>
      <c r="AC31" s="103" t="e">
        <f>VLOOKUP(I31,'Assessment Details'!$L$45:$M$48,2,FALSE)</f>
        <v>#N/A</v>
      </c>
      <c r="AD31" s="103" t="e">
        <f>VLOOKUP(N31,'Assessment Details'!$L$45:$M$48,2,FALSE)</f>
        <v>#N/A</v>
      </c>
      <c r="AE31" s="103" t="e">
        <f>VLOOKUP(T31,'Assessment Details'!$L$45:$M$48,2,FALSE)</f>
        <v>#N/A</v>
      </c>
    </row>
    <row r="32" spans="1:41" ht="30" x14ac:dyDescent="0.25">
      <c r="A32" s="399">
        <v>24</v>
      </c>
      <c r="B32" s="439" t="s">
        <v>70</v>
      </c>
      <c r="C32" s="743" t="str">
        <f>Ene_02</f>
        <v>Ene 02 Energy monitoring</v>
      </c>
      <c r="D32" s="744">
        <f>VLOOKUP($A32,'Pre-Assessment Estimator'!$A$9:$V$100,D$2,FALSE)</f>
        <v>3</v>
      </c>
      <c r="E32" s="744">
        <f>VLOOKUP($A32,'Pre-Assessment Estimator'!$A$9:$V$100,E$2,FALSE)</f>
        <v>0</v>
      </c>
      <c r="F32" s="745">
        <f>VLOOKUP($A32,'Pre-Assessment Estimator'!$A$9:$V$100,F$2,FALSE)</f>
        <v>0</v>
      </c>
      <c r="G32" s="752" t="str">
        <f>VLOOKUP($A32,'Pre-Assessment Estimator'!$A$9:$V$100,G$2,FALSE)</f>
        <v>Good</v>
      </c>
      <c r="H32" s="747" t="str">
        <f>IF(VLOOKUP($A32,'Pre-Assessment Estimator'!$A$9:$V$100,H$2,FALSE)=0,"",VLOOKUP($A32,'Pre-Assessment Estimator'!$A$9:$V$100,H$2,FALSE))</f>
        <v/>
      </c>
      <c r="I32" s="747" t="str">
        <f>IF(VLOOKUP($A32,'Pre-Assessment Estimator'!$A$9:$V$100,I$2,FALSE)=0,"",VLOOKUP($A32,'Pre-Assessment Estimator'!$A$9:$V$100,I$2,FALSE))</f>
        <v/>
      </c>
      <c r="J32" s="748" t="str">
        <f>IF(VLOOKUP($A32,'Pre-Assessment Estimator'!$A$9:$V$100,J$2,FALSE)=0,"",VLOOKUP($A32,'Pre-Assessment Estimator'!$A$9:$V$100,J$2,FALSE))</f>
        <v/>
      </c>
      <c r="K32" s="749"/>
      <c r="L32" s="750" t="str">
        <f>IF(VLOOKUP($A32,'Pre-Assessment Estimator'!$A$9:$V$100,L$2,FALSE)=0,"",VLOOKUP($A32,'Pre-Assessment Estimator'!$A$9:$V$100,L$2,FALSE))</f>
        <v/>
      </c>
      <c r="M32" s="747" t="str">
        <f>IF(VLOOKUP($A32,'Pre-Assessment Estimator'!$A$9:$V$100,M$2,FALSE)=0,"",VLOOKUP($A32,'Pre-Assessment Estimator'!$A$9:$V$100,M$2,FALSE))</f>
        <v/>
      </c>
      <c r="N32" s="747" t="str">
        <f>IF(VLOOKUP($A32,'Pre-Assessment Estimator'!$A$9:$V$100,N$2,FALSE)=0,"",VLOOKUP($A32,'Pre-Assessment Estimator'!$A$9:$V$100,N$2,FALSE))</f>
        <v/>
      </c>
      <c r="O32" s="747" t="str">
        <f>IF(VLOOKUP($A32,'Pre-Assessment Estimator'!$A$9:$V$100,O$2,FALSE)=0,"",VLOOKUP($A32,'Pre-Assessment Estimator'!$A$9:$V$100,O$2,FALSE))</f>
        <v/>
      </c>
      <c r="P32" s="748" t="str">
        <f>IF(VLOOKUP($A32,'Pre-Assessment Estimator'!$A$9:$V$100,P$2,FALSE)=0,"",VLOOKUP($A32,'Pre-Assessment Estimator'!$A$9:$V$100,P$2,FALSE))</f>
        <v/>
      </c>
      <c r="Q32" s="751"/>
      <c r="R32" s="750" t="str">
        <f>IF(VLOOKUP($A32,'Pre-Assessment Estimator'!$A$9:$V$100,R$2,FALSE)=0,"",VLOOKUP($A32,'Pre-Assessment Estimator'!$A$9:$V$100,R$2,FALSE))</f>
        <v/>
      </c>
      <c r="S32" s="747" t="str">
        <f>IF(VLOOKUP($A32,'Pre-Assessment Estimator'!$A$9:$V$100,S$2,FALSE)=0,"",VLOOKUP($A32,'Pre-Assessment Estimator'!$A$9:$V$100,S$2,FALSE))</f>
        <v/>
      </c>
      <c r="T32" s="747" t="str">
        <f>IF(VLOOKUP($A32,'Pre-Assessment Estimator'!$A$9:$V$100,T$2,FALSE)=0,"",VLOOKUP($A32,'Pre-Assessment Estimator'!$A$9:$V$100,T$2,FALSE))</f>
        <v/>
      </c>
      <c r="U32" s="747" t="str">
        <f>IF(VLOOKUP($A32,'Pre-Assessment Estimator'!$A$9:$V$100,U$2,FALSE)=0,"",VLOOKUP($A32,'Pre-Assessment Estimator'!$A$9:$V$100,U$2,FALSE))</f>
        <v/>
      </c>
      <c r="V32" s="491" t="str">
        <f>IF(VLOOKUP($A32,'Pre-Assessment Estimator'!$A$9:$V$100,V$2,FALSE)=0,"",VLOOKUP($A32,'Pre-Assessment Estimator'!$A$9:$V$100,V$2,FALSE))</f>
        <v/>
      </c>
      <c r="W32" s="880"/>
      <c r="X32" s="747" t="str">
        <f>IF(VLOOKUP($A32,'Pre-Assessment Estimator'!$A$9:$X$100,X$2,FALSE)=0,"",VLOOKUP($A32,'Pre-Assessment Estimator'!$A$9:$X$100,X$2,FALSE))</f>
        <v>O2: Sub-met. (AC 4-7: -1,0 c)</v>
      </c>
      <c r="AB32" s="519">
        <f t="shared" si="0"/>
        <v>1</v>
      </c>
      <c r="AC32" s="520" t="e">
        <f>VLOOKUP(I32,'Assessment Details'!$L$45:$M$48,2,FALSE)</f>
        <v>#N/A</v>
      </c>
      <c r="AD32" s="520" t="e">
        <f>VLOOKUP(N32,'Assessment Details'!$L$45:$M$48,2,FALSE)</f>
        <v>#N/A</v>
      </c>
      <c r="AE32" s="520" t="e">
        <f>VLOOKUP(T32,'Assessment Details'!$L$45:$M$48,2,FALSE)</f>
        <v>#N/A</v>
      </c>
    </row>
    <row r="33" spans="1:31" x14ac:dyDescent="0.25">
      <c r="A33" s="399">
        <v>25</v>
      </c>
      <c r="B33" s="439" t="s">
        <v>70</v>
      </c>
      <c r="C33" s="743" t="str">
        <f>Ene_03</f>
        <v>Ene 03 External lighting</v>
      </c>
      <c r="D33" s="744">
        <f>VLOOKUP($A33,'Pre-Assessment Estimator'!$A$9:$V$100,D$2,FALSE)</f>
        <v>1</v>
      </c>
      <c r="E33" s="744">
        <f>VLOOKUP($A33,'Pre-Assessment Estimator'!$A$9:$V$100,E$2,FALSE)</f>
        <v>0</v>
      </c>
      <c r="F33" s="745">
        <f>VLOOKUP($A33,'Pre-Assessment Estimator'!$A$9:$V$100,F$2,FALSE)</f>
        <v>0</v>
      </c>
      <c r="G33" s="752" t="str">
        <f>VLOOKUP($A33,'Pre-Assessment Estimator'!$A$9:$V$100,G$2,FALSE)</f>
        <v>N/A</v>
      </c>
      <c r="H33" s="747" t="str">
        <f>IF(VLOOKUP($A33,'Pre-Assessment Estimator'!$A$9:$V$100,H$2,FALSE)=0,"",VLOOKUP($A33,'Pre-Assessment Estimator'!$A$9:$V$100,H$2,FALSE))</f>
        <v/>
      </c>
      <c r="I33" s="747" t="str">
        <f>IF(VLOOKUP($A33,'Pre-Assessment Estimator'!$A$9:$V$100,I$2,FALSE)=0,"",VLOOKUP($A33,'Pre-Assessment Estimator'!$A$9:$V$100,I$2,FALSE))</f>
        <v/>
      </c>
      <c r="J33" s="748" t="str">
        <f>IF(VLOOKUP($A33,'Pre-Assessment Estimator'!$A$9:$V$100,J$2,FALSE)=0,"",VLOOKUP($A33,'Pre-Assessment Estimator'!$A$9:$V$100,J$2,FALSE))</f>
        <v/>
      </c>
      <c r="K33" s="749"/>
      <c r="L33" s="750" t="str">
        <f>IF(VLOOKUP($A33,'Pre-Assessment Estimator'!$A$9:$V$100,L$2,FALSE)=0,"",VLOOKUP($A33,'Pre-Assessment Estimator'!$A$9:$V$100,L$2,FALSE))</f>
        <v/>
      </c>
      <c r="M33" s="747" t="str">
        <f>IF(VLOOKUP($A33,'Pre-Assessment Estimator'!$A$9:$V$100,M$2,FALSE)=0,"",VLOOKUP($A33,'Pre-Assessment Estimator'!$A$9:$V$100,M$2,FALSE))</f>
        <v/>
      </c>
      <c r="N33" s="747" t="str">
        <f>IF(VLOOKUP($A33,'Pre-Assessment Estimator'!$A$9:$V$100,N$2,FALSE)=0,"",VLOOKUP($A33,'Pre-Assessment Estimator'!$A$9:$V$100,N$2,FALSE))</f>
        <v/>
      </c>
      <c r="O33" s="747" t="str">
        <f>IF(VLOOKUP($A33,'Pre-Assessment Estimator'!$A$9:$V$100,O$2,FALSE)=0,"",VLOOKUP($A33,'Pre-Assessment Estimator'!$A$9:$V$100,O$2,FALSE))</f>
        <v/>
      </c>
      <c r="P33" s="748" t="str">
        <f>IF(VLOOKUP($A33,'Pre-Assessment Estimator'!$A$9:$V$100,P$2,FALSE)=0,"",VLOOKUP($A33,'Pre-Assessment Estimator'!$A$9:$V$100,P$2,FALSE))</f>
        <v/>
      </c>
      <c r="Q33" s="751"/>
      <c r="R33" s="750" t="str">
        <f>IF(VLOOKUP($A33,'Pre-Assessment Estimator'!$A$9:$V$100,R$2,FALSE)=0,"",VLOOKUP($A33,'Pre-Assessment Estimator'!$A$9:$V$100,R$2,FALSE))</f>
        <v/>
      </c>
      <c r="S33" s="747" t="str">
        <f>IF(VLOOKUP($A33,'Pre-Assessment Estimator'!$A$9:$V$100,S$2,FALSE)=0,"",VLOOKUP($A33,'Pre-Assessment Estimator'!$A$9:$V$100,S$2,FALSE))</f>
        <v/>
      </c>
      <c r="T33" s="747" t="str">
        <f>IF(VLOOKUP($A33,'Pre-Assessment Estimator'!$A$9:$V$100,T$2,FALSE)=0,"",VLOOKUP($A33,'Pre-Assessment Estimator'!$A$9:$V$100,T$2,FALSE))</f>
        <v/>
      </c>
      <c r="U33" s="747" t="str">
        <f>IF(VLOOKUP($A33,'Pre-Assessment Estimator'!$A$9:$V$100,U$2,FALSE)=0,"",VLOOKUP($A33,'Pre-Assessment Estimator'!$A$9:$V$100,U$2,FALSE))</f>
        <v/>
      </c>
      <c r="V33" s="491" t="str">
        <f>IF(VLOOKUP($A33,'Pre-Assessment Estimator'!$A$9:$V$100,V$2,FALSE)=0,"",VLOOKUP($A33,'Pre-Assessment Estimator'!$A$9:$V$100,V$2,FALSE))</f>
        <v/>
      </c>
      <c r="W33" s="880"/>
      <c r="X33" s="747" t="str">
        <f>IF(VLOOKUP($A33,'Pre-Assessment Estimator'!$A$9:$X$100,X$2,FALSE)=0,"",VLOOKUP($A33,'Pre-Assessment Estimator'!$A$9:$X$100,X$2,FALSE))</f>
        <v>No</v>
      </c>
      <c r="AB33" s="519">
        <f t="shared" si="0"/>
        <v>1</v>
      </c>
      <c r="AC33" s="103" t="e">
        <f>VLOOKUP(I33,'Assessment Details'!$L$45:$M$48,2,FALSE)</f>
        <v>#N/A</v>
      </c>
      <c r="AD33" s="103" t="e">
        <f>VLOOKUP(N33,'Assessment Details'!$L$45:$M$48,2,FALSE)</f>
        <v>#N/A</v>
      </c>
      <c r="AE33" s="103" t="e">
        <f>VLOOKUP(T33,'Assessment Details'!$L$45:$M$48,2,FALSE)</f>
        <v>#N/A</v>
      </c>
    </row>
    <row r="34" spans="1:31" x14ac:dyDescent="0.25">
      <c r="A34" s="399">
        <v>26</v>
      </c>
      <c r="B34" s="439" t="s">
        <v>70</v>
      </c>
      <c r="C34" s="743" t="str">
        <f>Ene_04</f>
        <v>Ene 04 Low and zero carbon technologies</v>
      </c>
      <c r="D34" s="744">
        <f>VLOOKUP($A34,'Pre-Assessment Estimator'!$A$9:$V$100,D$2,FALSE)</f>
        <v>2</v>
      </c>
      <c r="E34" s="744">
        <f>VLOOKUP($A34,'Pre-Assessment Estimator'!$A$9:$V$100,E$2,FALSE)</f>
        <v>0</v>
      </c>
      <c r="F34" s="745">
        <f>VLOOKUP($A34,'Pre-Assessment Estimator'!$A$9:$V$100,F$2,FALSE)</f>
        <v>0</v>
      </c>
      <c r="G34" s="752" t="str">
        <f>VLOOKUP($A34,'Pre-Assessment Estimator'!$A$9:$V$100,G$2,FALSE)</f>
        <v>Very Good</v>
      </c>
      <c r="H34" s="747" t="str">
        <f>IF(VLOOKUP($A34,'Pre-Assessment Estimator'!$A$9:$V$100,H$2,FALSE)=0,"",VLOOKUP($A34,'Pre-Assessment Estimator'!$A$9:$V$100,H$2,FALSE))</f>
        <v/>
      </c>
      <c r="I34" s="747" t="str">
        <f>IF(VLOOKUP($A34,'Pre-Assessment Estimator'!$A$9:$V$100,I$2,FALSE)=0,"",VLOOKUP($A34,'Pre-Assessment Estimator'!$A$9:$V$100,I$2,FALSE))</f>
        <v/>
      </c>
      <c r="J34" s="748" t="str">
        <f>IF(VLOOKUP($A34,'Pre-Assessment Estimator'!$A$9:$V$100,J$2,FALSE)=0,"",VLOOKUP($A34,'Pre-Assessment Estimator'!$A$9:$V$100,J$2,FALSE))</f>
        <v/>
      </c>
      <c r="K34" s="749"/>
      <c r="L34" s="750" t="str">
        <f>IF(VLOOKUP($A34,'Pre-Assessment Estimator'!$A$9:$V$100,L$2,FALSE)=0,"",VLOOKUP($A34,'Pre-Assessment Estimator'!$A$9:$V$100,L$2,FALSE))</f>
        <v/>
      </c>
      <c r="M34" s="747" t="str">
        <f>IF(VLOOKUP($A34,'Pre-Assessment Estimator'!$A$9:$V$100,M$2,FALSE)=0,"",VLOOKUP($A34,'Pre-Assessment Estimator'!$A$9:$V$100,M$2,FALSE))</f>
        <v/>
      </c>
      <c r="N34" s="747" t="str">
        <f>IF(VLOOKUP($A34,'Pre-Assessment Estimator'!$A$9:$V$100,N$2,FALSE)=0,"",VLOOKUP($A34,'Pre-Assessment Estimator'!$A$9:$V$100,N$2,FALSE))</f>
        <v/>
      </c>
      <c r="O34" s="747" t="str">
        <f>IF(VLOOKUP($A34,'Pre-Assessment Estimator'!$A$9:$V$100,O$2,FALSE)=0,"",VLOOKUP($A34,'Pre-Assessment Estimator'!$A$9:$V$100,O$2,FALSE))</f>
        <v/>
      </c>
      <c r="P34" s="748" t="str">
        <f>IF(VLOOKUP($A34,'Pre-Assessment Estimator'!$A$9:$V$100,P$2,FALSE)=0,"",VLOOKUP($A34,'Pre-Assessment Estimator'!$A$9:$V$100,P$2,FALSE))</f>
        <v/>
      </c>
      <c r="Q34" s="751"/>
      <c r="R34" s="750" t="str">
        <f>IF(VLOOKUP($A34,'Pre-Assessment Estimator'!$A$9:$V$100,R$2,FALSE)=0,"",VLOOKUP($A34,'Pre-Assessment Estimator'!$A$9:$V$100,R$2,FALSE))</f>
        <v/>
      </c>
      <c r="S34" s="747" t="str">
        <f>IF(VLOOKUP($A34,'Pre-Assessment Estimator'!$A$9:$V$100,S$2,FALSE)=0,"",VLOOKUP($A34,'Pre-Assessment Estimator'!$A$9:$V$100,S$2,FALSE))</f>
        <v/>
      </c>
      <c r="T34" s="747" t="str">
        <f>IF(VLOOKUP($A34,'Pre-Assessment Estimator'!$A$9:$V$100,T$2,FALSE)=0,"",VLOOKUP($A34,'Pre-Assessment Estimator'!$A$9:$V$100,T$2,FALSE))</f>
        <v/>
      </c>
      <c r="U34" s="747" t="str">
        <f>IF(VLOOKUP($A34,'Pre-Assessment Estimator'!$A$9:$V$100,U$2,FALSE)=0,"",VLOOKUP($A34,'Pre-Assessment Estimator'!$A$9:$V$100,U$2,FALSE))</f>
        <v/>
      </c>
      <c r="V34" s="491" t="str">
        <f>IF(VLOOKUP($A34,'Pre-Assessment Estimator'!$A$9:$V$100,V$2,FALSE)=0,"",VLOOKUP($A34,'Pre-Assessment Estimator'!$A$9:$V$100,V$2,FALSE))</f>
        <v/>
      </c>
      <c r="W34" s="880"/>
      <c r="X34" s="747" t="str">
        <f>IF(VLOOKUP($A34,'Pre-Assessment Estimator'!$A$9:$X$100,X$2,FALSE)=0,"",VLOOKUP($A34,'Pre-Assessment Estimator'!$A$9:$X$100,X$2,FALSE))</f>
        <v>No</v>
      </c>
      <c r="AB34" s="519">
        <f t="shared" si="0"/>
        <v>1</v>
      </c>
      <c r="AC34" s="520" t="e">
        <f>VLOOKUP(I34,'Assessment Details'!$L$45:$M$48,2,FALSE)</f>
        <v>#N/A</v>
      </c>
      <c r="AD34" s="520" t="e">
        <f>VLOOKUP(N34,'Assessment Details'!$L$45:$M$48,2,FALSE)</f>
        <v>#N/A</v>
      </c>
      <c r="AE34" s="520" t="e">
        <f>VLOOKUP(T34,'Assessment Details'!$L$45:$M$48,2,FALSE)</f>
        <v>#N/A</v>
      </c>
    </row>
    <row r="35" spans="1:31" x14ac:dyDescent="0.25">
      <c r="A35" s="399">
        <v>27</v>
      </c>
      <c r="B35" s="439" t="s">
        <v>70</v>
      </c>
      <c r="C35" s="743" t="str">
        <f>Ene_05</f>
        <v>Ene 05 Energy efficient cold storage</v>
      </c>
      <c r="D35" s="744">
        <f>VLOOKUP($A35,'Pre-Assessment Estimator'!$A$9:$V$100,D$2,FALSE)</f>
        <v>0</v>
      </c>
      <c r="E35" s="744">
        <f>VLOOKUP($A35,'Pre-Assessment Estimator'!$A$9:$V$100,E$2,FALSE)</f>
        <v>0</v>
      </c>
      <c r="F35" s="745">
        <f>VLOOKUP($A35,'Pre-Assessment Estimator'!$A$9:$V$100,F$2,FALSE)</f>
        <v>0</v>
      </c>
      <c r="G35" s="752" t="str">
        <f>VLOOKUP($A35,'Pre-Assessment Estimator'!$A$9:$V$100,G$2,FALSE)</f>
        <v>N/A</v>
      </c>
      <c r="H35" s="747" t="str">
        <f>IF(VLOOKUP($A35,'Pre-Assessment Estimator'!$A$9:$V$100,H$2,FALSE)=0,"",VLOOKUP($A35,'Pre-Assessment Estimator'!$A$9:$V$100,H$2,FALSE))</f>
        <v/>
      </c>
      <c r="I35" s="747" t="str">
        <f>IF(VLOOKUP($A35,'Pre-Assessment Estimator'!$A$9:$V$100,I$2,FALSE)=0,"",VLOOKUP($A35,'Pre-Assessment Estimator'!$A$9:$V$100,I$2,FALSE))</f>
        <v/>
      </c>
      <c r="J35" s="748" t="str">
        <f>IF(VLOOKUP($A35,'Pre-Assessment Estimator'!$A$9:$V$100,J$2,FALSE)=0,"",VLOOKUP($A35,'Pre-Assessment Estimator'!$A$9:$V$100,J$2,FALSE))</f>
        <v/>
      </c>
      <c r="K35" s="749"/>
      <c r="L35" s="750" t="str">
        <f>IF(VLOOKUP($A35,'Pre-Assessment Estimator'!$A$9:$V$100,L$2,FALSE)=0,"",VLOOKUP($A35,'Pre-Assessment Estimator'!$A$9:$V$100,L$2,FALSE))</f>
        <v/>
      </c>
      <c r="M35" s="747" t="str">
        <f>IF(VLOOKUP($A35,'Pre-Assessment Estimator'!$A$9:$V$100,M$2,FALSE)=0,"",VLOOKUP($A35,'Pre-Assessment Estimator'!$A$9:$V$100,M$2,FALSE))</f>
        <v/>
      </c>
      <c r="N35" s="747" t="str">
        <f>IF(VLOOKUP($A35,'Pre-Assessment Estimator'!$A$9:$V$100,N$2,FALSE)=0,"",VLOOKUP($A35,'Pre-Assessment Estimator'!$A$9:$V$100,N$2,FALSE))</f>
        <v/>
      </c>
      <c r="O35" s="747" t="str">
        <f>IF(VLOOKUP($A35,'Pre-Assessment Estimator'!$A$9:$V$100,O$2,FALSE)=0,"",VLOOKUP($A35,'Pre-Assessment Estimator'!$A$9:$V$100,O$2,FALSE))</f>
        <v/>
      </c>
      <c r="P35" s="748" t="str">
        <f>IF(VLOOKUP($A35,'Pre-Assessment Estimator'!$A$9:$V$100,P$2,FALSE)=0,"",VLOOKUP($A35,'Pre-Assessment Estimator'!$A$9:$V$100,P$2,FALSE))</f>
        <v/>
      </c>
      <c r="Q35" s="751"/>
      <c r="R35" s="750" t="str">
        <f>IF(VLOOKUP($A35,'Pre-Assessment Estimator'!$A$9:$V$100,R$2,FALSE)=0,"",VLOOKUP($A35,'Pre-Assessment Estimator'!$A$9:$V$100,R$2,FALSE))</f>
        <v/>
      </c>
      <c r="S35" s="747" t="str">
        <f>IF(VLOOKUP($A35,'Pre-Assessment Estimator'!$A$9:$V$100,S$2,FALSE)=0,"",VLOOKUP($A35,'Pre-Assessment Estimator'!$A$9:$V$100,S$2,FALSE))</f>
        <v/>
      </c>
      <c r="T35" s="747" t="str">
        <f>IF(VLOOKUP($A35,'Pre-Assessment Estimator'!$A$9:$V$100,T$2,FALSE)=0,"",VLOOKUP($A35,'Pre-Assessment Estimator'!$A$9:$V$100,T$2,FALSE))</f>
        <v/>
      </c>
      <c r="U35" s="747" t="str">
        <f>IF(VLOOKUP($A35,'Pre-Assessment Estimator'!$A$9:$V$100,U$2,FALSE)=0,"",VLOOKUP($A35,'Pre-Assessment Estimator'!$A$9:$V$100,U$2,FALSE))</f>
        <v/>
      </c>
      <c r="V35" s="491" t="str">
        <f>IF(VLOOKUP($A35,'Pre-Assessment Estimator'!$A$9:$V$100,V$2,FALSE)=0,"",VLOOKUP($A35,'Pre-Assessment Estimator'!$A$9:$V$100,V$2,FALSE))</f>
        <v/>
      </c>
      <c r="W35" s="880"/>
      <c r="X35" s="747" t="str">
        <f>IF(VLOOKUP($A35,'Pre-Assessment Estimator'!$A$9:$X$100,X$2,FALSE)=0,"",VLOOKUP($A35,'Pre-Assessment Estimator'!$A$9:$X$100,X$2,FALSE))</f>
        <v>No</v>
      </c>
      <c r="AB35" s="519">
        <f t="shared" si="0"/>
        <v>2</v>
      </c>
      <c r="AC35" s="103" t="e">
        <f>VLOOKUP(I35,'Assessment Details'!$L$45:$M$48,2,FALSE)</f>
        <v>#N/A</v>
      </c>
      <c r="AD35" s="103" t="e">
        <f>VLOOKUP(N35,'Assessment Details'!$L$45:$M$48,2,FALSE)</f>
        <v>#N/A</v>
      </c>
      <c r="AE35" s="103" t="e">
        <f>VLOOKUP(T35,'Assessment Details'!$L$45:$M$48,2,FALSE)</f>
        <v>#N/A</v>
      </c>
    </row>
    <row r="36" spans="1:31" ht="30" x14ac:dyDescent="0.25">
      <c r="A36" s="399">
        <v>28</v>
      </c>
      <c r="B36" s="439" t="s">
        <v>70</v>
      </c>
      <c r="C36" s="743" t="str">
        <f>Ene_06</f>
        <v>Ene 06 Energy efficient transportation systems</v>
      </c>
      <c r="D36" s="744">
        <f>VLOOKUP($A36,'Pre-Assessment Estimator'!$A$9:$V$100,D$2,FALSE)</f>
        <v>0</v>
      </c>
      <c r="E36" s="744">
        <f>VLOOKUP($A36,'Pre-Assessment Estimator'!$A$9:$V$100,E$2,FALSE)</f>
        <v>0</v>
      </c>
      <c r="F36" s="745">
        <f>VLOOKUP($A36,'Pre-Assessment Estimator'!$A$9:$V$100,F$2,FALSE)</f>
        <v>0</v>
      </c>
      <c r="G36" s="752" t="str">
        <f>VLOOKUP($A36,'Pre-Assessment Estimator'!$A$9:$V$100,G$2,FALSE)</f>
        <v>N/A</v>
      </c>
      <c r="H36" s="747" t="str">
        <f>IF(VLOOKUP($A36,'Pre-Assessment Estimator'!$A$9:$V$100,H$2,FALSE)=0,"",VLOOKUP($A36,'Pre-Assessment Estimator'!$A$9:$V$100,H$2,FALSE))</f>
        <v/>
      </c>
      <c r="I36" s="747" t="str">
        <f>IF(VLOOKUP($A36,'Pre-Assessment Estimator'!$A$9:$V$100,I$2,FALSE)=0,"",VLOOKUP($A36,'Pre-Assessment Estimator'!$A$9:$V$100,I$2,FALSE))</f>
        <v/>
      </c>
      <c r="J36" s="748" t="str">
        <f>IF(VLOOKUP($A36,'Pre-Assessment Estimator'!$A$9:$V$100,J$2,FALSE)=0,"",VLOOKUP($A36,'Pre-Assessment Estimator'!$A$9:$V$100,J$2,FALSE))</f>
        <v/>
      </c>
      <c r="K36" s="749"/>
      <c r="L36" s="750" t="str">
        <f>IF(VLOOKUP($A36,'Pre-Assessment Estimator'!$A$9:$V$100,L$2,FALSE)=0,"",VLOOKUP($A36,'Pre-Assessment Estimator'!$A$9:$V$100,L$2,FALSE))</f>
        <v/>
      </c>
      <c r="M36" s="747" t="str">
        <f>IF(VLOOKUP($A36,'Pre-Assessment Estimator'!$A$9:$V$100,M$2,FALSE)=0,"",VLOOKUP($A36,'Pre-Assessment Estimator'!$A$9:$V$100,M$2,FALSE))</f>
        <v/>
      </c>
      <c r="N36" s="747" t="str">
        <f>IF(VLOOKUP($A36,'Pre-Assessment Estimator'!$A$9:$V$100,N$2,FALSE)=0,"",VLOOKUP($A36,'Pre-Assessment Estimator'!$A$9:$V$100,N$2,FALSE))</f>
        <v/>
      </c>
      <c r="O36" s="747" t="str">
        <f>IF(VLOOKUP($A36,'Pre-Assessment Estimator'!$A$9:$V$100,O$2,FALSE)=0,"",VLOOKUP($A36,'Pre-Assessment Estimator'!$A$9:$V$100,O$2,FALSE))</f>
        <v/>
      </c>
      <c r="P36" s="748" t="str">
        <f>IF(VLOOKUP($A36,'Pre-Assessment Estimator'!$A$9:$V$100,P$2,FALSE)=0,"",VLOOKUP($A36,'Pre-Assessment Estimator'!$A$9:$V$100,P$2,FALSE))</f>
        <v/>
      </c>
      <c r="Q36" s="751"/>
      <c r="R36" s="750" t="str">
        <f>IF(VLOOKUP($A36,'Pre-Assessment Estimator'!$A$9:$V$100,R$2,FALSE)=0,"",VLOOKUP($A36,'Pre-Assessment Estimator'!$A$9:$V$100,R$2,FALSE))</f>
        <v/>
      </c>
      <c r="S36" s="747" t="str">
        <f>IF(VLOOKUP($A36,'Pre-Assessment Estimator'!$A$9:$V$100,S$2,FALSE)=0,"",VLOOKUP($A36,'Pre-Assessment Estimator'!$A$9:$V$100,S$2,FALSE))</f>
        <v/>
      </c>
      <c r="T36" s="747" t="str">
        <f>IF(VLOOKUP($A36,'Pre-Assessment Estimator'!$A$9:$V$100,T$2,FALSE)=0,"",VLOOKUP($A36,'Pre-Assessment Estimator'!$A$9:$V$100,T$2,FALSE))</f>
        <v/>
      </c>
      <c r="U36" s="747" t="str">
        <f>IF(VLOOKUP($A36,'Pre-Assessment Estimator'!$A$9:$V$100,U$2,FALSE)=0,"",VLOOKUP($A36,'Pre-Assessment Estimator'!$A$9:$V$100,U$2,FALSE))</f>
        <v/>
      </c>
      <c r="V36" s="491" t="str">
        <f>IF(VLOOKUP($A36,'Pre-Assessment Estimator'!$A$9:$V$100,V$2,FALSE)=0,"",VLOOKUP($A36,'Pre-Assessment Estimator'!$A$9:$V$100,V$2,FALSE))</f>
        <v/>
      </c>
      <c r="W36" s="880"/>
      <c r="X36" s="747" t="str">
        <f>IF(VLOOKUP($A36,'Pre-Assessment Estimator'!$A$9:$X$100,X$2,FALSE)=0,"",VLOOKUP($A36,'Pre-Assessment Estimator'!$A$9:$X$100,X$2,FALSE))</f>
        <v>No</v>
      </c>
      <c r="AB36" s="519">
        <f t="shared" si="0"/>
        <v>2</v>
      </c>
      <c r="AC36" s="103" t="e">
        <f>VLOOKUP(I36,'Assessment Details'!$L$45:$M$48,2,FALSE)</f>
        <v>#N/A</v>
      </c>
      <c r="AD36" s="103" t="e">
        <f>VLOOKUP(N36,'Assessment Details'!$L$45:$M$48,2,FALSE)</f>
        <v>#N/A</v>
      </c>
      <c r="AE36" s="103" t="e">
        <f>VLOOKUP(T36,'Assessment Details'!$L$45:$M$48,2,FALSE)</f>
        <v>#N/A</v>
      </c>
    </row>
    <row r="37" spans="1:31" x14ac:dyDescent="0.25">
      <c r="A37" s="399">
        <v>29</v>
      </c>
      <c r="B37" s="439" t="s">
        <v>70</v>
      </c>
      <c r="C37" s="743" t="str">
        <f>Ene_07</f>
        <v>Ene 07 Energy Efficient Laboratory Systems</v>
      </c>
      <c r="D37" s="744">
        <f>VLOOKUP($A37,'Pre-Assessment Estimator'!$A$9:$V$100,D$2,FALSE)</f>
        <v>0</v>
      </c>
      <c r="E37" s="744">
        <f>VLOOKUP($A37,'Pre-Assessment Estimator'!$A$9:$V$100,E$2,FALSE)</f>
        <v>0</v>
      </c>
      <c r="F37" s="745">
        <f>VLOOKUP($A37,'Pre-Assessment Estimator'!$A$9:$V$100,F$2,FALSE)</f>
        <v>0</v>
      </c>
      <c r="G37" s="752" t="str">
        <f>VLOOKUP($A37,'Pre-Assessment Estimator'!$A$9:$V$100,G$2,FALSE)</f>
        <v>N/A</v>
      </c>
      <c r="H37" s="747" t="str">
        <f>IF(VLOOKUP($A37,'Pre-Assessment Estimator'!$A$9:$V$100,H$2,FALSE)=0,"",VLOOKUP($A37,'Pre-Assessment Estimator'!$A$9:$V$100,H$2,FALSE))</f>
        <v/>
      </c>
      <c r="I37" s="747" t="str">
        <f>IF(VLOOKUP($A37,'Pre-Assessment Estimator'!$A$9:$V$100,I$2,FALSE)=0,"",VLOOKUP($A37,'Pre-Assessment Estimator'!$A$9:$V$100,I$2,FALSE))</f>
        <v/>
      </c>
      <c r="J37" s="748" t="str">
        <f>IF(VLOOKUP($A37,'Pre-Assessment Estimator'!$A$9:$V$100,J$2,FALSE)=0,"",VLOOKUP($A37,'Pre-Assessment Estimator'!$A$9:$V$100,J$2,FALSE))</f>
        <v/>
      </c>
      <c r="K37" s="749"/>
      <c r="L37" s="750" t="str">
        <f>IF(VLOOKUP($A37,'Pre-Assessment Estimator'!$A$9:$V$100,L$2,FALSE)=0,"",VLOOKUP($A37,'Pre-Assessment Estimator'!$A$9:$V$100,L$2,FALSE))</f>
        <v/>
      </c>
      <c r="M37" s="747" t="str">
        <f>IF(VLOOKUP($A37,'Pre-Assessment Estimator'!$A$9:$V$100,M$2,FALSE)=0,"",VLOOKUP($A37,'Pre-Assessment Estimator'!$A$9:$V$100,M$2,FALSE))</f>
        <v/>
      </c>
      <c r="N37" s="747" t="str">
        <f>IF(VLOOKUP($A37,'Pre-Assessment Estimator'!$A$9:$V$100,N$2,FALSE)=0,"",VLOOKUP($A37,'Pre-Assessment Estimator'!$A$9:$V$100,N$2,FALSE))</f>
        <v/>
      </c>
      <c r="O37" s="747" t="str">
        <f>IF(VLOOKUP($A37,'Pre-Assessment Estimator'!$A$9:$V$100,O$2,FALSE)=0,"",VLOOKUP($A37,'Pre-Assessment Estimator'!$A$9:$V$100,O$2,FALSE))</f>
        <v/>
      </c>
      <c r="P37" s="748" t="str">
        <f>IF(VLOOKUP($A37,'Pre-Assessment Estimator'!$A$9:$V$100,P$2,FALSE)=0,"",VLOOKUP($A37,'Pre-Assessment Estimator'!$A$9:$V$100,P$2,FALSE))</f>
        <v/>
      </c>
      <c r="Q37" s="751"/>
      <c r="R37" s="750" t="str">
        <f>IF(VLOOKUP($A37,'Pre-Assessment Estimator'!$A$9:$V$100,R$2,FALSE)=0,"",VLOOKUP($A37,'Pre-Assessment Estimator'!$A$9:$V$100,R$2,FALSE))</f>
        <v/>
      </c>
      <c r="S37" s="747" t="str">
        <f>IF(VLOOKUP($A37,'Pre-Assessment Estimator'!$A$9:$V$100,S$2,FALSE)=0,"",VLOOKUP($A37,'Pre-Assessment Estimator'!$A$9:$V$100,S$2,FALSE))</f>
        <v/>
      </c>
      <c r="T37" s="747" t="str">
        <f>IF(VLOOKUP($A37,'Pre-Assessment Estimator'!$A$9:$V$100,T$2,FALSE)=0,"",VLOOKUP($A37,'Pre-Assessment Estimator'!$A$9:$V$100,T$2,FALSE))</f>
        <v/>
      </c>
      <c r="U37" s="747" t="str">
        <f>IF(VLOOKUP($A37,'Pre-Assessment Estimator'!$A$9:$V$100,U$2,FALSE)=0,"",VLOOKUP($A37,'Pre-Assessment Estimator'!$A$9:$V$100,U$2,FALSE))</f>
        <v/>
      </c>
      <c r="V37" s="491" t="str">
        <f>IF(VLOOKUP($A37,'Pre-Assessment Estimator'!$A$9:$V$100,V$2,FALSE)=0,"",VLOOKUP($A37,'Pre-Assessment Estimator'!$A$9:$V$100,V$2,FALSE))</f>
        <v/>
      </c>
      <c r="W37" s="880"/>
      <c r="X37" s="747" t="str">
        <f>IF(VLOOKUP($A37,'Pre-Assessment Estimator'!$A$9:$X$100,X$2,FALSE)=0,"",VLOOKUP($A37,'Pre-Assessment Estimator'!$A$9:$X$100,X$2,FALSE))</f>
        <v>N/A</v>
      </c>
      <c r="AB37" s="519">
        <f t="shared" si="0"/>
        <v>2</v>
      </c>
      <c r="AC37" s="520" t="e">
        <f>VLOOKUP(I37,'Assessment Details'!$L$45:$M$48,2,FALSE)</f>
        <v>#N/A</v>
      </c>
      <c r="AD37" s="520" t="e">
        <f>VLOOKUP(N37,'Assessment Details'!$L$45:$M$48,2,FALSE)</f>
        <v>#N/A</v>
      </c>
      <c r="AE37" s="520" t="e">
        <f>VLOOKUP(T37,'Assessment Details'!$L$45:$M$48,2,FALSE)</f>
        <v>#N/A</v>
      </c>
    </row>
    <row r="38" spans="1:31" x14ac:dyDescent="0.25">
      <c r="A38" s="399">
        <v>30</v>
      </c>
      <c r="B38" s="439" t="s">
        <v>70</v>
      </c>
      <c r="C38" s="743" t="str">
        <f>Ene_08</f>
        <v>Ene 08 Energy efficient equipment</v>
      </c>
      <c r="D38" s="744">
        <f>VLOOKUP($A38,'Pre-Assessment Estimator'!$A$9:$V$100,D$2,FALSE)</f>
        <v>2</v>
      </c>
      <c r="E38" s="744">
        <f>VLOOKUP($A38,'Pre-Assessment Estimator'!$A$9:$V$100,E$2,FALSE)</f>
        <v>0</v>
      </c>
      <c r="F38" s="745">
        <f>VLOOKUP($A38,'Pre-Assessment Estimator'!$A$9:$V$100,F$2,FALSE)</f>
        <v>0</v>
      </c>
      <c r="G38" s="746" t="str">
        <f>VLOOKUP($A38,'Pre-Assessment Estimator'!$A$9:$V$100,G$2,FALSE)</f>
        <v>N/A</v>
      </c>
      <c r="H38" s="747" t="str">
        <f>IF(VLOOKUP($A38,'Pre-Assessment Estimator'!$A$9:$V$100,H$2,FALSE)=0,"",VLOOKUP($A38,'Pre-Assessment Estimator'!$A$9:$V$100,H$2,FALSE))</f>
        <v/>
      </c>
      <c r="I38" s="747" t="str">
        <f>IF(VLOOKUP($A38,'Pre-Assessment Estimator'!$A$9:$V$100,I$2,FALSE)=0,"",VLOOKUP($A38,'Pre-Assessment Estimator'!$A$9:$V$100,I$2,FALSE))</f>
        <v/>
      </c>
      <c r="J38" s="748" t="str">
        <f>IF(VLOOKUP($A38,'Pre-Assessment Estimator'!$A$9:$V$100,J$2,FALSE)=0,"",VLOOKUP($A38,'Pre-Assessment Estimator'!$A$9:$V$100,J$2,FALSE))</f>
        <v/>
      </c>
      <c r="K38" s="749"/>
      <c r="L38" s="750" t="str">
        <f>IF(VLOOKUP($A38,'Pre-Assessment Estimator'!$A$9:$V$100,L$2,FALSE)=0,"",VLOOKUP($A38,'Pre-Assessment Estimator'!$A$9:$V$100,L$2,FALSE))</f>
        <v/>
      </c>
      <c r="M38" s="747" t="str">
        <f>IF(VLOOKUP($A38,'Pre-Assessment Estimator'!$A$9:$V$100,M$2,FALSE)=0,"",VLOOKUP($A38,'Pre-Assessment Estimator'!$A$9:$V$100,M$2,FALSE))</f>
        <v/>
      </c>
      <c r="N38" s="747" t="str">
        <f>IF(VLOOKUP($A38,'Pre-Assessment Estimator'!$A$9:$V$100,N$2,FALSE)=0,"",VLOOKUP($A38,'Pre-Assessment Estimator'!$A$9:$V$100,N$2,FALSE))</f>
        <v/>
      </c>
      <c r="O38" s="747" t="str">
        <f>IF(VLOOKUP($A38,'Pre-Assessment Estimator'!$A$9:$V$100,O$2,FALSE)=0,"",VLOOKUP($A38,'Pre-Assessment Estimator'!$A$9:$V$100,O$2,FALSE))</f>
        <v/>
      </c>
      <c r="P38" s="748" t="str">
        <f>IF(VLOOKUP($A38,'Pre-Assessment Estimator'!$A$9:$V$100,P$2,FALSE)=0,"",VLOOKUP($A38,'Pre-Assessment Estimator'!$A$9:$V$100,P$2,FALSE))</f>
        <v/>
      </c>
      <c r="Q38" s="751"/>
      <c r="R38" s="750" t="str">
        <f>IF(VLOOKUP($A38,'Pre-Assessment Estimator'!$A$9:$V$100,R$2,FALSE)=0,"",VLOOKUP($A38,'Pre-Assessment Estimator'!$A$9:$V$100,R$2,FALSE))</f>
        <v/>
      </c>
      <c r="S38" s="747" t="str">
        <f>IF(VLOOKUP($A38,'Pre-Assessment Estimator'!$A$9:$V$100,S$2,FALSE)=0,"",VLOOKUP($A38,'Pre-Assessment Estimator'!$A$9:$V$100,S$2,FALSE))</f>
        <v/>
      </c>
      <c r="T38" s="747" t="str">
        <f>IF(VLOOKUP($A38,'Pre-Assessment Estimator'!$A$9:$V$100,T$2,FALSE)=0,"",VLOOKUP($A38,'Pre-Assessment Estimator'!$A$9:$V$100,T$2,FALSE))</f>
        <v/>
      </c>
      <c r="U38" s="747" t="str">
        <f>IF(VLOOKUP($A38,'Pre-Assessment Estimator'!$A$9:$V$100,U$2,FALSE)=0,"",VLOOKUP($A38,'Pre-Assessment Estimator'!$A$9:$V$100,U$2,FALSE))</f>
        <v/>
      </c>
      <c r="V38" s="491" t="str">
        <f>IF(VLOOKUP($A38,'Pre-Assessment Estimator'!$A$9:$V$100,V$2,FALSE)=0,"",VLOOKUP($A38,'Pre-Assessment Estimator'!$A$9:$V$100,V$2,FALSE))</f>
        <v/>
      </c>
      <c r="W38" s="880"/>
      <c r="X38" s="747" t="str">
        <f>IF(VLOOKUP($A38,'Pre-Assessment Estimator'!$A$9:$X$100,X$2,FALSE)=0,"",VLOOKUP($A38,'Pre-Assessment Estimator'!$A$9:$X$100,X$2,FALSE))</f>
        <v>No</v>
      </c>
      <c r="AB38" s="519">
        <f t="shared" si="0"/>
        <v>1</v>
      </c>
      <c r="AC38" s="520" t="e">
        <f>VLOOKUP(I38,'Assessment Details'!$L$45:$M$48,2,FALSE)</f>
        <v>#N/A</v>
      </c>
      <c r="AD38" s="520" t="e">
        <f>VLOOKUP(N38,'Assessment Details'!$L$45:$M$48,2,FALSE)</f>
        <v>#N/A</v>
      </c>
      <c r="AE38" s="520" t="e">
        <f>VLOOKUP(T38,'Assessment Details'!$L$45:$M$48,2,FALSE)</f>
        <v>#N/A</v>
      </c>
    </row>
    <row r="39" spans="1:31" x14ac:dyDescent="0.25">
      <c r="A39" s="399">
        <v>31</v>
      </c>
      <c r="B39" s="439" t="s">
        <v>70</v>
      </c>
      <c r="C39" s="743" t="str">
        <f>Ene_09</f>
        <v>Ene 09 Drying space</v>
      </c>
      <c r="D39" s="744">
        <f>VLOOKUP($A39,'Pre-Assessment Estimator'!$A$9:$V$100,D$2,FALSE)</f>
        <v>0</v>
      </c>
      <c r="E39" s="744">
        <f>VLOOKUP($A39,'Pre-Assessment Estimator'!$A$9:$V$100,E$2,FALSE)</f>
        <v>0</v>
      </c>
      <c r="F39" s="745">
        <f>VLOOKUP($A39,'Pre-Assessment Estimator'!$A$9:$V$100,F$2,FALSE)</f>
        <v>0</v>
      </c>
      <c r="G39" s="752" t="str">
        <f>VLOOKUP($A39,'Pre-Assessment Estimator'!$A$9:$V$100,G$2,FALSE)</f>
        <v>N/A</v>
      </c>
      <c r="H39" s="747" t="str">
        <f>IF(VLOOKUP($A39,'Pre-Assessment Estimator'!$A$9:$V$100,H$2,FALSE)=0,"",VLOOKUP($A39,'Pre-Assessment Estimator'!$A$9:$V$100,H$2,FALSE))</f>
        <v/>
      </c>
      <c r="I39" s="747" t="str">
        <f>IF(VLOOKUP($A39,'Pre-Assessment Estimator'!$A$9:$V$100,I$2,FALSE)=0,"",VLOOKUP($A39,'Pre-Assessment Estimator'!$A$9:$V$100,I$2,FALSE))</f>
        <v/>
      </c>
      <c r="J39" s="748" t="str">
        <f>IF(VLOOKUP($A39,'Pre-Assessment Estimator'!$A$9:$V$100,J$2,FALSE)=0,"",VLOOKUP($A39,'Pre-Assessment Estimator'!$A$9:$V$100,J$2,FALSE))</f>
        <v/>
      </c>
      <c r="K39" s="749"/>
      <c r="L39" s="750" t="str">
        <f>IF(VLOOKUP($A39,'Pre-Assessment Estimator'!$A$9:$V$100,L$2,FALSE)=0,"",VLOOKUP($A39,'Pre-Assessment Estimator'!$A$9:$V$100,L$2,FALSE))</f>
        <v/>
      </c>
      <c r="M39" s="747" t="str">
        <f>IF(VLOOKUP($A39,'Pre-Assessment Estimator'!$A$9:$V$100,M$2,FALSE)=0,"",VLOOKUP($A39,'Pre-Assessment Estimator'!$A$9:$V$100,M$2,FALSE))</f>
        <v/>
      </c>
      <c r="N39" s="747" t="str">
        <f>IF(VLOOKUP($A39,'Pre-Assessment Estimator'!$A$9:$V$100,N$2,FALSE)=0,"",VLOOKUP($A39,'Pre-Assessment Estimator'!$A$9:$V$100,N$2,FALSE))</f>
        <v/>
      </c>
      <c r="O39" s="747" t="str">
        <f>IF(VLOOKUP($A39,'Pre-Assessment Estimator'!$A$9:$V$100,O$2,FALSE)=0,"",VLOOKUP($A39,'Pre-Assessment Estimator'!$A$9:$V$100,O$2,FALSE))</f>
        <v/>
      </c>
      <c r="P39" s="748" t="str">
        <f>IF(VLOOKUP($A39,'Pre-Assessment Estimator'!$A$9:$V$100,P$2,FALSE)=0,"",VLOOKUP($A39,'Pre-Assessment Estimator'!$A$9:$V$100,P$2,FALSE))</f>
        <v/>
      </c>
      <c r="Q39" s="751"/>
      <c r="R39" s="750" t="str">
        <f>IF(VLOOKUP($A39,'Pre-Assessment Estimator'!$A$9:$V$100,R$2,FALSE)=0,"",VLOOKUP($A39,'Pre-Assessment Estimator'!$A$9:$V$100,R$2,FALSE))</f>
        <v/>
      </c>
      <c r="S39" s="747" t="str">
        <f>IF(VLOOKUP($A39,'Pre-Assessment Estimator'!$A$9:$V$100,S$2,FALSE)=0,"",VLOOKUP($A39,'Pre-Assessment Estimator'!$A$9:$V$100,S$2,FALSE))</f>
        <v/>
      </c>
      <c r="T39" s="747" t="str">
        <f>IF(VLOOKUP($A39,'Pre-Assessment Estimator'!$A$9:$V$100,T$2,FALSE)=0,"",VLOOKUP($A39,'Pre-Assessment Estimator'!$A$9:$V$100,T$2,FALSE))</f>
        <v/>
      </c>
      <c r="U39" s="747" t="str">
        <f>IF(VLOOKUP($A39,'Pre-Assessment Estimator'!$A$9:$V$100,U$2,FALSE)=0,"",VLOOKUP($A39,'Pre-Assessment Estimator'!$A$9:$V$100,U$2,FALSE))</f>
        <v/>
      </c>
      <c r="V39" s="491" t="str">
        <f>IF(VLOOKUP($A39,'Pre-Assessment Estimator'!$A$9:$V$100,V$2,FALSE)=0,"",VLOOKUP($A39,'Pre-Assessment Estimator'!$A$9:$V$100,V$2,FALSE))</f>
        <v/>
      </c>
      <c r="W39" s="880"/>
      <c r="X39" s="747" t="str">
        <f>IF(VLOOKUP($A39,'Pre-Assessment Estimator'!$A$9:$X$100,X$2,FALSE)=0,"",VLOOKUP($A39,'Pre-Assessment Estimator'!$A$9:$X$100,X$2,FALSE))</f>
        <v>No</v>
      </c>
      <c r="AB39" s="519">
        <f t="shared" si="0"/>
        <v>2</v>
      </c>
      <c r="AC39" s="520" t="e">
        <f>VLOOKUP(I39,'Assessment Details'!$L$45:$M$48,2,FALSE)</f>
        <v>#N/A</v>
      </c>
      <c r="AD39" s="520" t="e">
        <f>VLOOKUP(N39,'Assessment Details'!$L$45:$M$48,2,FALSE)</f>
        <v>#N/A</v>
      </c>
      <c r="AE39" s="520" t="e">
        <f>VLOOKUP(T39,'Assessment Details'!$L$45:$M$48,2,FALSE)</f>
        <v>#N/A</v>
      </c>
    </row>
    <row r="40" spans="1:31" ht="30" x14ac:dyDescent="0.25">
      <c r="A40" s="399">
        <v>32</v>
      </c>
      <c r="B40" s="439" t="s">
        <v>70</v>
      </c>
      <c r="C40" s="743" t="str">
        <f>Ene_23</f>
        <v>Ene 23 Energy performance of building structure and installations</v>
      </c>
      <c r="D40" s="744">
        <f>VLOOKUP($A40,'Pre-Assessment Estimator'!$A$9:$V$100,D$2,FALSE)</f>
        <v>2</v>
      </c>
      <c r="E40" s="744">
        <f>VLOOKUP($A40,'Pre-Assessment Estimator'!$A$9:$V$100,E$2,FALSE)</f>
        <v>0</v>
      </c>
      <c r="F40" s="745">
        <f>VLOOKUP($A40,'Pre-Assessment Estimator'!$A$9:$V$100,F$2,FALSE)</f>
        <v>0</v>
      </c>
      <c r="G40" s="747" t="str">
        <f>VLOOKUP($A40,'Pre-Assessment Estimator'!$A$9:$V$100,G$2,FALSE)</f>
        <v>Excellent</v>
      </c>
      <c r="H40" s="747" t="str">
        <f>IF(VLOOKUP($A40,'Pre-Assessment Estimator'!$A$9:$V$100,H$2,FALSE)=0,"",VLOOKUP($A40,'Pre-Assessment Estimator'!$A$9:$V$100,H$2,FALSE))</f>
        <v/>
      </c>
      <c r="I40" s="747" t="str">
        <f>IF(VLOOKUP($A40,'Pre-Assessment Estimator'!$A$9:$V$100,I$2,FALSE)=0,"",VLOOKUP($A40,'Pre-Assessment Estimator'!$A$9:$V$100,I$2,FALSE))</f>
        <v/>
      </c>
      <c r="J40" s="748" t="str">
        <f>IF(VLOOKUP($A40,'Pre-Assessment Estimator'!$A$9:$V$100,J$2,FALSE)=0,"",VLOOKUP($A40,'Pre-Assessment Estimator'!$A$9:$V$100,J$2,FALSE))</f>
        <v/>
      </c>
      <c r="K40" s="749"/>
      <c r="L40" s="750" t="str">
        <f>IF(VLOOKUP($A40,'Pre-Assessment Estimator'!$A$9:$V$100,L$2,FALSE)=0,"",VLOOKUP($A40,'Pre-Assessment Estimator'!$A$9:$V$100,L$2,FALSE))</f>
        <v/>
      </c>
      <c r="M40" s="747" t="str">
        <f>IF(VLOOKUP($A40,'Pre-Assessment Estimator'!$A$9:$V$100,M$2,FALSE)=0,"",VLOOKUP($A40,'Pre-Assessment Estimator'!$A$9:$V$100,M$2,FALSE))</f>
        <v/>
      </c>
      <c r="N40" s="747" t="str">
        <f>IF(VLOOKUP($A40,'Pre-Assessment Estimator'!$A$9:$V$100,N$2,FALSE)=0,"",VLOOKUP($A40,'Pre-Assessment Estimator'!$A$9:$V$100,N$2,FALSE))</f>
        <v/>
      </c>
      <c r="O40" s="747" t="str">
        <f>IF(VLOOKUP($A40,'Pre-Assessment Estimator'!$A$9:$V$100,O$2,FALSE)=0,"",VLOOKUP($A40,'Pre-Assessment Estimator'!$A$9:$V$100,O$2,FALSE))</f>
        <v/>
      </c>
      <c r="P40" s="748" t="str">
        <f>IF(VLOOKUP($A40,'Pre-Assessment Estimator'!$A$9:$V$100,P$2,FALSE)=0,"",VLOOKUP($A40,'Pre-Assessment Estimator'!$A$9:$V$100,P$2,FALSE))</f>
        <v/>
      </c>
      <c r="Q40" s="751"/>
      <c r="R40" s="750" t="str">
        <f>IF(VLOOKUP($A40,'Pre-Assessment Estimator'!$A$9:$V$100,R$2,FALSE)=0,"",VLOOKUP($A40,'Pre-Assessment Estimator'!$A$9:$V$100,R$2,FALSE))</f>
        <v/>
      </c>
      <c r="S40" s="747" t="str">
        <f>IF(VLOOKUP($A40,'Pre-Assessment Estimator'!$A$9:$V$100,S$2,FALSE)=0,"",VLOOKUP($A40,'Pre-Assessment Estimator'!$A$9:$V$100,S$2,FALSE))</f>
        <v/>
      </c>
      <c r="T40" s="747" t="str">
        <f>IF(VLOOKUP($A40,'Pre-Assessment Estimator'!$A$9:$V$100,T$2,FALSE)=0,"",VLOOKUP($A40,'Pre-Assessment Estimator'!$A$9:$V$100,T$2,FALSE))</f>
        <v/>
      </c>
      <c r="U40" s="747" t="str">
        <f>IF(VLOOKUP($A40,'Pre-Assessment Estimator'!$A$9:$V$100,U$2,FALSE)=0,"",VLOOKUP($A40,'Pre-Assessment Estimator'!$A$9:$V$100,U$2,FALSE))</f>
        <v/>
      </c>
      <c r="V40" s="491" t="str">
        <f>IF(VLOOKUP($A40,'Pre-Assessment Estimator'!$A$9:$V$100,V$2,FALSE)=0,"",VLOOKUP($A40,'Pre-Assessment Estimator'!$A$9:$V$100,V$2,FALSE))</f>
        <v/>
      </c>
      <c r="W40" s="880"/>
      <c r="X40" s="747" t="str">
        <f>IF(VLOOKUP($A40,'Pre-Assessment Estimator'!$A$9:$X$100,X$2,FALSE)=0,"",VLOOKUP($A40,'Pre-Assessment Estimator'!$A$9:$X$100,X$2,FALSE))</f>
        <v>No</v>
      </c>
      <c r="AB40" s="519">
        <f t="shared" si="0"/>
        <v>1</v>
      </c>
      <c r="AC40" s="520" t="e">
        <f>VLOOKUP(I40,'Assessment Details'!$L$45:$M$48,2,FALSE)</f>
        <v>#N/A</v>
      </c>
      <c r="AD40" s="520" t="e">
        <f>VLOOKUP(N40,'Assessment Details'!$L$45:$M$48,2,FALSE)</f>
        <v>#N/A</v>
      </c>
      <c r="AE40" s="520" t="e">
        <f>VLOOKUP(T40,'Assessment Details'!$L$45:$M$48,2,FALSE)</f>
        <v>#N/A</v>
      </c>
    </row>
    <row r="41" spans="1:31" ht="15.75" thickBot="1" x14ac:dyDescent="0.3">
      <c r="A41" s="399">
        <v>33</v>
      </c>
      <c r="B41" s="439" t="s">
        <v>70</v>
      </c>
      <c r="C41" s="753" t="s">
        <v>109</v>
      </c>
      <c r="D41" s="754">
        <f>VLOOKUP($A41,'Pre-Assessment Estimator'!$A$9:$V$100,D$2,FALSE)</f>
        <v>22</v>
      </c>
      <c r="E41" s="754">
        <f>SUM(E31:E40)</f>
        <v>0</v>
      </c>
      <c r="F41" s="755">
        <f>VLOOKUP($A41,'Pre-Assessment Estimator'!$A$9:$V$100,F$2,FALSE)</f>
        <v>0</v>
      </c>
      <c r="G41" s="747"/>
      <c r="H41" s="747" t="str">
        <f>IF(VLOOKUP($A41,'Pre-Assessment Estimator'!$A$9:$V$100,H$2,FALSE)=0,"",VLOOKUP($A41,'Pre-Assessment Estimator'!$A$9:$V$100,H$2,FALSE))</f>
        <v/>
      </c>
      <c r="I41" s="744" t="str">
        <f>IF(VLOOKUP($A41,'Pre-Assessment Estimator'!$A$9:$V$100,I$2,FALSE)=0,"",VLOOKUP($A41,'Pre-Assessment Estimator'!$A$9:$V$100,I$2,FALSE))</f>
        <v/>
      </c>
      <c r="J41" s="748" t="str">
        <f>IF(VLOOKUP($A41,'Pre-Assessment Estimator'!$A$9:$V$100,J$2,FALSE)=0,"",VLOOKUP($A41,'Pre-Assessment Estimator'!$A$9:$V$100,J$2,FALSE))</f>
        <v/>
      </c>
      <c r="K41" s="749"/>
      <c r="L41" s="756" t="str">
        <f>IF(VLOOKUP($A41,'Pre-Assessment Estimator'!$A$9:$V$100,L$2,FALSE)=0,"",VLOOKUP($A41,'Pre-Assessment Estimator'!$A$9:$V$100,L$2,FALSE))</f>
        <v/>
      </c>
      <c r="M41" s="747" t="str">
        <f>IF(VLOOKUP($A41,'Pre-Assessment Estimator'!$A$9:$V$100,M$2,FALSE)=0,"",VLOOKUP($A41,'Pre-Assessment Estimator'!$A$9:$V$100,M$2,FALSE))</f>
        <v/>
      </c>
      <c r="N41" s="744" t="str">
        <f>IF(VLOOKUP($A41,'Pre-Assessment Estimator'!$A$9:$V$100,N$2,FALSE)=0,"",VLOOKUP($A41,'Pre-Assessment Estimator'!$A$9:$V$100,N$2,FALSE))</f>
        <v/>
      </c>
      <c r="O41" s="747" t="str">
        <f>IF(VLOOKUP($A41,'Pre-Assessment Estimator'!$A$9:$V$100,O$2,FALSE)=0,"",VLOOKUP($A41,'Pre-Assessment Estimator'!$A$9:$V$100,O$2,FALSE))</f>
        <v/>
      </c>
      <c r="P41" s="748" t="str">
        <f>IF(VLOOKUP($A41,'Pre-Assessment Estimator'!$A$9:$V$100,P$2,FALSE)=0,"",VLOOKUP($A41,'Pre-Assessment Estimator'!$A$9:$V$100,P$2,FALSE))</f>
        <v/>
      </c>
      <c r="Q41" s="751"/>
      <c r="R41" s="756" t="str">
        <f>IF(VLOOKUP($A41,'Pre-Assessment Estimator'!$A$9:$V$100,R$2,FALSE)=0,"",VLOOKUP($A41,'Pre-Assessment Estimator'!$A$9:$V$100,R$2,FALSE))</f>
        <v/>
      </c>
      <c r="S41" s="747" t="str">
        <f>IF(VLOOKUP($A41,'Pre-Assessment Estimator'!$A$9:$V$100,S$2,FALSE)=0,"",VLOOKUP($A41,'Pre-Assessment Estimator'!$A$9:$V$100,S$2,FALSE))</f>
        <v/>
      </c>
      <c r="T41" s="744" t="str">
        <f>IF(VLOOKUP($A41,'Pre-Assessment Estimator'!$A$9:$V$100,T$2,FALSE)=0,"",VLOOKUP($A41,'Pre-Assessment Estimator'!$A$9:$V$100,T$2,FALSE))</f>
        <v/>
      </c>
      <c r="U41" s="747" t="str">
        <f>IF(VLOOKUP($A41,'Pre-Assessment Estimator'!$A$9:$V$100,U$2,FALSE)=0,"",VLOOKUP($A41,'Pre-Assessment Estimator'!$A$9:$V$100,U$2,FALSE))</f>
        <v/>
      </c>
      <c r="V41" s="491" t="str">
        <f>IF(VLOOKUP($A41,'Pre-Assessment Estimator'!$A$9:$V$100,V$2,FALSE)=0,"",VLOOKUP($A41,'Pre-Assessment Estimator'!$A$9:$V$100,V$2,FALSE))</f>
        <v/>
      </c>
      <c r="W41" s="880"/>
      <c r="X41" s="747" t="str">
        <f>IF(VLOOKUP($A41,'Pre-Assessment Estimator'!$A$9:$X$100,X$2,FALSE)=0,"",VLOOKUP($A41,'Pre-Assessment Estimator'!$A$9:$X$100,X$2,FALSE))</f>
        <v/>
      </c>
      <c r="AB41" s="519">
        <f t="shared" si="0"/>
        <v>1</v>
      </c>
      <c r="AC41" s="333">
        <v>0</v>
      </c>
      <c r="AD41" s="333">
        <v>0</v>
      </c>
      <c r="AE41" s="333">
        <v>0</v>
      </c>
    </row>
    <row r="42" spans="1:31" x14ac:dyDescent="0.25">
      <c r="A42" s="399">
        <v>34</v>
      </c>
      <c r="B42" s="439" t="s">
        <v>70</v>
      </c>
      <c r="C42" s="757"/>
      <c r="D42" s="758"/>
      <c r="E42" s="758"/>
      <c r="F42" s="758"/>
      <c r="G42" s="758"/>
      <c r="H42" s="757"/>
      <c r="I42" s="758"/>
      <c r="J42" s="757"/>
      <c r="K42" s="749"/>
      <c r="L42" s="758"/>
      <c r="M42" s="757"/>
      <c r="N42" s="758"/>
      <c r="O42" s="757"/>
      <c r="P42" s="757"/>
      <c r="Q42" s="751"/>
      <c r="R42" s="758"/>
      <c r="S42" s="757"/>
      <c r="T42" s="758"/>
      <c r="U42" s="757"/>
      <c r="V42" s="440"/>
      <c r="W42" s="881"/>
      <c r="X42" s="757"/>
      <c r="Y42" s="522"/>
      <c r="Z42" s="522"/>
      <c r="AA42" s="522"/>
      <c r="AB42" s="519">
        <f t="shared" si="0"/>
        <v>1</v>
      </c>
      <c r="AC42" s="335">
        <v>0</v>
      </c>
      <c r="AD42" s="335">
        <v>0</v>
      </c>
      <c r="AE42" s="335">
        <v>0</v>
      </c>
    </row>
    <row r="43" spans="1:31" ht="18.75" x14ac:dyDescent="0.25">
      <c r="A43" s="399">
        <v>35</v>
      </c>
      <c r="B43" s="439" t="s">
        <v>71</v>
      </c>
      <c r="C43" s="759" t="s">
        <v>71</v>
      </c>
      <c r="D43" s="739"/>
      <c r="E43" s="739"/>
      <c r="F43" s="739"/>
      <c r="G43" s="739"/>
      <c r="H43" s="740"/>
      <c r="I43" s="739"/>
      <c r="J43" s="740"/>
      <c r="K43" s="749"/>
      <c r="L43" s="739"/>
      <c r="M43" s="740"/>
      <c r="N43" s="739"/>
      <c r="O43" s="740"/>
      <c r="P43" s="740"/>
      <c r="Q43" s="751"/>
      <c r="R43" s="739"/>
      <c r="S43" s="740"/>
      <c r="T43" s="739"/>
      <c r="U43" s="740"/>
      <c r="V43" s="544"/>
      <c r="W43" s="879"/>
      <c r="X43" s="883"/>
      <c r="AB43" s="519">
        <f t="shared" si="0"/>
        <v>1</v>
      </c>
      <c r="AC43" s="331">
        <v>0</v>
      </c>
      <c r="AD43" s="331">
        <v>0</v>
      </c>
      <c r="AE43" s="331">
        <v>0</v>
      </c>
    </row>
    <row r="44" spans="1:31" x14ac:dyDescent="0.25">
      <c r="A44" s="399">
        <v>36</v>
      </c>
      <c r="B44" s="439" t="s">
        <v>71</v>
      </c>
      <c r="C44" s="743" t="str">
        <f>Tra_01</f>
        <v>Tra 01 Public transport accessibility</v>
      </c>
      <c r="D44" s="744">
        <f>VLOOKUP($A44,'Pre-Assessment Estimator'!$A$9:$V$100,D$2,FALSE)</f>
        <v>3</v>
      </c>
      <c r="E44" s="744">
        <f>VLOOKUP($A44,'Pre-Assessment Estimator'!$A$9:$V$100,E$2,FALSE)</f>
        <v>0</v>
      </c>
      <c r="F44" s="745">
        <f>VLOOKUP($A44,'Pre-Assessment Estimator'!$A$9:$V$100,F$2,FALSE)</f>
        <v>0</v>
      </c>
      <c r="G44" s="746" t="str">
        <f>VLOOKUP($A44,'Pre-Assessment Estimator'!$A$9:$V$100,G$2,FALSE)</f>
        <v>N/A</v>
      </c>
      <c r="H44" s="747" t="str">
        <f>IF(VLOOKUP($A44,'Pre-Assessment Estimator'!$A$9:$V$100,H$2,FALSE)=0,"",VLOOKUP($A44,'Pre-Assessment Estimator'!$A$9:$V$100,H$2,FALSE))</f>
        <v/>
      </c>
      <c r="I44" s="747" t="str">
        <f>IF(VLOOKUP($A44,'Pre-Assessment Estimator'!$A$9:$V$100,I$2,FALSE)=0,"",VLOOKUP($A44,'Pre-Assessment Estimator'!$A$9:$V$100,I$2,FALSE))</f>
        <v/>
      </c>
      <c r="J44" s="748" t="str">
        <f>IF(VLOOKUP($A44,'Pre-Assessment Estimator'!$A$9:$V$100,J$2,FALSE)=0,"",VLOOKUP($A44,'Pre-Assessment Estimator'!$A$9:$V$100,J$2,FALSE))</f>
        <v/>
      </c>
      <c r="K44" s="749"/>
      <c r="L44" s="750" t="str">
        <f>IF(VLOOKUP($A44,'Pre-Assessment Estimator'!$A$9:$V$100,L$2,FALSE)=0,"",VLOOKUP($A44,'Pre-Assessment Estimator'!$A$9:$V$100,L$2,FALSE))</f>
        <v/>
      </c>
      <c r="M44" s="747" t="str">
        <f>IF(VLOOKUP($A44,'Pre-Assessment Estimator'!$A$9:$V$100,M$2,FALSE)=0,"",VLOOKUP($A44,'Pre-Assessment Estimator'!$A$9:$V$100,M$2,FALSE))</f>
        <v/>
      </c>
      <c r="N44" s="747" t="str">
        <f>IF(VLOOKUP($A44,'Pre-Assessment Estimator'!$A$9:$V$100,N$2,FALSE)=0,"",VLOOKUP($A44,'Pre-Assessment Estimator'!$A$9:$V$100,N$2,FALSE))</f>
        <v/>
      </c>
      <c r="O44" s="747" t="str">
        <f>IF(VLOOKUP($A44,'Pre-Assessment Estimator'!$A$9:$V$100,O$2,FALSE)=0,"",VLOOKUP($A44,'Pre-Assessment Estimator'!$A$9:$V$100,O$2,FALSE))</f>
        <v/>
      </c>
      <c r="P44" s="748" t="str">
        <f>IF(VLOOKUP($A44,'Pre-Assessment Estimator'!$A$9:$V$100,P$2,FALSE)=0,"",VLOOKUP($A44,'Pre-Assessment Estimator'!$A$9:$V$100,P$2,FALSE))</f>
        <v/>
      </c>
      <c r="Q44" s="751"/>
      <c r="R44" s="750" t="str">
        <f>IF(VLOOKUP($A44,'Pre-Assessment Estimator'!$A$9:$V$100,R$2,FALSE)=0,"",VLOOKUP($A44,'Pre-Assessment Estimator'!$A$9:$V$100,R$2,FALSE))</f>
        <v/>
      </c>
      <c r="S44" s="747" t="str">
        <f>IF(VLOOKUP($A44,'Pre-Assessment Estimator'!$A$9:$V$100,S$2,FALSE)=0,"",VLOOKUP($A44,'Pre-Assessment Estimator'!$A$9:$V$100,S$2,FALSE))</f>
        <v/>
      </c>
      <c r="T44" s="747" t="str">
        <f>IF(VLOOKUP($A44,'Pre-Assessment Estimator'!$A$9:$V$100,T$2,FALSE)=0,"",VLOOKUP($A44,'Pre-Assessment Estimator'!$A$9:$V$100,T$2,FALSE))</f>
        <v/>
      </c>
      <c r="U44" s="747" t="str">
        <f>IF(VLOOKUP($A44,'Pre-Assessment Estimator'!$A$9:$V$100,U$2,FALSE)=0,"",VLOOKUP($A44,'Pre-Assessment Estimator'!$A$9:$V$100,U$2,FALSE))</f>
        <v/>
      </c>
      <c r="V44" s="491" t="str">
        <f>IF(VLOOKUP($A44,'Pre-Assessment Estimator'!$A$9:$V$100,V$2,FALSE)=0,"",VLOOKUP($A44,'Pre-Assessment Estimator'!$A$9:$V$100,V$2,FALSE))</f>
        <v/>
      </c>
      <c r="W44" s="880"/>
      <c r="X44" s="747" t="str">
        <f>IF(VLOOKUP($A44,'Pre-Assessment Estimator'!$A$9:$X$100,X$2,FALSE)=0,"",VLOOKUP($A44,'Pre-Assessment Estimator'!$A$9:$X$100,X$2,FALSE))</f>
        <v>N/A</v>
      </c>
      <c r="AB44" s="519">
        <f t="shared" si="0"/>
        <v>1</v>
      </c>
      <c r="AC44" s="103" t="e">
        <f>VLOOKUP(I44,'Assessment Details'!$L$45:$M$48,2,FALSE)</f>
        <v>#N/A</v>
      </c>
      <c r="AD44" s="103" t="e">
        <f>VLOOKUP(N44,'Assessment Details'!$L$45:$M$48,2,FALSE)</f>
        <v>#N/A</v>
      </c>
      <c r="AE44" s="103" t="e">
        <f>VLOOKUP(T44,'Assessment Details'!$L$45:$M$48,2,FALSE)</f>
        <v>#N/A</v>
      </c>
    </row>
    <row r="45" spans="1:31" x14ac:dyDescent="0.25">
      <c r="A45" s="399">
        <v>37</v>
      </c>
      <c r="B45" s="439" t="s">
        <v>71</v>
      </c>
      <c r="C45" s="743" t="str">
        <f>Tra_02</f>
        <v>Tra 02 Proximity to amenities</v>
      </c>
      <c r="D45" s="744">
        <f>VLOOKUP($A45,'Pre-Assessment Estimator'!$A$9:$V$100,D$2,FALSE)</f>
        <v>1</v>
      </c>
      <c r="E45" s="744">
        <f>VLOOKUP($A45,'Pre-Assessment Estimator'!$A$9:$V$100,E$2,FALSE)</f>
        <v>0</v>
      </c>
      <c r="F45" s="745">
        <f>VLOOKUP($A45,'Pre-Assessment Estimator'!$A$9:$V$100,F$2,FALSE)</f>
        <v>0</v>
      </c>
      <c r="G45" s="752" t="str">
        <f>VLOOKUP($A45,'Pre-Assessment Estimator'!$A$9:$V$100,G$2,FALSE)</f>
        <v>N/A</v>
      </c>
      <c r="H45" s="747" t="str">
        <f>IF(VLOOKUP($A45,'Pre-Assessment Estimator'!$A$9:$V$100,H$2,FALSE)=0,"",VLOOKUP($A45,'Pre-Assessment Estimator'!$A$9:$V$100,H$2,FALSE))</f>
        <v/>
      </c>
      <c r="I45" s="747" t="str">
        <f>IF(VLOOKUP($A45,'Pre-Assessment Estimator'!$A$9:$V$100,I$2,FALSE)=0,"",VLOOKUP($A45,'Pre-Assessment Estimator'!$A$9:$V$100,I$2,FALSE))</f>
        <v/>
      </c>
      <c r="J45" s="748" t="str">
        <f>IF(VLOOKUP($A45,'Pre-Assessment Estimator'!$A$9:$V$100,J$2,FALSE)=0,"",VLOOKUP($A45,'Pre-Assessment Estimator'!$A$9:$V$100,J$2,FALSE))</f>
        <v/>
      </c>
      <c r="K45" s="749"/>
      <c r="L45" s="750" t="str">
        <f>IF(VLOOKUP($A45,'Pre-Assessment Estimator'!$A$9:$V$100,L$2,FALSE)=0,"",VLOOKUP($A45,'Pre-Assessment Estimator'!$A$9:$V$100,L$2,FALSE))</f>
        <v/>
      </c>
      <c r="M45" s="747" t="str">
        <f>IF(VLOOKUP($A45,'Pre-Assessment Estimator'!$A$9:$V$100,M$2,FALSE)=0,"",VLOOKUP($A45,'Pre-Assessment Estimator'!$A$9:$V$100,M$2,FALSE))</f>
        <v/>
      </c>
      <c r="N45" s="747" t="str">
        <f>IF(VLOOKUP($A45,'Pre-Assessment Estimator'!$A$9:$V$100,N$2,FALSE)=0,"",VLOOKUP($A45,'Pre-Assessment Estimator'!$A$9:$V$100,N$2,FALSE))</f>
        <v/>
      </c>
      <c r="O45" s="747" t="str">
        <f>IF(VLOOKUP($A45,'Pre-Assessment Estimator'!$A$9:$V$100,O$2,FALSE)=0,"",VLOOKUP($A45,'Pre-Assessment Estimator'!$A$9:$V$100,O$2,FALSE))</f>
        <v/>
      </c>
      <c r="P45" s="748" t="str">
        <f>IF(VLOOKUP($A45,'Pre-Assessment Estimator'!$A$9:$V$100,P$2,FALSE)=0,"",VLOOKUP($A45,'Pre-Assessment Estimator'!$A$9:$V$100,P$2,FALSE))</f>
        <v/>
      </c>
      <c r="Q45" s="751"/>
      <c r="R45" s="750" t="str">
        <f>IF(VLOOKUP($A45,'Pre-Assessment Estimator'!$A$9:$V$100,R$2,FALSE)=0,"",VLOOKUP($A45,'Pre-Assessment Estimator'!$A$9:$V$100,R$2,FALSE))</f>
        <v/>
      </c>
      <c r="S45" s="747" t="str">
        <f>IF(VLOOKUP($A45,'Pre-Assessment Estimator'!$A$9:$V$100,S$2,FALSE)=0,"",VLOOKUP($A45,'Pre-Assessment Estimator'!$A$9:$V$100,S$2,FALSE))</f>
        <v/>
      </c>
      <c r="T45" s="747" t="str">
        <f>IF(VLOOKUP($A45,'Pre-Assessment Estimator'!$A$9:$V$100,T$2,FALSE)=0,"",VLOOKUP($A45,'Pre-Assessment Estimator'!$A$9:$V$100,T$2,FALSE))</f>
        <v/>
      </c>
      <c r="U45" s="747" t="str">
        <f>IF(VLOOKUP($A45,'Pre-Assessment Estimator'!$A$9:$V$100,U$2,FALSE)=0,"",VLOOKUP($A45,'Pre-Assessment Estimator'!$A$9:$V$100,U$2,FALSE))</f>
        <v/>
      </c>
      <c r="V45" s="491" t="str">
        <f>IF(VLOOKUP($A45,'Pre-Assessment Estimator'!$A$9:$V$100,V$2,FALSE)=0,"",VLOOKUP($A45,'Pre-Assessment Estimator'!$A$9:$V$100,V$2,FALSE))</f>
        <v/>
      </c>
      <c r="W45" s="880"/>
      <c r="X45" s="747" t="str">
        <f>IF(VLOOKUP($A45,'Pre-Assessment Estimator'!$A$9:$X$100,X$2,FALSE)=0,"",VLOOKUP($A45,'Pre-Assessment Estimator'!$A$9:$X$100,X$2,FALSE))</f>
        <v>N/A</v>
      </c>
      <c r="AB45" s="519">
        <f t="shared" si="0"/>
        <v>1</v>
      </c>
      <c r="AC45" s="103" t="e">
        <f>VLOOKUP(I45,'Assessment Details'!$L$45:$M$48,2,FALSE)</f>
        <v>#N/A</v>
      </c>
      <c r="AD45" s="103" t="e">
        <f>VLOOKUP(N45,'Assessment Details'!$L$45:$M$48,2,FALSE)</f>
        <v>#N/A</v>
      </c>
      <c r="AE45" s="103" t="e">
        <f>VLOOKUP(T45,'Assessment Details'!$L$45:$M$48,2,FALSE)</f>
        <v>#N/A</v>
      </c>
    </row>
    <row r="46" spans="1:31" x14ac:dyDescent="0.25">
      <c r="A46" s="399">
        <v>38</v>
      </c>
      <c r="B46" s="439" t="s">
        <v>71</v>
      </c>
      <c r="C46" s="743" t="str">
        <f>Tra_03</f>
        <v>Tra 03 Alternative modes of transport</v>
      </c>
      <c r="D46" s="744">
        <f>VLOOKUP($A46,'Pre-Assessment Estimator'!$A$9:$V$100,D$2,FALSE)</f>
        <v>2</v>
      </c>
      <c r="E46" s="744">
        <f>VLOOKUP($A46,'Pre-Assessment Estimator'!$A$9:$V$100,E$2,FALSE)</f>
        <v>0</v>
      </c>
      <c r="F46" s="745">
        <f>VLOOKUP($A46,'Pre-Assessment Estimator'!$A$9:$V$100,F$2,FALSE)</f>
        <v>0</v>
      </c>
      <c r="G46" s="752" t="str">
        <f>VLOOKUP($A46,'Pre-Assessment Estimator'!$A$9:$V$100,G$2,FALSE)</f>
        <v>N/A</v>
      </c>
      <c r="H46" s="747" t="str">
        <f>IF(VLOOKUP($A46,'Pre-Assessment Estimator'!$A$9:$V$100,H$2,FALSE)=0,"",VLOOKUP($A46,'Pre-Assessment Estimator'!$A$9:$V$100,H$2,FALSE))</f>
        <v/>
      </c>
      <c r="I46" s="747" t="str">
        <f>IF(VLOOKUP($A46,'Pre-Assessment Estimator'!$A$9:$V$100,I$2,FALSE)=0,"",VLOOKUP($A46,'Pre-Assessment Estimator'!$A$9:$V$100,I$2,FALSE))</f>
        <v xml:space="preserve"> </v>
      </c>
      <c r="J46" s="748" t="str">
        <f>IF(VLOOKUP($A46,'Pre-Assessment Estimator'!$A$9:$V$100,J$2,FALSE)=0,"",VLOOKUP($A46,'Pre-Assessment Estimator'!$A$9:$V$100,J$2,FALSE))</f>
        <v/>
      </c>
      <c r="K46" s="749"/>
      <c r="L46" s="750" t="str">
        <f>IF(VLOOKUP($A46,'Pre-Assessment Estimator'!$A$9:$V$100,L$2,FALSE)=0,"",VLOOKUP($A46,'Pre-Assessment Estimator'!$A$9:$V$100,L$2,FALSE))</f>
        <v/>
      </c>
      <c r="M46" s="747" t="str">
        <f>IF(VLOOKUP($A46,'Pre-Assessment Estimator'!$A$9:$V$100,M$2,FALSE)=0,"",VLOOKUP($A46,'Pre-Assessment Estimator'!$A$9:$V$100,M$2,FALSE))</f>
        <v/>
      </c>
      <c r="N46" s="747" t="str">
        <f>IF(VLOOKUP($A46,'Pre-Assessment Estimator'!$A$9:$V$100,N$2,FALSE)=0,"",VLOOKUP($A46,'Pre-Assessment Estimator'!$A$9:$V$100,N$2,FALSE))</f>
        <v/>
      </c>
      <c r="O46" s="747" t="str">
        <f>IF(VLOOKUP($A46,'Pre-Assessment Estimator'!$A$9:$V$100,O$2,FALSE)=0,"",VLOOKUP($A46,'Pre-Assessment Estimator'!$A$9:$V$100,O$2,FALSE))</f>
        <v/>
      </c>
      <c r="P46" s="748" t="str">
        <f>IF(VLOOKUP($A46,'Pre-Assessment Estimator'!$A$9:$V$100,P$2,FALSE)=0,"",VLOOKUP($A46,'Pre-Assessment Estimator'!$A$9:$V$100,P$2,FALSE))</f>
        <v/>
      </c>
      <c r="Q46" s="751"/>
      <c r="R46" s="750" t="str">
        <f>IF(VLOOKUP($A46,'Pre-Assessment Estimator'!$A$9:$V$100,R$2,FALSE)=0,"",VLOOKUP($A46,'Pre-Assessment Estimator'!$A$9:$V$100,R$2,FALSE))</f>
        <v/>
      </c>
      <c r="S46" s="747" t="str">
        <f>IF(VLOOKUP($A46,'Pre-Assessment Estimator'!$A$9:$V$100,S$2,FALSE)=0,"",VLOOKUP($A46,'Pre-Assessment Estimator'!$A$9:$V$100,S$2,FALSE))</f>
        <v/>
      </c>
      <c r="T46" s="747" t="str">
        <f>IF(VLOOKUP($A46,'Pre-Assessment Estimator'!$A$9:$V$100,T$2,FALSE)=0,"",VLOOKUP($A46,'Pre-Assessment Estimator'!$A$9:$V$100,T$2,FALSE))</f>
        <v/>
      </c>
      <c r="U46" s="747" t="str">
        <f>IF(VLOOKUP($A46,'Pre-Assessment Estimator'!$A$9:$V$100,U$2,FALSE)=0,"",VLOOKUP($A46,'Pre-Assessment Estimator'!$A$9:$V$100,U$2,FALSE))</f>
        <v/>
      </c>
      <c r="V46" s="491" t="str">
        <f>IF(VLOOKUP($A46,'Pre-Assessment Estimator'!$A$9:$V$100,V$2,FALSE)=0,"",VLOOKUP($A46,'Pre-Assessment Estimator'!$A$9:$V$100,V$2,FALSE))</f>
        <v/>
      </c>
      <c r="W46" s="880"/>
      <c r="X46" s="747" t="str">
        <f>IF(VLOOKUP($A46,'Pre-Assessment Estimator'!$A$9:$X$100,X$2,FALSE)=0,"",VLOOKUP($A46,'Pre-Assessment Estimator'!$A$9:$X$100,X$2,FALSE))</f>
        <v>N/A</v>
      </c>
      <c r="AB46" s="519">
        <f t="shared" si="0"/>
        <v>1</v>
      </c>
      <c r="AC46" s="103">
        <f>VLOOKUP(I46,'Assessment Details'!$L$45:$M$48,2,FALSE)</f>
        <v>4</v>
      </c>
      <c r="AD46" s="103" t="e">
        <f>VLOOKUP(N46,'Assessment Details'!$L$45:$M$48,2,FALSE)</f>
        <v>#N/A</v>
      </c>
      <c r="AE46" s="103" t="e">
        <f>VLOOKUP(T46,'Assessment Details'!$L$45:$M$48,2,FALSE)</f>
        <v>#N/A</v>
      </c>
    </row>
    <row r="47" spans="1:31" x14ac:dyDescent="0.25">
      <c r="A47" s="399">
        <v>39</v>
      </c>
      <c r="B47" s="439" t="s">
        <v>71</v>
      </c>
      <c r="C47" s="743" t="str">
        <f>Tra_04</f>
        <v>Tra 04 Maximum car parking capacity</v>
      </c>
      <c r="D47" s="744">
        <f>VLOOKUP($A47,'Pre-Assessment Estimator'!$A$9:$V$100,D$2,FALSE)</f>
        <v>2</v>
      </c>
      <c r="E47" s="744">
        <f>VLOOKUP($A47,'Pre-Assessment Estimator'!$A$9:$V$100,E$2,FALSE)</f>
        <v>0</v>
      </c>
      <c r="F47" s="745">
        <f>VLOOKUP($A47,'Pre-Assessment Estimator'!$A$9:$V$100,F$2,FALSE)</f>
        <v>0</v>
      </c>
      <c r="G47" s="752" t="str">
        <f>VLOOKUP($A47,'Pre-Assessment Estimator'!$A$9:$V$100,G$2,FALSE)</f>
        <v>N/A</v>
      </c>
      <c r="H47" s="747" t="str">
        <f>IF(VLOOKUP($A47,'Pre-Assessment Estimator'!$A$9:$V$100,H$2,FALSE)=0,"",VLOOKUP($A47,'Pre-Assessment Estimator'!$A$9:$V$100,H$2,FALSE))</f>
        <v/>
      </c>
      <c r="I47" s="747" t="str">
        <f>IF(VLOOKUP($A47,'Pre-Assessment Estimator'!$A$9:$V$100,I$2,FALSE)=0,"",VLOOKUP($A47,'Pre-Assessment Estimator'!$A$9:$V$100,I$2,FALSE))</f>
        <v/>
      </c>
      <c r="J47" s="748" t="str">
        <f>IF(VLOOKUP($A47,'Pre-Assessment Estimator'!$A$9:$V$100,J$2,FALSE)=0,"",VLOOKUP($A47,'Pre-Assessment Estimator'!$A$9:$V$100,J$2,FALSE))</f>
        <v/>
      </c>
      <c r="K47" s="749"/>
      <c r="L47" s="750" t="str">
        <f>IF(VLOOKUP($A47,'Pre-Assessment Estimator'!$A$9:$V$100,L$2,FALSE)=0,"",VLOOKUP($A47,'Pre-Assessment Estimator'!$A$9:$V$100,L$2,FALSE))</f>
        <v/>
      </c>
      <c r="M47" s="747" t="str">
        <f>IF(VLOOKUP($A47,'Pre-Assessment Estimator'!$A$9:$V$100,M$2,FALSE)=0,"",VLOOKUP($A47,'Pre-Assessment Estimator'!$A$9:$V$100,M$2,FALSE))</f>
        <v/>
      </c>
      <c r="N47" s="747" t="str">
        <f>IF(VLOOKUP($A47,'Pre-Assessment Estimator'!$A$9:$V$100,N$2,FALSE)=0,"",VLOOKUP($A47,'Pre-Assessment Estimator'!$A$9:$V$100,N$2,FALSE))</f>
        <v xml:space="preserve"> </v>
      </c>
      <c r="O47" s="747" t="str">
        <f>IF(VLOOKUP($A47,'Pre-Assessment Estimator'!$A$9:$V$100,O$2,FALSE)=0,"",VLOOKUP($A47,'Pre-Assessment Estimator'!$A$9:$V$100,O$2,FALSE))</f>
        <v/>
      </c>
      <c r="P47" s="748" t="str">
        <f>IF(VLOOKUP($A47,'Pre-Assessment Estimator'!$A$9:$V$100,P$2,FALSE)=0,"",VLOOKUP($A47,'Pre-Assessment Estimator'!$A$9:$V$100,P$2,FALSE))</f>
        <v/>
      </c>
      <c r="Q47" s="751"/>
      <c r="R47" s="750" t="str">
        <f>IF(VLOOKUP($A47,'Pre-Assessment Estimator'!$A$9:$V$100,R$2,FALSE)=0,"",VLOOKUP($A47,'Pre-Assessment Estimator'!$A$9:$V$100,R$2,FALSE))</f>
        <v/>
      </c>
      <c r="S47" s="747" t="str">
        <f>IF(VLOOKUP($A47,'Pre-Assessment Estimator'!$A$9:$V$100,S$2,FALSE)=0,"",VLOOKUP($A47,'Pre-Assessment Estimator'!$A$9:$V$100,S$2,FALSE))</f>
        <v/>
      </c>
      <c r="T47" s="747" t="str">
        <f>IF(VLOOKUP($A47,'Pre-Assessment Estimator'!$A$9:$V$100,T$2,FALSE)=0,"",VLOOKUP($A47,'Pre-Assessment Estimator'!$A$9:$V$100,T$2,FALSE))</f>
        <v/>
      </c>
      <c r="U47" s="747" t="str">
        <f>IF(VLOOKUP($A47,'Pre-Assessment Estimator'!$A$9:$V$100,U$2,FALSE)=0,"",VLOOKUP($A47,'Pre-Assessment Estimator'!$A$9:$V$100,U$2,FALSE))</f>
        <v/>
      </c>
      <c r="V47" s="491" t="str">
        <f>IF(VLOOKUP($A47,'Pre-Assessment Estimator'!$A$9:$V$100,V$2,FALSE)=0,"",VLOOKUP($A47,'Pre-Assessment Estimator'!$A$9:$V$100,V$2,FALSE))</f>
        <v/>
      </c>
      <c r="W47" s="880"/>
      <c r="X47" s="747" t="str">
        <f>IF(VLOOKUP($A47,'Pre-Assessment Estimator'!$A$9:$X$100,X$2,FALSE)=0,"",VLOOKUP($A47,'Pre-Assessment Estimator'!$A$9:$X$100,X$2,FALSE))</f>
        <v>N/A</v>
      </c>
      <c r="AB47" s="519">
        <f t="shared" si="0"/>
        <v>1</v>
      </c>
      <c r="AC47" s="520" t="e">
        <f>VLOOKUP(I47,'Assessment Details'!$L$45:$M$48,2,FALSE)</f>
        <v>#N/A</v>
      </c>
      <c r="AD47" s="520">
        <f>VLOOKUP(N47,'Assessment Details'!$L$45:$M$48,2,FALSE)</f>
        <v>4</v>
      </c>
      <c r="AE47" s="520" t="e">
        <f>VLOOKUP(T47,'Assessment Details'!$L$45:$M$48,2,FALSE)</f>
        <v>#N/A</v>
      </c>
    </row>
    <row r="48" spans="1:31" x14ac:dyDescent="0.25">
      <c r="A48" s="399">
        <v>40</v>
      </c>
      <c r="B48" s="439" t="s">
        <v>71</v>
      </c>
      <c r="C48" s="743" t="str">
        <f>Tra_05</f>
        <v>Tra 05 Travel plan</v>
      </c>
      <c r="D48" s="744">
        <f>VLOOKUP($A48,'Pre-Assessment Estimator'!$A$9:$V$100,D$2,FALSE)</f>
        <v>1</v>
      </c>
      <c r="E48" s="744">
        <f>VLOOKUP($A48,'Pre-Assessment Estimator'!$A$9:$V$100,E$2,FALSE)</f>
        <v>0</v>
      </c>
      <c r="F48" s="745">
        <f>VLOOKUP($A48,'Pre-Assessment Estimator'!$A$9:$V$100,F$2,FALSE)</f>
        <v>0</v>
      </c>
      <c r="G48" s="752" t="str">
        <f>VLOOKUP($A48,'Pre-Assessment Estimator'!$A$9:$V$100,G$2,FALSE)</f>
        <v>N/A</v>
      </c>
      <c r="H48" s="747" t="str">
        <f>IF(VLOOKUP($A48,'Pre-Assessment Estimator'!$A$9:$V$100,H$2,FALSE)=0,"",VLOOKUP($A48,'Pre-Assessment Estimator'!$A$9:$V$100,H$2,FALSE))</f>
        <v/>
      </c>
      <c r="I48" s="747" t="str">
        <f>IF(VLOOKUP($A48,'Pre-Assessment Estimator'!$A$9:$V$100,I$2,FALSE)=0,"",VLOOKUP($A48,'Pre-Assessment Estimator'!$A$9:$V$100,I$2,FALSE))</f>
        <v xml:space="preserve"> </v>
      </c>
      <c r="J48" s="748" t="str">
        <f>IF(VLOOKUP($A48,'Pre-Assessment Estimator'!$A$9:$V$100,J$2,FALSE)=0,"",VLOOKUP($A48,'Pre-Assessment Estimator'!$A$9:$V$100,J$2,FALSE))</f>
        <v/>
      </c>
      <c r="K48" s="749"/>
      <c r="L48" s="750" t="str">
        <f>IF(VLOOKUP($A48,'Pre-Assessment Estimator'!$A$9:$V$100,L$2,FALSE)=0,"",VLOOKUP($A48,'Pre-Assessment Estimator'!$A$9:$V$100,L$2,FALSE))</f>
        <v/>
      </c>
      <c r="M48" s="747" t="str">
        <f>IF(VLOOKUP($A48,'Pre-Assessment Estimator'!$A$9:$V$100,M$2,FALSE)=0,"",VLOOKUP($A48,'Pre-Assessment Estimator'!$A$9:$V$100,M$2,FALSE))</f>
        <v/>
      </c>
      <c r="N48" s="747" t="str">
        <f>IF(VLOOKUP($A48,'Pre-Assessment Estimator'!$A$9:$V$100,N$2,FALSE)=0,"",VLOOKUP($A48,'Pre-Assessment Estimator'!$A$9:$V$100,N$2,FALSE))</f>
        <v/>
      </c>
      <c r="O48" s="747" t="str">
        <f>IF(VLOOKUP($A48,'Pre-Assessment Estimator'!$A$9:$V$100,O$2,FALSE)=0,"",VLOOKUP($A48,'Pre-Assessment Estimator'!$A$9:$V$100,O$2,FALSE))</f>
        <v/>
      </c>
      <c r="P48" s="748" t="str">
        <f>IF(VLOOKUP($A48,'Pre-Assessment Estimator'!$A$9:$V$100,P$2,FALSE)=0,"",VLOOKUP($A48,'Pre-Assessment Estimator'!$A$9:$V$100,P$2,FALSE))</f>
        <v/>
      </c>
      <c r="Q48" s="751"/>
      <c r="R48" s="750" t="str">
        <f>IF(VLOOKUP($A48,'Pre-Assessment Estimator'!$A$9:$V$100,R$2,FALSE)=0,"",VLOOKUP($A48,'Pre-Assessment Estimator'!$A$9:$V$100,R$2,FALSE))</f>
        <v/>
      </c>
      <c r="S48" s="747" t="str">
        <f>IF(VLOOKUP($A48,'Pre-Assessment Estimator'!$A$9:$V$100,S$2,FALSE)=0,"",VLOOKUP($A48,'Pre-Assessment Estimator'!$A$9:$V$100,S$2,FALSE))</f>
        <v/>
      </c>
      <c r="T48" s="747" t="str">
        <f>IF(VLOOKUP($A48,'Pre-Assessment Estimator'!$A$9:$V$100,T$2,FALSE)=0,"",VLOOKUP($A48,'Pre-Assessment Estimator'!$A$9:$V$100,T$2,FALSE))</f>
        <v/>
      </c>
      <c r="U48" s="747" t="str">
        <f>IF(VLOOKUP($A48,'Pre-Assessment Estimator'!$A$9:$V$100,U$2,FALSE)=0,"",VLOOKUP($A48,'Pre-Assessment Estimator'!$A$9:$V$100,U$2,FALSE))</f>
        <v/>
      </c>
      <c r="V48" s="491" t="str">
        <f>IF(VLOOKUP($A48,'Pre-Assessment Estimator'!$A$9:$V$100,V$2,FALSE)=0,"",VLOOKUP($A48,'Pre-Assessment Estimator'!$A$9:$V$100,V$2,FALSE))</f>
        <v/>
      </c>
      <c r="W48" s="880"/>
      <c r="X48" s="747" t="str">
        <f>IF(VLOOKUP($A48,'Pre-Assessment Estimator'!$A$9:$X$100,X$2,FALSE)=0,"",VLOOKUP($A48,'Pre-Assessment Estimator'!$A$9:$X$100,X$2,FALSE))</f>
        <v>N/A</v>
      </c>
      <c r="AB48" s="519">
        <f t="shared" si="0"/>
        <v>1</v>
      </c>
      <c r="AC48" s="520">
        <f>VLOOKUP(I48,'Assessment Details'!$L$45:$M$48,2,FALSE)</f>
        <v>4</v>
      </c>
      <c r="AD48" s="520" t="e">
        <f>VLOOKUP(N48,'Assessment Details'!$L$45:$M$48,2,FALSE)</f>
        <v>#N/A</v>
      </c>
      <c r="AE48" s="520" t="e">
        <f>VLOOKUP(T48,'Assessment Details'!$L$45:$M$48,2,FALSE)</f>
        <v>#N/A</v>
      </c>
    </row>
    <row r="49" spans="1:31" x14ac:dyDescent="0.25">
      <c r="A49" s="399">
        <v>41</v>
      </c>
      <c r="B49" s="439" t="s">
        <v>71</v>
      </c>
      <c r="C49" s="743" t="str">
        <f>Tra_06</f>
        <v>Tra 06 Home office</v>
      </c>
      <c r="D49" s="744">
        <f>VLOOKUP($A49,'Pre-Assessment Estimator'!$A$9:$V$100,D$2,FALSE)</f>
        <v>0</v>
      </c>
      <c r="E49" s="744">
        <f>VLOOKUP($A49,'Pre-Assessment Estimator'!$A$9:$V$100,E$2,FALSE)</f>
        <v>0</v>
      </c>
      <c r="F49" s="745">
        <f>VLOOKUP($A49,'Pre-Assessment Estimator'!$A$9:$V$100,F$2,FALSE)</f>
        <v>0</v>
      </c>
      <c r="G49" s="752" t="str">
        <f>VLOOKUP($A49,'Pre-Assessment Estimator'!$A$9:$V$100,G$2,FALSE)</f>
        <v>N/A</v>
      </c>
      <c r="H49" s="747" t="str">
        <f>IF(VLOOKUP($A49,'Pre-Assessment Estimator'!$A$9:$V$100,H$2,FALSE)=0,"",VLOOKUP($A49,'Pre-Assessment Estimator'!$A$9:$V$100,H$2,FALSE))</f>
        <v/>
      </c>
      <c r="I49" s="747" t="str">
        <f>IF(VLOOKUP($A49,'Pre-Assessment Estimator'!$A$9:$V$100,I$2,FALSE)=0,"",VLOOKUP($A49,'Pre-Assessment Estimator'!$A$9:$V$100,I$2,FALSE))</f>
        <v/>
      </c>
      <c r="J49" s="748" t="str">
        <f>IF(VLOOKUP($A49,'Pre-Assessment Estimator'!$A$9:$V$100,J$2,FALSE)=0,"",VLOOKUP($A49,'Pre-Assessment Estimator'!$A$9:$V$100,J$2,FALSE))</f>
        <v/>
      </c>
      <c r="K49" s="749"/>
      <c r="L49" s="750" t="str">
        <f>IF(VLOOKUP($A49,'Pre-Assessment Estimator'!$A$9:$V$100,L$2,FALSE)=0,"",VLOOKUP($A49,'Pre-Assessment Estimator'!$A$9:$V$100,L$2,FALSE))</f>
        <v/>
      </c>
      <c r="M49" s="747" t="str">
        <f>IF(VLOOKUP($A49,'Pre-Assessment Estimator'!$A$9:$V$100,M$2,FALSE)=0,"",VLOOKUP($A49,'Pre-Assessment Estimator'!$A$9:$V$100,M$2,FALSE))</f>
        <v/>
      </c>
      <c r="N49" s="747" t="str">
        <f>IF(VLOOKUP($A49,'Pre-Assessment Estimator'!$A$9:$V$100,N$2,FALSE)=0,"",VLOOKUP($A49,'Pre-Assessment Estimator'!$A$9:$V$100,N$2,FALSE))</f>
        <v/>
      </c>
      <c r="O49" s="747" t="str">
        <f>IF(VLOOKUP($A49,'Pre-Assessment Estimator'!$A$9:$V$100,O$2,FALSE)=0,"",VLOOKUP($A49,'Pre-Assessment Estimator'!$A$9:$V$100,O$2,FALSE))</f>
        <v/>
      </c>
      <c r="P49" s="748" t="str">
        <f>IF(VLOOKUP($A49,'Pre-Assessment Estimator'!$A$9:$V$100,P$2,FALSE)=0,"",VLOOKUP($A49,'Pre-Assessment Estimator'!$A$9:$V$100,P$2,FALSE))</f>
        <v/>
      </c>
      <c r="Q49" s="751"/>
      <c r="R49" s="750" t="str">
        <f>IF(VLOOKUP($A49,'Pre-Assessment Estimator'!$A$9:$V$100,R$2,FALSE)=0,"",VLOOKUP($A49,'Pre-Assessment Estimator'!$A$9:$V$100,R$2,FALSE))</f>
        <v/>
      </c>
      <c r="S49" s="747" t="str">
        <f>IF(VLOOKUP($A49,'Pre-Assessment Estimator'!$A$9:$V$100,S$2,FALSE)=0,"",VLOOKUP($A49,'Pre-Assessment Estimator'!$A$9:$V$100,S$2,FALSE))</f>
        <v/>
      </c>
      <c r="T49" s="747" t="str">
        <f>IF(VLOOKUP($A49,'Pre-Assessment Estimator'!$A$9:$V$100,T$2,FALSE)=0,"",VLOOKUP($A49,'Pre-Assessment Estimator'!$A$9:$V$100,T$2,FALSE))</f>
        <v/>
      </c>
      <c r="U49" s="747" t="str">
        <f>IF(VLOOKUP($A49,'Pre-Assessment Estimator'!$A$9:$V$100,U$2,FALSE)=0,"",VLOOKUP($A49,'Pre-Assessment Estimator'!$A$9:$V$100,U$2,FALSE))</f>
        <v/>
      </c>
      <c r="V49" s="491" t="str">
        <f>IF(VLOOKUP($A49,'Pre-Assessment Estimator'!$A$9:$V$100,V$2,FALSE)=0,"",VLOOKUP($A49,'Pre-Assessment Estimator'!$A$9:$V$100,V$2,FALSE))</f>
        <v/>
      </c>
      <c r="W49" s="880"/>
      <c r="X49" s="747" t="str">
        <f>IF(VLOOKUP($A49,'Pre-Assessment Estimator'!$A$9:$X$100,X$2,FALSE)=0,"",VLOOKUP($A49,'Pre-Assessment Estimator'!$A$9:$X$100,X$2,FALSE))</f>
        <v>N/A</v>
      </c>
      <c r="AB49" s="519">
        <f t="shared" si="0"/>
        <v>2</v>
      </c>
      <c r="AC49" s="103" t="e">
        <f>VLOOKUP(I49,'Assessment Details'!$L$45:$M$48,2,FALSE)</f>
        <v>#N/A</v>
      </c>
      <c r="AD49" s="103" t="e">
        <f>VLOOKUP(N49,'Assessment Details'!$L$45:$M$48,2,FALSE)</f>
        <v>#N/A</v>
      </c>
      <c r="AE49" s="103" t="e">
        <f>VLOOKUP(T49,'Assessment Details'!$L$45:$M$48,2,FALSE)</f>
        <v>#N/A</v>
      </c>
    </row>
    <row r="50" spans="1:31" ht="15.75" thickBot="1" x14ac:dyDescent="0.3">
      <c r="A50" s="399">
        <v>42</v>
      </c>
      <c r="B50" s="439" t="s">
        <v>71</v>
      </c>
      <c r="C50" s="753" t="s">
        <v>110</v>
      </c>
      <c r="D50" s="754">
        <f>VLOOKUP($A50,'Pre-Assessment Estimator'!$A$9:$V$100,D$2,FALSE)</f>
        <v>9</v>
      </c>
      <c r="E50" s="754">
        <f>SUM(E44:E49)</f>
        <v>0</v>
      </c>
      <c r="F50" s="755">
        <f>VLOOKUP($A50,'Pre-Assessment Estimator'!$A$9:$V$100,F$2,FALSE)</f>
        <v>0</v>
      </c>
      <c r="G50" s="747"/>
      <c r="H50" s="747" t="str">
        <f>IF(VLOOKUP($A50,'Pre-Assessment Estimator'!$A$9:$V$100,H$2,FALSE)=0,"",VLOOKUP($A50,'Pre-Assessment Estimator'!$A$9:$V$100,H$2,FALSE))</f>
        <v/>
      </c>
      <c r="I50" s="744" t="str">
        <f>IF(VLOOKUP($A50,'Pre-Assessment Estimator'!$A$9:$V$100,I$2,FALSE)=0,"",VLOOKUP($A50,'Pre-Assessment Estimator'!$A$9:$V$100,I$2,FALSE))</f>
        <v/>
      </c>
      <c r="J50" s="748" t="str">
        <f>IF(VLOOKUP($A50,'Pre-Assessment Estimator'!$A$9:$V$100,J$2,FALSE)=0,"",VLOOKUP($A50,'Pre-Assessment Estimator'!$A$9:$V$100,J$2,FALSE))</f>
        <v/>
      </c>
      <c r="K50" s="749"/>
      <c r="L50" s="756" t="str">
        <f>IF(VLOOKUP($A50,'Pre-Assessment Estimator'!$A$9:$V$100,L$2,FALSE)=0,"",VLOOKUP($A50,'Pre-Assessment Estimator'!$A$9:$V$100,L$2,FALSE))</f>
        <v/>
      </c>
      <c r="M50" s="747" t="str">
        <f>IF(VLOOKUP($A50,'Pre-Assessment Estimator'!$A$9:$V$100,M$2,FALSE)=0,"",VLOOKUP($A50,'Pre-Assessment Estimator'!$A$9:$V$100,M$2,FALSE))</f>
        <v/>
      </c>
      <c r="N50" s="744" t="str">
        <f>IF(VLOOKUP($A50,'Pre-Assessment Estimator'!$A$9:$V$100,N$2,FALSE)=0,"",VLOOKUP($A50,'Pre-Assessment Estimator'!$A$9:$V$100,N$2,FALSE))</f>
        <v/>
      </c>
      <c r="O50" s="747" t="str">
        <f>IF(VLOOKUP($A50,'Pre-Assessment Estimator'!$A$9:$V$100,O$2,FALSE)=0,"",VLOOKUP($A50,'Pre-Assessment Estimator'!$A$9:$V$100,O$2,FALSE))</f>
        <v/>
      </c>
      <c r="P50" s="748" t="str">
        <f>IF(VLOOKUP($A50,'Pre-Assessment Estimator'!$A$9:$V$100,P$2,FALSE)=0,"",VLOOKUP($A50,'Pre-Assessment Estimator'!$A$9:$V$100,P$2,FALSE))</f>
        <v/>
      </c>
      <c r="Q50" s="751"/>
      <c r="R50" s="756" t="str">
        <f>IF(VLOOKUP($A50,'Pre-Assessment Estimator'!$A$9:$V$100,R$2,FALSE)=0,"",VLOOKUP($A50,'Pre-Assessment Estimator'!$A$9:$V$100,R$2,FALSE))</f>
        <v/>
      </c>
      <c r="S50" s="747" t="str">
        <f>IF(VLOOKUP($A50,'Pre-Assessment Estimator'!$A$9:$V$100,S$2,FALSE)=0,"",VLOOKUP($A50,'Pre-Assessment Estimator'!$A$9:$V$100,S$2,FALSE))</f>
        <v/>
      </c>
      <c r="T50" s="744" t="str">
        <f>IF(VLOOKUP($A50,'Pre-Assessment Estimator'!$A$9:$V$100,T$2,FALSE)=0,"",VLOOKUP($A50,'Pre-Assessment Estimator'!$A$9:$V$100,T$2,FALSE))</f>
        <v/>
      </c>
      <c r="U50" s="747" t="str">
        <f>IF(VLOOKUP($A50,'Pre-Assessment Estimator'!$A$9:$V$100,U$2,FALSE)=0,"",VLOOKUP($A50,'Pre-Assessment Estimator'!$A$9:$V$100,U$2,FALSE))</f>
        <v/>
      </c>
      <c r="V50" s="491" t="str">
        <f>IF(VLOOKUP($A50,'Pre-Assessment Estimator'!$A$9:$V$100,V$2,FALSE)=0,"",VLOOKUP($A50,'Pre-Assessment Estimator'!$A$9:$V$100,V$2,FALSE))</f>
        <v/>
      </c>
      <c r="W50" s="880"/>
      <c r="X50" s="747" t="str">
        <f>IF(VLOOKUP($A50,'Pre-Assessment Estimator'!$A$9:$X$100,X$2,FALSE)=0,"",VLOOKUP($A50,'Pre-Assessment Estimator'!$A$9:$X$100,X$2,FALSE))</f>
        <v/>
      </c>
      <c r="AB50" s="519">
        <f t="shared" si="0"/>
        <v>1</v>
      </c>
      <c r="AC50" s="333">
        <v>0</v>
      </c>
      <c r="AD50" s="333">
        <v>0</v>
      </c>
      <c r="AE50" s="333">
        <v>0</v>
      </c>
    </row>
    <row r="51" spans="1:31" x14ac:dyDescent="0.25">
      <c r="A51" s="399">
        <v>43</v>
      </c>
      <c r="B51" s="439" t="s">
        <v>71</v>
      </c>
      <c r="C51" s="757"/>
      <c r="D51" s="758"/>
      <c r="E51" s="758"/>
      <c r="F51" s="758"/>
      <c r="G51" s="758"/>
      <c r="H51" s="757"/>
      <c r="I51" s="758"/>
      <c r="J51" s="757"/>
      <c r="K51" s="749"/>
      <c r="L51" s="758"/>
      <c r="M51" s="757"/>
      <c r="N51" s="758"/>
      <c r="O51" s="757"/>
      <c r="P51" s="757"/>
      <c r="Q51" s="751"/>
      <c r="R51" s="758"/>
      <c r="S51" s="757"/>
      <c r="T51" s="758"/>
      <c r="U51" s="757"/>
      <c r="V51" s="440"/>
      <c r="W51" s="881"/>
      <c r="X51" s="757"/>
      <c r="Y51" s="522"/>
      <c r="Z51" s="522"/>
      <c r="AA51" s="522"/>
      <c r="AB51" s="519">
        <f t="shared" si="0"/>
        <v>1</v>
      </c>
      <c r="AC51" s="335">
        <v>0</v>
      </c>
      <c r="AD51" s="335">
        <v>0</v>
      </c>
      <c r="AE51" s="335">
        <v>0</v>
      </c>
    </row>
    <row r="52" spans="1:31" ht="18.75" x14ac:dyDescent="0.25">
      <c r="A52" s="399">
        <v>44</v>
      </c>
      <c r="B52" s="399" t="s">
        <v>63</v>
      </c>
      <c r="C52" s="759" t="s">
        <v>63</v>
      </c>
      <c r="D52" s="739"/>
      <c r="E52" s="739"/>
      <c r="F52" s="739"/>
      <c r="G52" s="739"/>
      <c r="H52" s="740"/>
      <c r="I52" s="739"/>
      <c r="J52" s="740"/>
      <c r="K52" s="749"/>
      <c r="L52" s="739"/>
      <c r="M52" s="740"/>
      <c r="N52" s="739"/>
      <c r="O52" s="740"/>
      <c r="P52" s="740"/>
      <c r="Q52" s="751"/>
      <c r="R52" s="739"/>
      <c r="S52" s="740"/>
      <c r="T52" s="739"/>
      <c r="U52" s="740"/>
      <c r="V52" s="544"/>
      <c r="W52" s="879"/>
      <c r="X52" s="883"/>
      <c r="AB52" s="519">
        <f t="shared" si="0"/>
        <v>1</v>
      </c>
      <c r="AC52" s="331">
        <v>0</v>
      </c>
      <c r="AD52" s="331">
        <v>0</v>
      </c>
      <c r="AE52" s="331">
        <v>0</v>
      </c>
    </row>
    <row r="53" spans="1:31" x14ac:dyDescent="0.25">
      <c r="A53" s="399">
        <v>45</v>
      </c>
      <c r="B53" s="439" t="s">
        <v>63</v>
      </c>
      <c r="C53" s="743" t="str">
        <f>Wat_01</f>
        <v>Wat 01 Water consumption</v>
      </c>
      <c r="D53" s="744">
        <f>VLOOKUP($A53,'Pre-Assessment Estimator'!$A$9:$V$100,D$2,FALSE)</f>
        <v>5</v>
      </c>
      <c r="E53" s="744">
        <f>VLOOKUP($A53,'Pre-Assessment Estimator'!$A$9:$V$100,E$2,FALSE)</f>
        <v>0</v>
      </c>
      <c r="F53" s="745">
        <f>VLOOKUP($A53,'Pre-Assessment Estimator'!$A$9:$V$100,F$2,FALSE)</f>
        <v>0</v>
      </c>
      <c r="G53" s="746" t="str">
        <f>VLOOKUP($A53,'Pre-Assessment Estimator'!$A$9:$V$100,G$2,FALSE)</f>
        <v>Very Good</v>
      </c>
      <c r="H53" s="747" t="str">
        <f>IF(VLOOKUP($A53,'Pre-Assessment Estimator'!$A$9:$V$100,H$2,FALSE)=0,"",VLOOKUP($A53,'Pre-Assessment Estimator'!$A$9:$V$100,H$2,FALSE))</f>
        <v/>
      </c>
      <c r="I53" s="747" t="str">
        <f>IF(VLOOKUP($A53,'Pre-Assessment Estimator'!$A$9:$V$100,I$2,FALSE)=0,"",VLOOKUP($A53,'Pre-Assessment Estimator'!$A$9:$V$100,I$2,FALSE))</f>
        <v/>
      </c>
      <c r="J53" s="748" t="str">
        <f>IF(VLOOKUP($A53,'Pre-Assessment Estimator'!$A$9:$V$100,J$2,FALSE)=0,"",VLOOKUP($A53,'Pre-Assessment Estimator'!$A$9:$V$100,J$2,FALSE))</f>
        <v/>
      </c>
      <c r="K53" s="749"/>
      <c r="L53" s="750" t="str">
        <f>IF(VLOOKUP($A53,'Pre-Assessment Estimator'!$A$9:$V$100,L$2,FALSE)=0,"",VLOOKUP($A53,'Pre-Assessment Estimator'!$A$9:$V$100,L$2,FALSE))</f>
        <v/>
      </c>
      <c r="M53" s="747" t="str">
        <f>IF(VLOOKUP($A53,'Pre-Assessment Estimator'!$A$9:$V$100,M$2,FALSE)=0,"",VLOOKUP($A53,'Pre-Assessment Estimator'!$A$9:$V$100,M$2,FALSE))</f>
        <v/>
      </c>
      <c r="N53" s="747" t="str">
        <f>IF(VLOOKUP($A53,'Pre-Assessment Estimator'!$A$9:$V$100,N$2,FALSE)=0,"",VLOOKUP($A53,'Pre-Assessment Estimator'!$A$9:$V$100,N$2,FALSE))</f>
        <v/>
      </c>
      <c r="O53" s="747" t="str">
        <f>IF(VLOOKUP($A53,'Pre-Assessment Estimator'!$A$9:$V$100,O$2,FALSE)=0,"",VLOOKUP($A53,'Pre-Assessment Estimator'!$A$9:$V$100,O$2,FALSE))</f>
        <v/>
      </c>
      <c r="P53" s="748" t="str">
        <f>IF(VLOOKUP($A53,'Pre-Assessment Estimator'!$A$9:$V$100,P$2,FALSE)=0,"",VLOOKUP($A53,'Pre-Assessment Estimator'!$A$9:$V$100,P$2,FALSE))</f>
        <v/>
      </c>
      <c r="Q53" s="751"/>
      <c r="R53" s="750" t="str">
        <f>IF(VLOOKUP($A53,'Pre-Assessment Estimator'!$A$9:$V$100,R$2,FALSE)=0,"",VLOOKUP($A53,'Pre-Assessment Estimator'!$A$9:$V$100,R$2,FALSE))</f>
        <v/>
      </c>
      <c r="S53" s="747" t="str">
        <f>IF(VLOOKUP($A53,'Pre-Assessment Estimator'!$A$9:$V$100,S$2,FALSE)=0,"",VLOOKUP($A53,'Pre-Assessment Estimator'!$A$9:$V$100,S$2,FALSE))</f>
        <v/>
      </c>
      <c r="T53" s="747" t="str">
        <f>IF(VLOOKUP($A53,'Pre-Assessment Estimator'!$A$9:$V$100,T$2,FALSE)=0,"",VLOOKUP($A53,'Pre-Assessment Estimator'!$A$9:$V$100,T$2,FALSE))</f>
        <v/>
      </c>
      <c r="U53" s="747" t="str">
        <f>IF(VLOOKUP($A53,'Pre-Assessment Estimator'!$A$9:$V$100,U$2,FALSE)=0,"",VLOOKUP($A53,'Pre-Assessment Estimator'!$A$9:$V$100,U$2,FALSE))</f>
        <v/>
      </c>
      <c r="V53" s="491" t="str">
        <f>IF(VLOOKUP($A53,'Pre-Assessment Estimator'!$A$9:$V$100,V$2,FALSE)=0,"",VLOOKUP($A53,'Pre-Assessment Estimator'!$A$9:$V$100,V$2,FALSE))</f>
        <v/>
      </c>
      <c r="W53" s="880"/>
      <c r="X53" s="747" t="str">
        <f>IF(VLOOKUP($A53,'Pre-Assessment Estimator'!$A$9:$X$100,X$2,FALSE)=0,"",VLOOKUP($A53,'Pre-Assessment Estimator'!$A$9:$X$100,X$2,FALSE))</f>
        <v>No</v>
      </c>
      <c r="AB53" s="519">
        <f t="shared" si="0"/>
        <v>1</v>
      </c>
      <c r="AC53" s="520" t="e">
        <f>VLOOKUP(I53,'Assessment Details'!$L$45:$M$48,2,FALSE)</f>
        <v>#N/A</v>
      </c>
      <c r="AD53" s="520" t="e">
        <f>VLOOKUP(N53,'Assessment Details'!$L$45:$M$48,2,FALSE)</f>
        <v>#N/A</v>
      </c>
      <c r="AE53" s="520" t="e">
        <f>VLOOKUP(T53,'Assessment Details'!$L$45:$M$48,2,FALSE)</f>
        <v>#N/A</v>
      </c>
    </row>
    <row r="54" spans="1:31" x14ac:dyDescent="0.25">
      <c r="A54" s="399">
        <v>46</v>
      </c>
      <c r="B54" s="439" t="s">
        <v>63</v>
      </c>
      <c r="C54" s="743" t="str">
        <f>Wat_02</f>
        <v>Wat 02 Water monitoring</v>
      </c>
      <c r="D54" s="744">
        <f>VLOOKUP($A54,'Pre-Assessment Estimator'!$A$9:$V$100,D$2,FALSE)</f>
        <v>1</v>
      </c>
      <c r="E54" s="744">
        <f>VLOOKUP($A54,'Pre-Assessment Estimator'!$A$9:$V$100,E$2,FALSE)</f>
        <v>0</v>
      </c>
      <c r="F54" s="745">
        <f>VLOOKUP($A54,'Pre-Assessment Estimator'!$A$9:$V$100,F$2,FALSE)</f>
        <v>0</v>
      </c>
      <c r="G54" s="752" t="str">
        <f>VLOOKUP($A54,'Pre-Assessment Estimator'!$A$9:$V$100,G$2,FALSE)</f>
        <v>N/A</v>
      </c>
      <c r="H54" s="747" t="str">
        <f>IF(VLOOKUP($A54,'Pre-Assessment Estimator'!$A$9:$V$100,H$2,FALSE)=0,"",VLOOKUP($A54,'Pre-Assessment Estimator'!$A$9:$V$100,H$2,FALSE))</f>
        <v/>
      </c>
      <c r="I54" s="747" t="str">
        <f>IF(VLOOKUP($A54,'Pre-Assessment Estimator'!$A$9:$V$100,I$2,FALSE)=0,"",VLOOKUP($A54,'Pre-Assessment Estimator'!$A$9:$V$100,I$2,FALSE))</f>
        <v/>
      </c>
      <c r="J54" s="748" t="str">
        <f>IF(VLOOKUP($A54,'Pre-Assessment Estimator'!$A$9:$V$100,J$2,FALSE)=0,"",VLOOKUP($A54,'Pre-Assessment Estimator'!$A$9:$V$100,J$2,FALSE))</f>
        <v/>
      </c>
      <c r="K54" s="749"/>
      <c r="L54" s="750" t="str">
        <f>IF(VLOOKUP($A54,'Pre-Assessment Estimator'!$A$9:$V$100,L$2,FALSE)=0,"",VLOOKUP($A54,'Pre-Assessment Estimator'!$A$9:$V$100,L$2,FALSE))</f>
        <v/>
      </c>
      <c r="M54" s="747" t="str">
        <f>IF(VLOOKUP($A54,'Pre-Assessment Estimator'!$A$9:$V$100,M$2,FALSE)=0,"",VLOOKUP($A54,'Pre-Assessment Estimator'!$A$9:$V$100,M$2,FALSE))</f>
        <v/>
      </c>
      <c r="N54" s="747" t="str">
        <f>IF(VLOOKUP($A54,'Pre-Assessment Estimator'!$A$9:$V$100,N$2,FALSE)=0,"",VLOOKUP($A54,'Pre-Assessment Estimator'!$A$9:$V$100,N$2,FALSE))</f>
        <v/>
      </c>
      <c r="O54" s="747" t="str">
        <f>IF(VLOOKUP($A54,'Pre-Assessment Estimator'!$A$9:$V$100,O$2,FALSE)=0,"",VLOOKUP($A54,'Pre-Assessment Estimator'!$A$9:$V$100,O$2,FALSE))</f>
        <v/>
      </c>
      <c r="P54" s="748" t="str">
        <f>IF(VLOOKUP($A54,'Pre-Assessment Estimator'!$A$9:$V$100,P$2,FALSE)=0,"",VLOOKUP($A54,'Pre-Assessment Estimator'!$A$9:$V$100,P$2,FALSE))</f>
        <v/>
      </c>
      <c r="Q54" s="751"/>
      <c r="R54" s="750" t="str">
        <f>IF(VLOOKUP($A54,'Pre-Assessment Estimator'!$A$9:$V$100,R$2,FALSE)=0,"",VLOOKUP($A54,'Pre-Assessment Estimator'!$A$9:$V$100,R$2,FALSE))</f>
        <v/>
      </c>
      <c r="S54" s="747" t="str">
        <f>IF(VLOOKUP($A54,'Pre-Assessment Estimator'!$A$9:$V$100,S$2,FALSE)=0,"",VLOOKUP($A54,'Pre-Assessment Estimator'!$A$9:$V$100,S$2,FALSE))</f>
        <v/>
      </c>
      <c r="T54" s="747" t="str">
        <f>IF(VLOOKUP($A54,'Pre-Assessment Estimator'!$A$9:$V$100,T$2,FALSE)=0,"",VLOOKUP($A54,'Pre-Assessment Estimator'!$A$9:$V$100,T$2,FALSE))</f>
        <v/>
      </c>
      <c r="U54" s="747" t="str">
        <f>IF(VLOOKUP($A54,'Pre-Assessment Estimator'!$A$9:$V$100,U$2,FALSE)=0,"",VLOOKUP($A54,'Pre-Assessment Estimator'!$A$9:$V$100,U$2,FALSE))</f>
        <v/>
      </c>
      <c r="V54" s="491" t="str">
        <f>IF(VLOOKUP($A54,'Pre-Assessment Estimator'!$A$9:$V$100,V$2,FALSE)=0,"",VLOOKUP($A54,'Pre-Assessment Estimator'!$A$9:$V$100,V$2,FALSE))</f>
        <v/>
      </c>
      <c r="W54" s="880"/>
      <c r="X54" s="747" t="str">
        <f>IF(VLOOKUP($A54,'Pre-Assessment Estimator'!$A$9:$X$100,X$2,FALSE)=0,"",VLOOKUP($A54,'Pre-Assessment Estimator'!$A$9:$X$100,X$2,FALSE))</f>
        <v>No</v>
      </c>
      <c r="AB54" s="519">
        <f t="shared" si="0"/>
        <v>1</v>
      </c>
      <c r="AC54" s="520" t="e">
        <f>VLOOKUP(I54,'Assessment Details'!$L$45:$M$48,2,FALSE)</f>
        <v>#N/A</v>
      </c>
      <c r="AD54" s="520" t="e">
        <f>VLOOKUP(N54,'Assessment Details'!$L$45:$M$48,2,FALSE)</f>
        <v>#N/A</v>
      </c>
      <c r="AE54" s="520" t="e">
        <f>VLOOKUP(T54,'Assessment Details'!$L$45:$M$48,2,FALSE)</f>
        <v>#N/A</v>
      </c>
    </row>
    <row r="55" spans="1:31" x14ac:dyDescent="0.25">
      <c r="A55" s="399">
        <v>47</v>
      </c>
      <c r="B55" s="439" t="s">
        <v>63</v>
      </c>
      <c r="C55" s="743" t="str">
        <f>Wat_03</f>
        <v>Wat 03 Water leak detection and prevention</v>
      </c>
      <c r="D55" s="744">
        <f>VLOOKUP($A55,'Pre-Assessment Estimator'!$A$9:$V$100,D$2,FALSE)</f>
        <v>2</v>
      </c>
      <c r="E55" s="744">
        <f>VLOOKUP($A55,'Pre-Assessment Estimator'!$A$9:$V$100,E$2,FALSE)</f>
        <v>0</v>
      </c>
      <c r="F55" s="745">
        <f>VLOOKUP($A55,'Pre-Assessment Estimator'!$A$9:$V$100,F$2,FALSE)</f>
        <v>0</v>
      </c>
      <c r="G55" s="752" t="str">
        <f>VLOOKUP($A55,'Pre-Assessment Estimator'!$A$9:$V$100,G$2,FALSE)</f>
        <v>N/A</v>
      </c>
      <c r="H55" s="747" t="str">
        <f>IF(VLOOKUP($A55,'Pre-Assessment Estimator'!$A$9:$V$100,H$2,FALSE)=0,"",VLOOKUP($A55,'Pre-Assessment Estimator'!$A$9:$V$100,H$2,FALSE))</f>
        <v/>
      </c>
      <c r="I55" s="747" t="str">
        <f>IF(VLOOKUP($A55,'Pre-Assessment Estimator'!$A$9:$V$100,I$2,FALSE)=0,"",VLOOKUP($A55,'Pre-Assessment Estimator'!$A$9:$V$100,I$2,FALSE))</f>
        <v/>
      </c>
      <c r="J55" s="748" t="str">
        <f>IF(VLOOKUP($A55,'Pre-Assessment Estimator'!$A$9:$V$100,J$2,FALSE)=0,"",VLOOKUP($A55,'Pre-Assessment Estimator'!$A$9:$V$100,J$2,FALSE))</f>
        <v/>
      </c>
      <c r="K55" s="749"/>
      <c r="L55" s="750" t="str">
        <f>IF(VLOOKUP($A55,'Pre-Assessment Estimator'!$A$9:$V$100,L$2,FALSE)=0,"",VLOOKUP($A55,'Pre-Assessment Estimator'!$A$9:$V$100,L$2,FALSE))</f>
        <v/>
      </c>
      <c r="M55" s="747" t="str">
        <f>IF(VLOOKUP($A55,'Pre-Assessment Estimator'!$A$9:$V$100,M$2,FALSE)=0,"",VLOOKUP($A55,'Pre-Assessment Estimator'!$A$9:$V$100,M$2,FALSE))</f>
        <v/>
      </c>
      <c r="N55" s="747" t="str">
        <f>IF(VLOOKUP($A55,'Pre-Assessment Estimator'!$A$9:$V$100,N$2,FALSE)=0,"",VLOOKUP($A55,'Pre-Assessment Estimator'!$A$9:$V$100,N$2,FALSE))</f>
        <v/>
      </c>
      <c r="O55" s="747" t="str">
        <f>IF(VLOOKUP($A55,'Pre-Assessment Estimator'!$A$9:$V$100,O$2,FALSE)=0,"",VLOOKUP($A55,'Pre-Assessment Estimator'!$A$9:$V$100,O$2,FALSE))</f>
        <v/>
      </c>
      <c r="P55" s="748" t="str">
        <f>IF(VLOOKUP($A55,'Pre-Assessment Estimator'!$A$9:$V$100,P$2,FALSE)=0,"",VLOOKUP($A55,'Pre-Assessment Estimator'!$A$9:$V$100,P$2,FALSE))</f>
        <v/>
      </c>
      <c r="Q55" s="751"/>
      <c r="R55" s="750" t="str">
        <f>IF(VLOOKUP($A55,'Pre-Assessment Estimator'!$A$9:$V$100,R$2,FALSE)=0,"",VLOOKUP($A55,'Pre-Assessment Estimator'!$A$9:$V$100,R$2,FALSE))</f>
        <v/>
      </c>
      <c r="S55" s="747" t="str">
        <f>IF(VLOOKUP($A55,'Pre-Assessment Estimator'!$A$9:$V$100,S$2,FALSE)=0,"",VLOOKUP($A55,'Pre-Assessment Estimator'!$A$9:$V$100,S$2,FALSE))</f>
        <v/>
      </c>
      <c r="T55" s="747" t="str">
        <f>IF(VLOOKUP($A55,'Pre-Assessment Estimator'!$A$9:$V$100,T$2,FALSE)=0,"",VLOOKUP($A55,'Pre-Assessment Estimator'!$A$9:$V$100,T$2,FALSE))</f>
        <v/>
      </c>
      <c r="U55" s="747" t="str">
        <f>IF(VLOOKUP($A55,'Pre-Assessment Estimator'!$A$9:$V$100,U$2,FALSE)=0,"",VLOOKUP($A55,'Pre-Assessment Estimator'!$A$9:$V$100,U$2,FALSE))</f>
        <v/>
      </c>
      <c r="V55" s="491" t="str">
        <f>IF(VLOOKUP($A55,'Pre-Assessment Estimator'!$A$9:$V$100,V$2,FALSE)=0,"",VLOOKUP($A55,'Pre-Assessment Estimator'!$A$9:$V$100,V$2,FALSE))</f>
        <v/>
      </c>
      <c r="W55" s="880"/>
      <c r="X55" s="747" t="str">
        <f>IF(VLOOKUP($A55,'Pre-Assessment Estimator'!$A$9:$X$100,X$2,FALSE)=0,"",VLOOKUP($A55,'Pre-Assessment Estimator'!$A$9:$X$100,X$2,FALSE))</f>
        <v>No</v>
      </c>
      <c r="AB55" s="519">
        <f t="shared" si="0"/>
        <v>1</v>
      </c>
      <c r="AC55" s="103" t="e">
        <f>VLOOKUP(I55,'Assessment Details'!$L$45:$M$48,2,FALSE)</f>
        <v>#N/A</v>
      </c>
      <c r="AD55" s="103" t="e">
        <f>VLOOKUP(N55,'Assessment Details'!$L$45:$M$48,2,FALSE)</f>
        <v>#N/A</v>
      </c>
      <c r="AE55" s="103" t="e">
        <f>VLOOKUP(T55,'Assessment Details'!$L$45:$M$48,2,FALSE)</f>
        <v>#N/A</v>
      </c>
    </row>
    <row r="56" spans="1:31" x14ac:dyDescent="0.25">
      <c r="A56" s="399">
        <v>48</v>
      </c>
      <c r="B56" s="439" t="s">
        <v>63</v>
      </c>
      <c r="C56" s="743" t="str">
        <f>Wat_04</f>
        <v>Wat 04 Water efficient equipment</v>
      </c>
      <c r="D56" s="744">
        <f>VLOOKUP($A56,'Pre-Assessment Estimator'!$A$9:$V$100,D$2,FALSE)</f>
        <v>0</v>
      </c>
      <c r="E56" s="744">
        <f>VLOOKUP($A56,'Pre-Assessment Estimator'!$A$9:$V$100,E$2,FALSE)</f>
        <v>0</v>
      </c>
      <c r="F56" s="745">
        <f>VLOOKUP($A56,'Pre-Assessment Estimator'!$A$9:$V$100,F$2,FALSE)</f>
        <v>0</v>
      </c>
      <c r="G56" s="752" t="str">
        <f>VLOOKUP($A56,'Pre-Assessment Estimator'!$A$9:$V$100,G$2,FALSE)</f>
        <v>N/A</v>
      </c>
      <c r="H56" s="747" t="str">
        <f>IF(VLOOKUP($A56,'Pre-Assessment Estimator'!$A$9:$V$100,H$2,FALSE)=0,"",VLOOKUP($A56,'Pre-Assessment Estimator'!$A$9:$V$100,H$2,FALSE))</f>
        <v/>
      </c>
      <c r="I56" s="747" t="str">
        <f>IF(VLOOKUP($A56,'Pre-Assessment Estimator'!$A$9:$V$100,I$2,FALSE)=0,"",VLOOKUP($A56,'Pre-Assessment Estimator'!$A$9:$V$100,I$2,FALSE))</f>
        <v/>
      </c>
      <c r="J56" s="748" t="str">
        <f>IF(VLOOKUP($A56,'Pre-Assessment Estimator'!$A$9:$V$100,J$2,FALSE)=0,"",VLOOKUP($A56,'Pre-Assessment Estimator'!$A$9:$V$100,J$2,FALSE))</f>
        <v/>
      </c>
      <c r="K56" s="749"/>
      <c r="L56" s="750" t="str">
        <f>IF(VLOOKUP($A56,'Pre-Assessment Estimator'!$A$9:$V$100,L$2,FALSE)=0,"",VLOOKUP($A56,'Pre-Assessment Estimator'!$A$9:$V$100,L$2,FALSE))</f>
        <v/>
      </c>
      <c r="M56" s="747" t="str">
        <f>IF(VLOOKUP($A56,'Pre-Assessment Estimator'!$A$9:$V$100,M$2,FALSE)=0,"",VLOOKUP($A56,'Pre-Assessment Estimator'!$A$9:$V$100,M$2,FALSE))</f>
        <v/>
      </c>
      <c r="N56" s="747" t="str">
        <f>IF(VLOOKUP($A56,'Pre-Assessment Estimator'!$A$9:$V$100,N$2,FALSE)=0,"",VLOOKUP($A56,'Pre-Assessment Estimator'!$A$9:$V$100,N$2,FALSE))</f>
        <v/>
      </c>
      <c r="O56" s="747" t="str">
        <f>IF(VLOOKUP($A56,'Pre-Assessment Estimator'!$A$9:$V$100,O$2,FALSE)=0,"",VLOOKUP($A56,'Pre-Assessment Estimator'!$A$9:$V$100,O$2,FALSE))</f>
        <v/>
      </c>
      <c r="P56" s="748" t="str">
        <f>IF(VLOOKUP($A56,'Pre-Assessment Estimator'!$A$9:$V$100,P$2,FALSE)=0,"",VLOOKUP($A56,'Pre-Assessment Estimator'!$A$9:$V$100,P$2,FALSE))</f>
        <v/>
      </c>
      <c r="Q56" s="751"/>
      <c r="R56" s="750" t="str">
        <f>IF(VLOOKUP($A56,'Pre-Assessment Estimator'!$A$9:$V$100,R$2,FALSE)=0,"",VLOOKUP($A56,'Pre-Assessment Estimator'!$A$9:$V$100,R$2,FALSE))</f>
        <v/>
      </c>
      <c r="S56" s="747" t="str">
        <f>IF(VLOOKUP($A56,'Pre-Assessment Estimator'!$A$9:$V$100,S$2,FALSE)=0,"",VLOOKUP($A56,'Pre-Assessment Estimator'!$A$9:$V$100,S$2,FALSE))</f>
        <v/>
      </c>
      <c r="T56" s="747" t="str">
        <f>IF(VLOOKUP($A56,'Pre-Assessment Estimator'!$A$9:$V$100,T$2,FALSE)=0,"",VLOOKUP($A56,'Pre-Assessment Estimator'!$A$9:$V$100,T$2,FALSE))</f>
        <v/>
      </c>
      <c r="U56" s="747" t="str">
        <f>IF(VLOOKUP($A56,'Pre-Assessment Estimator'!$A$9:$V$100,U$2,FALSE)=0,"",VLOOKUP($A56,'Pre-Assessment Estimator'!$A$9:$V$100,U$2,FALSE))</f>
        <v/>
      </c>
      <c r="V56" s="491" t="str">
        <f>IF(VLOOKUP($A56,'Pre-Assessment Estimator'!$A$9:$V$100,V$2,FALSE)=0,"",VLOOKUP($A56,'Pre-Assessment Estimator'!$A$9:$V$100,V$2,FALSE))</f>
        <v/>
      </c>
      <c r="W56" s="880"/>
      <c r="X56" s="747" t="str">
        <f>IF(VLOOKUP($A56,'Pre-Assessment Estimator'!$A$9:$X$100,X$2,FALSE)=0,"",VLOOKUP($A56,'Pre-Assessment Estimator'!$A$9:$X$100,X$2,FALSE))</f>
        <v>N/A</v>
      </c>
      <c r="AB56" s="519">
        <f t="shared" si="0"/>
        <v>2</v>
      </c>
      <c r="AC56" s="103" t="e">
        <f>VLOOKUP(I56,'Assessment Details'!$L$45:$M$48,2,FALSE)</f>
        <v>#N/A</v>
      </c>
      <c r="AD56" s="103" t="e">
        <f>VLOOKUP(N56,'Assessment Details'!$L$45:$M$48,2,FALSE)</f>
        <v>#N/A</v>
      </c>
      <c r="AE56" s="103" t="e">
        <f>VLOOKUP(T56,'Assessment Details'!$L$45:$M$48,2,FALSE)</f>
        <v>#N/A</v>
      </c>
    </row>
    <row r="57" spans="1:31" ht="15.75" thickBot="1" x14ac:dyDescent="0.3">
      <c r="A57" s="399">
        <v>49</v>
      </c>
      <c r="B57" s="439" t="s">
        <v>63</v>
      </c>
      <c r="C57" s="753" t="s">
        <v>111</v>
      </c>
      <c r="D57" s="754">
        <f>VLOOKUP($A57,'Pre-Assessment Estimator'!$A$9:$V$100,D$2,FALSE)</f>
        <v>8</v>
      </c>
      <c r="E57" s="754">
        <f>SUM(E53:E56)</f>
        <v>0</v>
      </c>
      <c r="F57" s="755">
        <f>VLOOKUP($A57,'Pre-Assessment Estimator'!$A$9:$V$100,F$2,FALSE)</f>
        <v>0</v>
      </c>
      <c r="G57" s="747"/>
      <c r="H57" s="747" t="str">
        <f>IF(VLOOKUP($A57,'Pre-Assessment Estimator'!$A$9:$V$100,H$2,FALSE)=0,"",VLOOKUP($A57,'Pre-Assessment Estimator'!$A$9:$V$100,H$2,FALSE))</f>
        <v/>
      </c>
      <c r="I57" s="744" t="str">
        <f>IF(VLOOKUP($A57,'Pre-Assessment Estimator'!$A$9:$V$100,I$2,FALSE)=0,"",VLOOKUP($A57,'Pre-Assessment Estimator'!$A$9:$V$100,I$2,FALSE))</f>
        <v/>
      </c>
      <c r="J57" s="748" t="str">
        <f>IF(VLOOKUP($A57,'Pre-Assessment Estimator'!$A$9:$V$100,J$2,FALSE)=0,"",VLOOKUP($A57,'Pre-Assessment Estimator'!$A$9:$V$100,J$2,FALSE))</f>
        <v/>
      </c>
      <c r="K57" s="749"/>
      <c r="L57" s="756" t="str">
        <f>IF(VLOOKUP($A57,'Pre-Assessment Estimator'!$A$9:$V$100,L$2,FALSE)=0,"",VLOOKUP($A57,'Pre-Assessment Estimator'!$A$9:$V$100,L$2,FALSE))</f>
        <v/>
      </c>
      <c r="M57" s="747" t="str">
        <f>IF(VLOOKUP($A57,'Pre-Assessment Estimator'!$A$9:$V$100,M$2,FALSE)=0,"",VLOOKUP($A57,'Pre-Assessment Estimator'!$A$9:$V$100,M$2,FALSE))</f>
        <v/>
      </c>
      <c r="N57" s="744" t="str">
        <f>IF(VLOOKUP($A57,'Pre-Assessment Estimator'!$A$9:$V$100,N$2,FALSE)=0,"",VLOOKUP($A57,'Pre-Assessment Estimator'!$A$9:$V$100,N$2,FALSE))</f>
        <v/>
      </c>
      <c r="O57" s="747" t="str">
        <f>IF(VLOOKUP($A57,'Pre-Assessment Estimator'!$A$9:$V$100,O$2,FALSE)=0,"",VLOOKUP($A57,'Pre-Assessment Estimator'!$A$9:$V$100,O$2,FALSE))</f>
        <v/>
      </c>
      <c r="P57" s="748" t="str">
        <f>IF(VLOOKUP($A57,'Pre-Assessment Estimator'!$A$9:$V$100,P$2,FALSE)=0,"",VLOOKUP($A57,'Pre-Assessment Estimator'!$A$9:$V$100,P$2,FALSE))</f>
        <v/>
      </c>
      <c r="Q57" s="751"/>
      <c r="R57" s="756" t="str">
        <f>IF(VLOOKUP($A57,'Pre-Assessment Estimator'!$A$9:$V$100,R$2,FALSE)=0,"",VLOOKUP($A57,'Pre-Assessment Estimator'!$A$9:$V$100,R$2,FALSE))</f>
        <v/>
      </c>
      <c r="S57" s="747" t="str">
        <f>IF(VLOOKUP($A57,'Pre-Assessment Estimator'!$A$9:$V$100,S$2,FALSE)=0,"",VLOOKUP($A57,'Pre-Assessment Estimator'!$A$9:$V$100,S$2,FALSE))</f>
        <v/>
      </c>
      <c r="T57" s="744" t="str">
        <f>IF(VLOOKUP($A57,'Pre-Assessment Estimator'!$A$9:$V$100,T$2,FALSE)=0,"",VLOOKUP($A57,'Pre-Assessment Estimator'!$A$9:$V$100,T$2,FALSE))</f>
        <v/>
      </c>
      <c r="U57" s="747" t="str">
        <f>IF(VLOOKUP($A57,'Pre-Assessment Estimator'!$A$9:$V$100,U$2,FALSE)=0,"",VLOOKUP($A57,'Pre-Assessment Estimator'!$A$9:$V$100,U$2,FALSE))</f>
        <v/>
      </c>
      <c r="V57" s="491" t="str">
        <f>IF(VLOOKUP($A57,'Pre-Assessment Estimator'!$A$9:$V$100,V$2,FALSE)=0,"",VLOOKUP($A57,'Pre-Assessment Estimator'!$A$9:$V$100,V$2,FALSE))</f>
        <v/>
      </c>
      <c r="W57" s="880"/>
      <c r="X57" s="747" t="str">
        <f>IF(VLOOKUP($A57,'Pre-Assessment Estimator'!$A$9:$X$100,X$2,FALSE)=0,"",VLOOKUP($A57,'Pre-Assessment Estimator'!$A$9:$X$100,X$2,FALSE))</f>
        <v/>
      </c>
      <c r="AB57" s="519">
        <f t="shared" si="0"/>
        <v>1</v>
      </c>
      <c r="AC57" s="333">
        <v>0</v>
      </c>
      <c r="AD57" s="333">
        <v>0</v>
      </c>
      <c r="AE57" s="333">
        <v>0</v>
      </c>
    </row>
    <row r="58" spans="1:31" x14ac:dyDescent="0.25">
      <c r="A58" s="399">
        <v>50</v>
      </c>
      <c r="B58" s="439" t="s">
        <v>63</v>
      </c>
      <c r="C58" s="757"/>
      <c r="D58" s="758"/>
      <c r="E58" s="758"/>
      <c r="F58" s="758"/>
      <c r="G58" s="758"/>
      <c r="H58" s="757"/>
      <c r="I58" s="758"/>
      <c r="J58" s="757"/>
      <c r="K58" s="749"/>
      <c r="L58" s="758"/>
      <c r="M58" s="757"/>
      <c r="N58" s="758"/>
      <c r="O58" s="757"/>
      <c r="P58" s="757"/>
      <c r="Q58" s="751"/>
      <c r="R58" s="758"/>
      <c r="S58" s="757"/>
      <c r="T58" s="758"/>
      <c r="U58" s="757"/>
      <c r="V58" s="440"/>
      <c r="W58" s="881"/>
      <c r="X58" s="757"/>
      <c r="Y58" s="522"/>
      <c r="Z58" s="522"/>
      <c r="AA58" s="522"/>
      <c r="AB58" s="519">
        <f t="shared" si="0"/>
        <v>1</v>
      </c>
      <c r="AC58" s="335">
        <v>0</v>
      </c>
      <c r="AD58" s="335">
        <v>0</v>
      </c>
      <c r="AE58" s="335">
        <v>0</v>
      </c>
    </row>
    <row r="59" spans="1:31" ht="18.75" x14ac:dyDescent="0.25">
      <c r="A59" s="399">
        <v>51</v>
      </c>
      <c r="B59" s="439" t="s">
        <v>72</v>
      </c>
      <c r="C59" s="759" t="s">
        <v>72</v>
      </c>
      <c r="D59" s="739"/>
      <c r="E59" s="739"/>
      <c r="F59" s="739"/>
      <c r="G59" s="739"/>
      <c r="H59" s="740"/>
      <c r="I59" s="739"/>
      <c r="J59" s="740"/>
      <c r="K59" s="749"/>
      <c r="L59" s="739"/>
      <c r="M59" s="740"/>
      <c r="N59" s="739"/>
      <c r="O59" s="740"/>
      <c r="P59" s="740"/>
      <c r="Q59" s="751"/>
      <c r="R59" s="739"/>
      <c r="S59" s="740"/>
      <c r="T59" s="739"/>
      <c r="U59" s="740"/>
      <c r="V59" s="544"/>
      <c r="W59" s="879"/>
      <c r="X59" s="883"/>
      <c r="AB59" s="519">
        <f t="shared" si="0"/>
        <v>1</v>
      </c>
      <c r="AC59" s="331">
        <v>0</v>
      </c>
      <c r="AD59" s="331">
        <v>0</v>
      </c>
      <c r="AE59" s="331">
        <v>0</v>
      </c>
    </row>
    <row r="60" spans="1:31" x14ac:dyDescent="0.25">
      <c r="A60" s="399">
        <v>52</v>
      </c>
      <c r="B60" s="439" t="s">
        <v>72</v>
      </c>
      <c r="C60" s="743" t="str">
        <f>Mat_01</f>
        <v>Mat 01 Life cycle impacts</v>
      </c>
      <c r="D60" s="744">
        <f>VLOOKUP($A60,'Pre-Assessment Estimator'!$A$9:$V$100,D$2,FALSE)</f>
        <v>7</v>
      </c>
      <c r="E60" s="744">
        <f>VLOOKUP($A60,'Pre-Assessment Estimator'!$A$9:$V$100,E$2,FALSE)</f>
        <v>0</v>
      </c>
      <c r="F60" s="745">
        <f>VLOOKUP($A60,'Pre-Assessment Estimator'!$A$9:$V$100,F$2,FALSE)</f>
        <v>0</v>
      </c>
      <c r="G60" s="746" t="str">
        <f>VLOOKUP($A60,'Pre-Assessment Estimator'!$A$9:$V$100,G$2,FALSE)</f>
        <v>Unclassified</v>
      </c>
      <c r="H60" s="747" t="str">
        <f>IF(VLOOKUP($A60,'Pre-Assessment Estimator'!$A$9:$V$100,H$2,FALSE)=0,"",VLOOKUP($A60,'Pre-Assessment Estimator'!$A$9:$V$100,H$2,FALSE))</f>
        <v/>
      </c>
      <c r="I60" s="747" t="str">
        <f>IF(VLOOKUP($A60,'Pre-Assessment Estimator'!$A$9:$V$100,I$2,FALSE)=0,"",VLOOKUP($A60,'Pre-Assessment Estimator'!$A$9:$V$100,I$2,FALSE))</f>
        <v/>
      </c>
      <c r="J60" s="748" t="str">
        <f>IF(VLOOKUP($A60,'Pre-Assessment Estimator'!$A$9:$V$100,J$2,FALSE)=0,"",VLOOKUP($A60,'Pre-Assessment Estimator'!$A$9:$V$100,J$2,FALSE))</f>
        <v/>
      </c>
      <c r="K60" s="749"/>
      <c r="L60" s="750" t="str">
        <f>IF(VLOOKUP($A60,'Pre-Assessment Estimator'!$A$9:$V$100,L$2,FALSE)=0,"",VLOOKUP($A60,'Pre-Assessment Estimator'!$A$9:$V$100,L$2,FALSE))</f>
        <v/>
      </c>
      <c r="M60" s="747" t="str">
        <f>IF(VLOOKUP($A60,'Pre-Assessment Estimator'!$A$9:$V$100,M$2,FALSE)=0,"",VLOOKUP($A60,'Pre-Assessment Estimator'!$A$9:$V$100,M$2,FALSE))</f>
        <v/>
      </c>
      <c r="N60" s="747" t="str">
        <f>IF(VLOOKUP($A60,'Pre-Assessment Estimator'!$A$9:$V$100,N$2,FALSE)=0,"",VLOOKUP($A60,'Pre-Assessment Estimator'!$A$9:$V$100,N$2,FALSE))</f>
        <v/>
      </c>
      <c r="O60" s="747" t="str">
        <f>IF(VLOOKUP($A60,'Pre-Assessment Estimator'!$A$9:$V$100,O$2,FALSE)=0,"",VLOOKUP($A60,'Pre-Assessment Estimator'!$A$9:$V$100,O$2,FALSE))</f>
        <v/>
      </c>
      <c r="P60" s="748" t="str">
        <f>IF(VLOOKUP($A60,'Pre-Assessment Estimator'!$A$9:$V$100,P$2,FALSE)=0,"",VLOOKUP($A60,'Pre-Assessment Estimator'!$A$9:$V$100,P$2,FALSE))</f>
        <v/>
      </c>
      <c r="Q60" s="751"/>
      <c r="R60" s="750" t="str">
        <f>IF(VLOOKUP($A60,'Pre-Assessment Estimator'!$A$9:$V$100,R$2,FALSE)=0,"",VLOOKUP($A60,'Pre-Assessment Estimator'!$A$9:$V$100,R$2,FALSE))</f>
        <v/>
      </c>
      <c r="S60" s="747" t="str">
        <f>IF(VLOOKUP($A60,'Pre-Assessment Estimator'!$A$9:$V$100,S$2,FALSE)=0,"",VLOOKUP($A60,'Pre-Assessment Estimator'!$A$9:$V$100,S$2,FALSE))</f>
        <v/>
      </c>
      <c r="T60" s="747" t="str">
        <f>IF(VLOOKUP($A60,'Pre-Assessment Estimator'!$A$9:$V$100,T$2,FALSE)=0,"",VLOOKUP($A60,'Pre-Assessment Estimator'!$A$9:$V$100,T$2,FALSE))</f>
        <v/>
      </c>
      <c r="U60" s="747" t="str">
        <f>IF(VLOOKUP($A60,'Pre-Assessment Estimator'!$A$9:$V$100,U$2,FALSE)=0,"",VLOOKUP($A60,'Pre-Assessment Estimator'!$A$9:$V$100,U$2,FALSE))</f>
        <v/>
      </c>
      <c r="V60" s="491" t="str">
        <f>IF(VLOOKUP($A60,'Pre-Assessment Estimator'!$A$9:$V$100,V$2,FALSE)=0,"",VLOOKUP($A60,'Pre-Assessment Estimator'!$A$9:$V$100,V$2,FALSE))</f>
        <v/>
      </c>
      <c r="W60" s="880"/>
      <c r="X60" s="747" t="str">
        <f>IF(VLOOKUP($A60,'Pre-Assessment Estimator'!$A$9:$X$100,X$2,FALSE)=0,"",VLOOKUP($A60,'Pre-Assessment Estimator'!$A$9:$X$100,X$2,FALSE))</f>
        <v>N/A</v>
      </c>
      <c r="AB60" s="519">
        <f t="shared" si="0"/>
        <v>1</v>
      </c>
      <c r="AC60" s="520" t="e">
        <f>VLOOKUP(I60,'Assessment Details'!$L$45:$M$48,2,FALSE)</f>
        <v>#N/A</v>
      </c>
      <c r="AD60" s="520" t="e">
        <f>VLOOKUP(N60,'Assessment Details'!$L$45:$M$48,2,FALSE)</f>
        <v>#N/A</v>
      </c>
      <c r="AE60" s="520" t="e">
        <f>VLOOKUP(T60,'Assessment Details'!$L$45:$M$48,2,FALSE)</f>
        <v>#N/A</v>
      </c>
    </row>
    <row r="61" spans="1:31" x14ac:dyDescent="0.25">
      <c r="A61" s="399">
        <v>53</v>
      </c>
      <c r="B61" s="439" t="s">
        <v>72</v>
      </c>
      <c r="C61" s="743" t="str">
        <f>Mat01_Crit1</f>
        <v>Mat 01 Life cycle impacts  - Criteria 1</v>
      </c>
      <c r="D61" s="744" t="str">
        <f>VLOOKUP($A61,'Pre-Assessment Estimator'!$A$9:$V$100,D$2,FALSE)</f>
        <v>Yes/No</v>
      </c>
      <c r="E61" s="744">
        <f>VLOOKUP($A61,'Pre-Assessment Estimator'!$A$9:$V$100,E$2,FALSE)</f>
        <v>0</v>
      </c>
      <c r="F61" s="745" t="str">
        <f>VLOOKUP($A61,'Pre-Assessment Estimator'!$A$9:$V$100,F$2,FALSE)</f>
        <v>-</v>
      </c>
      <c r="G61" s="760" t="str">
        <f>VLOOKUP($A61,'Pre-Assessment Estimator'!$A$9:$V$100,G$2,FALSE)</f>
        <v>Unclassified</v>
      </c>
      <c r="H61" s="747" t="str">
        <f>IF(VLOOKUP($A61,'Pre-Assessment Estimator'!$A$9:$V$100,H$2,FALSE)=0,"",VLOOKUP($A61,'Pre-Assessment Estimator'!$A$9:$V$100,H$2,FALSE))</f>
        <v/>
      </c>
      <c r="I61" s="747" t="str">
        <f>IF(VLOOKUP($A61,'Pre-Assessment Estimator'!$A$9:$V$100,I$2,FALSE)=0,"",VLOOKUP($A61,'Pre-Assessment Estimator'!$A$9:$V$100,I$2,FALSE))</f>
        <v/>
      </c>
      <c r="J61" s="748" t="str">
        <f>IF(VLOOKUP($A61,'Pre-Assessment Estimator'!$A$9:$V$100,J$2,FALSE)=0,"",VLOOKUP($A61,'Pre-Assessment Estimator'!$A$9:$V$100,J$2,FALSE))</f>
        <v/>
      </c>
      <c r="K61" s="749"/>
      <c r="L61" s="750" t="str">
        <f>IF(VLOOKUP($A61,'Pre-Assessment Estimator'!$A$9:$V$100,L$2,FALSE)=0,"",VLOOKUP($A61,'Pre-Assessment Estimator'!$A$9:$V$100,L$2,FALSE))</f>
        <v/>
      </c>
      <c r="M61" s="747" t="str">
        <f>IF(VLOOKUP($A61,'Pre-Assessment Estimator'!$A$9:$V$100,M$2,FALSE)=0,"",VLOOKUP($A61,'Pre-Assessment Estimator'!$A$9:$V$100,M$2,FALSE))</f>
        <v/>
      </c>
      <c r="N61" s="747" t="str">
        <f>IF(VLOOKUP($A61,'Pre-Assessment Estimator'!$A$9:$V$100,N$2,FALSE)=0,"",VLOOKUP($A61,'Pre-Assessment Estimator'!$A$9:$V$100,N$2,FALSE))</f>
        <v/>
      </c>
      <c r="O61" s="747" t="str">
        <f>IF(VLOOKUP($A61,'Pre-Assessment Estimator'!$A$9:$V$100,O$2,FALSE)=0,"",VLOOKUP($A61,'Pre-Assessment Estimator'!$A$9:$V$100,O$2,FALSE))</f>
        <v/>
      </c>
      <c r="P61" s="748" t="str">
        <f>IF(VLOOKUP($A61,'Pre-Assessment Estimator'!$A$9:$V$100,P$2,FALSE)=0,"",VLOOKUP($A61,'Pre-Assessment Estimator'!$A$9:$V$100,P$2,FALSE))</f>
        <v/>
      </c>
      <c r="Q61" s="751"/>
      <c r="R61" s="750" t="str">
        <f>IF(VLOOKUP($A61,'Pre-Assessment Estimator'!$A$9:$V$100,R$2,FALSE)=0,"",VLOOKUP($A61,'Pre-Assessment Estimator'!$A$9:$V$100,R$2,FALSE))</f>
        <v/>
      </c>
      <c r="S61" s="747" t="str">
        <f>IF(VLOOKUP($A61,'Pre-Assessment Estimator'!$A$9:$V$100,S$2,FALSE)=0,"",VLOOKUP($A61,'Pre-Assessment Estimator'!$A$9:$V$100,S$2,FALSE))</f>
        <v/>
      </c>
      <c r="T61" s="747" t="str">
        <f>IF(VLOOKUP($A61,'Pre-Assessment Estimator'!$A$9:$V$100,T$2,FALSE)=0,"",VLOOKUP($A61,'Pre-Assessment Estimator'!$A$9:$V$100,T$2,FALSE))</f>
        <v/>
      </c>
      <c r="U61" s="747" t="str">
        <f>IF(VLOOKUP($A61,'Pre-Assessment Estimator'!$A$9:$V$100,U$2,FALSE)=0,"",VLOOKUP($A61,'Pre-Assessment Estimator'!$A$9:$V$100,U$2,FALSE))</f>
        <v/>
      </c>
      <c r="V61" s="491" t="str">
        <f>IF(VLOOKUP($A61,'Pre-Assessment Estimator'!$A$9:$V$100,V$2,FALSE)=0,"",VLOOKUP($A61,'Pre-Assessment Estimator'!$A$9:$V$100,V$2,FALSE))</f>
        <v/>
      </c>
      <c r="W61" s="880"/>
      <c r="X61" s="747" t="str">
        <f>IF(VLOOKUP($A61,'Pre-Assessment Estimator'!$A$9:$X$100,X$2,FALSE)=0,"",VLOOKUP($A61,'Pre-Assessment Estimator'!$A$9:$X$100,X$2,FALSE))</f>
        <v>N/A</v>
      </c>
      <c r="AB61" s="519">
        <f t="shared" si="0"/>
        <v>1</v>
      </c>
      <c r="AC61" s="103" t="e">
        <f>VLOOKUP(I61,'Assessment Details'!$L$45:$M$48,2,FALSE)</f>
        <v>#N/A</v>
      </c>
      <c r="AD61" s="103" t="e">
        <f>VLOOKUP(N61,'Assessment Details'!$L$45:$M$48,2,FALSE)</f>
        <v>#N/A</v>
      </c>
      <c r="AE61" s="103" t="e">
        <f>VLOOKUP(T61,'Assessment Details'!$L$45:$M$48,2,FALSE)</f>
        <v>#N/A</v>
      </c>
    </row>
    <row r="62" spans="1:31" x14ac:dyDescent="0.25">
      <c r="A62" s="399">
        <v>54</v>
      </c>
      <c r="B62" s="439" t="s">
        <v>72</v>
      </c>
      <c r="C62" s="743" t="str">
        <f>Mat_03</f>
        <v>Mat 03 Responsible sourcing of materials</v>
      </c>
      <c r="D62" s="744">
        <f>VLOOKUP($A62,'Pre-Assessment Estimator'!$A$9:$V$100,D$2,FALSE)</f>
        <v>3</v>
      </c>
      <c r="E62" s="744">
        <f>VLOOKUP($A62,'Pre-Assessment Estimator'!$A$9:$V$100,E$2,FALSE)</f>
        <v>0</v>
      </c>
      <c r="F62" s="745">
        <f>VLOOKUP($A62,'Pre-Assessment Estimator'!$A$9:$V$100,F$2,FALSE)</f>
        <v>0</v>
      </c>
      <c r="G62" s="752" t="str">
        <f>VLOOKUP($A62,'Pre-Assessment Estimator'!$A$9:$V$100,G$2,FALSE)</f>
        <v>Unclassified</v>
      </c>
      <c r="H62" s="747" t="str">
        <f>IF(VLOOKUP($A62,'Pre-Assessment Estimator'!$A$9:$V$100,H$2,FALSE)=0,"",VLOOKUP($A62,'Pre-Assessment Estimator'!$A$9:$V$100,H$2,FALSE))</f>
        <v/>
      </c>
      <c r="I62" s="747" t="str">
        <f>IF(VLOOKUP($A62,'Pre-Assessment Estimator'!$A$9:$V$100,I$2,FALSE)=0,"",VLOOKUP($A62,'Pre-Assessment Estimator'!$A$9:$V$100,I$2,FALSE))</f>
        <v/>
      </c>
      <c r="J62" s="748" t="str">
        <f>IF(VLOOKUP($A62,'Pre-Assessment Estimator'!$A$9:$V$100,J$2,FALSE)=0,"",VLOOKUP($A62,'Pre-Assessment Estimator'!$A$9:$V$100,J$2,FALSE))</f>
        <v/>
      </c>
      <c r="K62" s="749"/>
      <c r="L62" s="750" t="str">
        <f>IF(VLOOKUP($A62,'Pre-Assessment Estimator'!$A$9:$V$100,L$2,FALSE)=0,"",VLOOKUP($A62,'Pre-Assessment Estimator'!$A$9:$V$100,L$2,FALSE))</f>
        <v/>
      </c>
      <c r="M62" s="747" t="str">
        <f>IF(VLOOKUP($A62,'Pre-Assessment Estimator'!$A$9:$V$100,M$2,FALSE)=0,"",VLOOKUP($A62,'Pre-Assessment Estimator'!$A$9:$V$100,M$2,FALSE))</f>
        <v/>
      </c>
      <c r="N62" s="747" t="str">
        <f>IF(VLOOKUP($A62,'Pre-Assessment Estimator'!$A$9:$V$100,N$2,FALSE)=0,"",VLOOKUP($A62,'Pre-Assessment Estimator'!$A$9:$V$100,N$2,FALSE))</f>
        <v/>
      </c>
      <c r="O62" s="747" t="str">
        <f>IF(VLOOKUP($A62,'Pre-Assessment Estimator'!$A$9:$V$100,O$2,FALSE)=0,"",VLOOKUP($A62,'Pre-Assessment Estimator'!$A$9:$V$100,O$2,FALSE))</f>
        <v/>
      </c>
      <c r="P62" s="748" t="str">
        <f>IF(VLOOKUP($A62,'Pre-Assessment Estimator'!$A$9:$V$100,P$2,FALSE)=0,"",VLOOKUP($A62,'Pre-Assessment Estimator'!$A$9:$V$100,P$2,FALSE))</f>
        <v/>
      </c>
      <c r="Q62" s="751"/>
      <c r="R62" s="750" t="str">
        <f>IF(VLOOKUP($A62,'Pre-Assessment Estimator'!$A$9:$V$100,R$2,FALSE)=0,"",VLOOKUP($A62,'Pre-Assessment Estimator'!$A$9:$V$100,R$2,FALSE))</f>
        <v/>
      </c>
      <c r="S62" s="747" t="str">
        <f>IF(VLOOKUP($A62,'Pre-Assessment Estimator'!$A$9:$V$100,S$2,FALSE)=0,"",VLOOKUP($A62,'Pre-Assessment Estimator'!$A$9:$V$100,S$2,FALSE))</f>
        <v/>
      </c>
      <c r="T62" s="747" t="str">
        <f>IF(VLOOKUP($A62,'Pre-Assessment Estimator'!$A$9:$V$100,T$2,FALSE)=0,"",VLOOKUP($A62,'Pre-Assessment Estimator'!$A$9:$V$100,T$2,FALSE))</f>
        <v/>
      </c>
      <c r="U62" s="747" t="str">
        <f>IF(VLOOKUP($A62,'Pre-Assessment Estimator'!$A$9:$V$100,U$2,FALSE)=0,"",VLOOKUP($A62,'Pre-Assessment Estimator'!$A$9:$V$100,U$2,FALSE))</f>
        <v/>
      </c>
      <c r="V62" s="491" t="str">
        <f>IF(VLOOKUP($A62,'Pre-Assessment Estimator'!$A$9:$V$100,V$2,FALSE)=0,"",VLOOKUP($A62,'Pre-Assessment Estimator'!$A$9:$V$100,V$2,FALSE))</f>
        <v/>
      </c>
      <c r="W62" s="880"/>
      <c r="X62" s="747" t="str">
        <f>IF(VLOOKUP($A62,'Pre-Assessment Estimator'!$A$9:$X$100,X$2,FALSE)=0,"",VLOOKUP($A62,'Pre-Assessment Estimator'!$A$9:$X$100,X$2,FALSE))</f>
        <v>N/A</v>
      </c>
      <c r="AB62" s="519">
        <f t="shared" si="0"/>
        <v>1</v>
      </c>
      <c r="AC62" s="103" t="e">
        <f>VLOOKUP(I62,'Assessment Details'!$L$45:$M$48,2,FALSE)</f>
        <v>#N/A</v>
      </c>
      <c r="AD62" s="103" t="e">
        <f>VLOOKUP(N62,'Assessment Details'!$L$45:$M$48,2,FALSE)</f>
        <v>#N/A</v>
      </c>
      <c r="AE62" s="103" t="e">
        <f>VLOOKUP(T62,'Assessment Details'!$L$45:$M$48,2,FALSE)</f>
        <v>#N/A</v>
      </c>
    </row>
    <row r="63" spans="1:31" x14ac:dyDescent="0.25">
      <c r="A63" s="399">
        <v>55</v>
      </c>
      <c r="B63" s="439" t="s">
        <v>72</v>
      </c>
      <c r="C63" s="743" t="str">
        <f>Mat03_Crit1</f>
        <v>Mat 03 Responsible sourcing of mat.  - Crit 1.</v>
      </c>
      <c r="D63" s="744" t="str">
        <f>VLOOKUP($A63,'Pre-Assessment Estimator'!$A$9:$V$100,D$2,FALSE)</f>
        <v>Yes/No</v>
      </c>
      <c r="E63" s="744">
        <f>VLOOKUP($A63,'Pre-Assessment Estimator'!$A$9:$V$100,E$2,FALSE)</f>
        <v>0</v>
      </c>
      <c r="F63" s="745" t="str">
        <f>VLOOKUP($A63,'Pre-Assessment Estimator'!$A$9:$V$100,F$2,FALSE)</f>
        <v>-</v>
      </c>
      <c r="G63" s="752" t="str">
        <f>VLOOKUP($A63,'Pre-Assessment Estimator'!$A$9:$V$100,G$2,FALSE)</f>
        <v>Unclassified</v>
      </c>
      <c r="H63" s="747" t="str">
        <f>IF(VLOOKUP($A63,'Pre-Assessment Estimator'!$A$9:$V$100,H$2,FALSE)=0,"",VLOOKUP($A63,'Pre-Assessment Estimator'!$A$9:$V$100,H$2,FALSE))</f>
        <v/>
      </c>
      <c r="I63" s="747" t="str">
        <f>IF(VLOOKUP($A63,'Pre-Assessment Estimator'!$A$9:$V$100,I$2,FALSE)=0,"",VLOOKUP($A63,'Pre-Assessment Estimator'!$A$9:$V$100,I$2,FALSE))</f>
        <v/>
      </c>
      <c r="J63" s="748" t="str">
        <f>IF(VLOOKUP($A63,'Pre-Assessment Estimator'!$A$9:$V$100,J$2,FALSE)=0,"",VLOOKUP($A63,'Pre-Assessment Estimator'!$A$9:$V$100,J$2,FALSE))</f>
        <v/>
      </c>
      <c r="K63" s="749"/>
      <c r="L63" s="750" t="str">
        <f>IF(VLOOKUP($A63,'Pre-Assessment Estimator'!$A$9:$V$100,L$2,FALSE)=0,"",VLOOKUP($A63,'Pre-Assessment Estimator'!$A$9:$V$100,L$2,FALSE))</f>
        <v/>
      </c>
      <c r="M63" s="747" t="str">
        <f>IF(VLOOKUP($A63,'Pre-Assessment Estimator'!$A$9:$V$100,M$2,FALSE)=0,"",VLOOKUP($A63,'Pre-Assessment Estimator'!$A$9:$V$100,M$2,FALSE))</f>
        <v/>
      </c>
      <c r="N63" s="747" t="str">
        <f>IF(VLOOKUP($A63,'Pre-Assessment Estimator'!$A$9:$V$100,N$2,FALSE)=0,"",VLOOKUP($A63,'Pre-Assessment Estimator'!$A$9:$V$100,N$2,FALSE))</f>
        <v/>
      </c>
      <c r="O63" s="747" t="str">
        <f>IF(VLOOKUP($A63,'Pre-Assessment Estimator'!$A$9:$V$100,O$2,FALSE)=0,"",VLOOKUP($A63,'Pre-Assessment Estimator'!$A$9:$V$100,O$2,FALSE))</f>
        <v/>
      </c>
      <c r="P63" s="748" t="str">
        <f>IF(VLOOKUP($A63,'Pre-Assessment Estimator'!$A$9:$V$100,P$2,FALSE)=0,"",VLOOKUP($A63,'Pre-Assessment Estimator'!$A$9:$V$100,P$2,FALSE))</f>
        <v/>
      </c>
      <c r="Q63" s="751"/>
      <c r="R63" s="750" t="str">
        <f>IF(VLOOKUP($A63,'Pre-Assessment Estimator'!$A$9:$V$100,R$2,FALSE)=0,"",VLOOKUP($A63,'Pre-Assessment Estimator'!$A$9:$V$100,R$2,FALSE))</f>
        <v/>
      </c>
      <c r="S63" s="747" t="str">
        <f>IF(VLOOKUP($A63,'Pre-Assessment Estimator'!$A$9:$V$100,S$2,FALSE)=0,"",VLOOKUP($A63,'Pre-Assessment Estimator'!$A$9:$V$100,S$2,FALSE))</f>
        <v/>
      </c>
      <c r="T63" s="747" t="str">
        <f>IF(VLOOKUP($A63,'Pre-Assessment Estimator'!$A$9:$V$100,T$2,FALSE)=0,"",VLOOKUP($A63,'Pre-Assessment Estimator'!$A$9:$V$100,T$2,FALSE))</f>
        <v/>
      </c>
      <c r="U63" s="747" t="str">
        <f>IF(VLOOKUP($A63,'Pre-Assessment Estimator'!$A$9:$V$100,U$2,FALSE)=0,"",VLOOKUP($A63,'Pre-Assessment Estimator'!$A$9:$V$100,U$2,FALSE))</f>
        <v/>
      </c>
      <c r="V63" s="491" t="str">
        <f>IF(VLOOKUP($A63,'Pre-Assessment Estimator'!$A$9:$V$100,V$2,FALSE)=0,"",VLOOKUP($A63,'Pre-Assessment Estimator'!$A$9:$V$100,V$2,FALSE))</f>
        <v/>
      </c>
      <c r="W63" s="880"/>
      <c r="X63" s="747" t="str">
        <f>IF(VLOOKUP($A63,'Pre-Assessment Estimator'!$A$9:$X$100,X$2,FALSE)=0,"",VLOOKUP($A63,'Pre-Assessment Estimator'!$A$9:$X$100,X$2,FALSE))</f>
        <v>N/A</v>
      </c>
      <c r="AB63" s="519">
        <f t="shared" si="0"/>
        <v>1</v>
      </c>
      <c r="AC63" s="103" t="e">
        <f>VLOOKUP(I63,'Assessment Details'!$L$45:$M$48,2,FALSE)</f>
        <v>#N/A</v>
      </c>
      <c r="AD63" s="103" t="e">
        <f>VLOOKUP(N63,'Assessment Details'!$L$45:$M$48,2,FALSE)</f>
        <v>#N/A</v>
      </c>
      <c r="AE63" s="103" t="e">
        <f>VLOOKUP(T63,'Assessment Details'!$L$45:$M$48,2,FALSE)</f>
        <v>#N/A</v>
      </c>
    </row>
    <row r="64" spans="1:31" x14ac:dyDescent="0.25">
      <c r="A64" s="399">
        <v>56</v>
      </c>
      <c r="B64" s="439" t="s">
        <v>72</v>
      </c>
      <c r="C64" s="743" t="str">
        <f>Mat_05</f>
        <v>Mat 05 Designing for robustness</v>
      </c>
      <c r="D64" s="744">
        <f>VLOOKUP($A64,'Pre-Assessment Estimator'!$A$9:$V$100,D$2,FALSE)</f>
        <v>1</v>
      </c>
      <c r="E64" s="744">
        <f>VLOOKUP($A64,'Pre-Assessment Estimator'!$A$9:$V$100,E$2,FALSE)</f>
        <v>0</v>
      </c>
      <c r="F64" s="745">
        <f>VLOOKUP($A64,'Pre-Assessment Estimator'!$A$9:$V$100,F$2,FALSE)</f>
        <v>0</v>
      </c>
      <c r="G64" s="746" t="str">
        <f>VLOOKUP($A64,'Pre-Assessment Estimator'!$A$9:$V$100,G$2,FALSE)</f>
        <v>N/A</v>
      </c>
      <c r="H64" s="747" t="str">
        <f>IF(VLOOKUP($A64,'Pre-Assessment Estimator'!$A$9:$V$100,H$2,FALSE)=0,"",VLOOKUP($A64,'Pre-Assessment Estimator'!$A$9:$V$100,H$2,FALSE))</f>
        <v/>
      </c>
      <c r="I64" s="747" t="str">
        <f>IF(VLOOKUP($A64,'Pre-Assessment Estimator'!$A$9:$V$100,I$2,FALSE)=0,"",VLOOKUP($A64,'Pre-Assessment Estimator'!$A$9:$V$100,I$2,FALSE))</f>
        <v/>
      </c>
      <c r="J64" s="748" t="str">
        <f>IF(VLOOKUP($A64,'Pre-Assessment Estimator'!$A$9:$V$100,J$2,FALSE)=0,"",VLOOKUP($A64,'Pre-Assessment Estimator'!$A$9:$V$100,J$2,FALSE))</f>
        <v/>
      </c>
      <c r="K64" s="749"/>
      <c r="L64" s="750" t="str">
        <f>IF(VLOOKUP($A64,'Pre-Assessment Estimator'!$A$9:$V$100,L$2,FALSE)=0,"",VLOOKUP($A64,'Pre-Assessment Estimator'!$A$9:$V$100,L$2,FALSE))</f>
        <v/>
      </c>
      <c r="M64" s="747" t="str">
        <f>IF(VLOOKUP($A64,'Pre-Assessment Estimator'!$A$9:$V$100,M$2,FALSE)=0,"",VLOOKUP($A64,'Pre-Assessment Estimator'!$A$9:$V$100,M$2,FALSE))</f>
        <v/>
      </c>
      <c r="N64" s="747" t="str">
        <f>IF(VLOOKUP($A64,'Pre-Assessment Estimator'!$A$9:$V$100,N$2,FALSE)=0,"",VLOOKUP($A64,'Pre-Assessment Estimator'!$A$9:$V$100,N$2,FALSE))</f>
        <v/>
      </c>
      <c r="O64" s="747" t="str">
        <f>IF(VLOOKUP($A64,'Pre-Assessment Estimator'!$A$9:$V$100,O$2,FALSE)=0,"",VLOOKUP($A64,'Pre-Assessment Estimator'!$A$9:$V$100,O$2,FALSE))</f>
        <v/>
      </c>
      <c r="P64" s="748" t="str">
        <f>IF(VLOOKUP($A64,'Pre-Assessment Estimator'!$A$9:$V$100,P$2,FALSE)=0,"",VLOOKUP($A64,'Pre-Assessment Estimator'!$A$9:$V$100,P$2,FALSE))</f>
        <v/>
      </c>
      <c r="Q64" s="751"/>
      <c r="R64" s="750" t="str">
        <f>IF(VLOOKUP($A64,'Pre-Assessment Estimator'!$A$9:$V$100,R$2,FALSE)=0,"",VLOOKUP($A64,'Pre-Assessment Estimator'!$A$9:$V$100,R$2,FALSE))</f>
        <v/>
      </c>
      <c r="S64" s="747" t="str">
        <f>IF(VLOOKUP($A64,'Pre-Assessment Estimator'!$A$9:$V$100,S$2,FALSE)=0,"",VLOOKUP($A64,'Pre-Assessment Estimator'!$A$9:$V$100,S$2,FALSE))</f>
        <v/>
      </c>
      <c r="T64" s="747" t="str">
        <f>IF(VLOOKUP($A64,'Pre-Assessment Estimator'!$A$9:$V$100,T$2,FALSE)=0,"",VLOOKUP($A64,'Pre-Assessment Estimator'!$A$9:$V$100,T$2,FALSE))</f>
        <v/>
      </c>
      <c r="U64" s="747" t="str">
        <f>IF(VLOOKUP($A64,'Pre-Assessment Estimator'!$A$9:$V$100,U$2,FALSE)=0,"",VLOOKUP($A64,'Pre-Assessment Estimator'!$A$9:$V$100,U$2,FALSE))</f>
        <v/>
      </c>
      <c r="V64" s="491" t="str">
        <f>IF(VLOOKUP($A64,'Pre-Assessment Estimator'!$A$9:$V$100,V$2,FALSE)=0,"",VLOOKUP($A64,'Pre-Assessment Estimator'!$A$9:$V$100,V$2,FALSE))</f>
        <v/>
      </c>
      <c r="W64" s="880"/>
      <c r="X64" s="747" t="str">
        <f>IF(VLOOKUP($A64,'Pre-Assessment Estimator'!$A$9:$X$100,X$2,FALSE)=0,"",VLOOKUP($A64,'Pre-Assessment Estimator'!$A$9:$X$100,X$2,FALSE))</f>
        <v>No</v>
      </c>
      <c r="AB64" s="519">
        <f t="shared" si="0"/>
        <v>1</v>
      </c>
      <c r="AC64" s="103" t="e">
        <f>VLOOKUP(I64,'Assessment Details'!$L$45:$M$48,2,FALSE)</f>
        <v>#N/A</v>
      </c>
      <c r="AD64" s="103" t="e">
        <f>VLOOKUP(N64,'Assessment Details'!$L$45:$M$48,2,FALSE)</f>
        <v>#N/A</v>
      </c>
      <c r="AE64" s="103" t="e">
        <f>VLOOKUP(T64,'Assessment Details'!$L$45:$M$48,2,FALSE)</f>
        <v>#N/A</v>
      </c>
    </row>
    <row r="65" spans="1:31" ht="15.75" thickBot="1" x14ac:dyDescent="0.3">
      <c r="A65" s="399">
        <v>57</v>
      </c>
      <c r="B65" s="439" t="s">
        <v>72</v>
      </c>
      <c r="C65" s="753" t="s">
        <v>112</v>
      </c>
      <c r="D65" s="754">
        <f>VLOOKUP($A65,'Pre-Assessment Estimator'!$A$9:$V$100,D$2,FALSE)</f>
        <v>11</v>
      </c>
      <c r="E65" s="754">
        <f>SUM(E60:E64)</f>
        <v>0</v>
      </c>
      <c r="F65" s="755">
        <f>VLOOKUP($A65,'Pre-Assessment Estimator'!$A$9:$V$100,F$2,FALSE)</f>
        <v>0</v>
      </c>
      <c r="G65" s="747"/>
      <c r="H65" s="747" t="str">
        <f>IF(VLOOKUP($A65,'Pre-Assessment Estimator'!$A$9:$V$100,H$2,FALSE)=0,"",VLOOKUP($A65,'Pre-Assessment Estimator'!$A$9:$V$100,H$2,FALSE))</f>
        <v/>
      </c>
      <c r="I65" s="744" t="str">
        <f>IF(VLOOKUP($A65,'Pre-Assessment Estimator'!$A$9:$V$100,I$2,FALSE)=0,"",VLOOKUP($A65,'Pre-Assessment Estimator'!$A$9:$V$100,I$2,FALSE))</f>
        <v/>
      </c>
      <c r="J65" s="748" t="str">
        <f>IF(VLOOKUP($A65,'Pre-Assessment Estimator'!$A$9:$V$100,J$2,FALSE)=0,"",VLOOKUP($A65,'Pre-Assessment Estimator'!$A$9:$V$100,J$2,FALSE))</f>
        <v/>
      </c>
      <c r="K65" s="749"/>
      <c r="L65" s="756" t="str">
        <f>IF(VLOOKUP($A65,'Pre-Assessment Estimator'!$A$9:$V$100,L$2,FALSE)=0,"",VLOOKUP($A65,'Pre-Assessment Estimator'!$A$9:$V$100,L$2,FALSE))</f>
        <v/>
      </c>
      <c r="M65" s="747" t="str">
        <f>IF(VLOOKUP($A65,'Pre-Assessment Estimator'!$A$9:$V$100,M$2,FALSE)=0,"",VLOOKUP($A65,'Pre-Assessment Estimator'!$A$9:$V$100,M$2,FALSE))</f>
        <v/>
      </c>
      <c r="N65" s="744" t="str">
        <f>IF(VLOOKUP($A65,'Pre-Assessment Estimator'!$A$9:$V$100,N$2,FALSE)=0,"",VLOOKUP($A65,'Pre-Assessment Estimator'!$A$9:$V$100,N$2,FALSE))</f>
        <v/>
      </c>
      <c r="O65" s="747" t="str">
        <f>IF(VLOOKUP($A65,'Pre-Assessment Estimator'!$A$9:$V$100,O$2,FALSE)=0,"",VLOOKUP($A65,'Pre-Assessment Estimator'!$A$9:$V$100,O$2,FALSE))</f>
        <v/>
      </c>
      <c r="P65" s="748" t="str">
        <f>IF(VLOOKUP($A65,'Pre-Assessment Estimator'!$A$9:$V$100,P$2,FALSE)=0,"",VLOOKUP($A65,'Pre-Assessment Estimator'!$A$9:$V$100,P$2,FALSE))</f>
        <v/>
      </c>
      <c r="Q65" s="751"/>
      <c r="R65" s="756" t="str">
        <f>IF(VLOOKUP($A65,'Pre-Assessment Estimator'!$A$9:$V$100,R$2,FALSE)=0,"",VLOOKUP($A65,'Pre-Assessment Estimator'!$A$9:$V$100,R$2,FALSE))</f>
        <v/>
      </c>
      <c r="S65" s="747" t="str">
        <f>IF(VLOOKUP($A65,'Pre-Assessment Estimator'!$A$9:$V$100,S$2,FALSE)=0,"",VLOOKUP($A65,'Pre-Assessment Estimator'!$A$9:$V$100,S$2,FALSE))</f>
        <v/>
      </c>
      <c r="T65" s="744" t="str">
        <f>IF(VLOOKUP($A65,'Pre-Assessment Estimator'!$A$9:$V$100,T$2,FALSE)=0,"",VLOOKUP($A65,'Pre-Assessment Estimator'!$A$9:$V$100,T$2,FALSE))</f>
        <v/>
      </c>
      <c r="U65" s="747" t="str">
        <f>IF(VLOOKUP($A65,'Pre-Assessment Estimator'!$A$9:$V$100,U$2,FALSE)=0,"",VLOOKUP($A65,'Pre-Assessment Estimator'!$A$9:$V$100,U$2,FALSE))</f>
        <v/>
      </c>
      <c r="V65" s="491" t="str">
        <f>IF(VLOOKUP($A65,'Pre-Assessment Estimator'!$A$9:$V$100,V$2,FALSE)=0,"",VLOOKUP($A65,'Pre-Assessment Estimator'!$A$9:$V$100,V$2,FALSE))</f>
        <v/>
      </c>
      <c r="W65" s="880"/>
      <c r="X65" s="747" t="str">
        <f>IF(VLOOKUP($A65,'Pre-Assessment Estimator'!$A$9:$X$100,X$2,FALSE)=0,"",VLOOKUP($A65,'Pre-Assessment Estimator'!$A$9:$X$100,X$2,FALSE))</f>
        <v/>
      </c>
      <c r="AB65" s="519">
        <f t="shared" si="0"/>
        <v>1</v>
      </c>
      <c r="AC65" s="333">
        <v>0</v>
      </c>
      <c r="AD65" s="333">
        <v>0</v>
      </c>
      <c r="AE65" s="333">
        <v>0</v>
      </c>
    </row>
    <row r="66" spans="1:31" x14ac:dyDescent="0.25">
      <c r="A66" s="399">
        <v>58</v>
      </c>
      <c r="B66" s="439" t="s">
        <v>72</v>
      </c>
      <c r="C66" s="757"/>
      <c r="D66" s="758"/>
      <c r="E66" s="758"/>
      <c r="F66" s="758"/>
      <c r="G66" s="758"/>
      <c r="H66" s="757"/>
      <c r="I66" s="758"/>
      <c r="J66" s="757"/>
      <c r="K66" s="749"/>
      <c r="L66" s="758"/>
      <c r="M66" s="757"/>
      <c r="N66" s="758"/>
      <c r="O66" s="757"/>
      <c r="P66" s="757"/>
      <c r="Q66" s="751"/>
      <c r="R66" s="758"/>
      <c r="S66" s="757"/>
      <c r="T66" s="758"/>
      <c r="U66" s="757"/>
      <c r="V66" s="440"/>
      <c r="W66" s="881"/>
      <c r="X66" s="757" t="str">
        <f>IF(VLOOKUP($A66,'Pre-Assessment Estimator'!$A$9:$X$100,X$2,FALSE)=0,"",VLOOKUP($A66,'Pre-Assessment Estimator'!$A$9:$X$100,X$2,FALSE))</f>
        <v/>
      </c>
      <c r="Y66" s="522"/>
      <c r="Z66" s="522"/>
      <c r="AA66" s="522"/>
      <c r="AB66" s="519">
        <f t="shared" si="0"/>
        <v>1</v>
      </c>
      <c r="AC66" s="335">
        <v>0</v>
      </c>
      <c r="AD66" s="335">
        <v>0</v>
      </c>
      <c r="AE66" s="335">
        <v>0</v>
      </c>
    </row>
    <row r="67" spans="1:31" ht="18.75" x14ac:dyDescent="0.25">
      <c r="A67" s="399">
        <v>59</v>
      </c>
      <c r="B67" s="439" t="s">
        <v>73</v>
      </c>
      <c r="C67" s="759" t="s">
        <v>73</v>
      </c>
      <c r="D67" s="739"/>
      <c r="E67" s="739"/>
      <c r="F67" s="739"/>
      <c r="G67" s="739"/>
      <c r="H67" s="740"/>
      <c r="I67" s="739"/>
      <c r="J67" s="740"/>
      <c r="K67" s="749"/>
      <c r="L67" s="739"/>
      <c r="M67" s="740"/>
      <c r="N67" s="739"/>
      <c r="O67" s="740"/>
      <c r="P67" s="740"/>
      <c r="Q67" s="751"/>
      <c r="R67" s="739"/>
      <c r="S67" s="740"/>
      <c r="T67" s="739"/>
      <c r="U67" s="740"/>
      <c r="V67" s="544"/>
      <c r="W67" s="879"/>
      <c r="X67" s="883" t="str">
        <f>IF(VLOOKUP($A67,'Pre-Assessment Estimator'!$A$9:$X$100,X$2,FALSE)=0,"",VLOOKUP($A67,'Pre-Assessment Estimator'!$A$9:$X$100,X$2,FALSE))</f>
        <v/>
      </c>
      <c r="AB67" s="519">
        <f t="shared" si="0"/>
        <v>1</v>
      </c>
      <c r="AC67" s="331">
        <v>0</v>
      </c>
      <c r="AD67" s="331">
        <v>0</v>
      </c>
      <c r="AE67" s="331">
        <v>0</v>
      </c>
    </row>
    <row r="68" spans="1:31" x14ac:dyDescent="0.25">
      <c r="A68" s="399">
        <v>60</v>
      </c>
      <c r="B68" s="439" t="s">
        <v>73</v>
      </c>
      <c r="C68" s="743" t="str">
        <f>Wst_01</f>
        <v>Wst 01 Construction waste management</v>
      </c>
      <c r="D68" s="744">
        <f>VLOOKUP($A68,'Pre-Assessment Estimator'!$A$9:$V$100,D$2,FALSE)</f>
        <v>3</v>
      </c>
      <c r="E68" s="744">
        <f>VLOOKUP($A68,'Pre-Assessment Estimator'!$A$9:$V$100,E$2,FALSE)</f>
        <v>0</v>
      </c>
      <c r="F68" s="745">
        <f>VLOOKUP($A68,'Pre-Assessment Estimator'!$A$9:$V$100,F$2,FALSE)</f>
        <v>0</v>
      </c>
      <c r="G68" s="746" t="str">
        <f>VLOOKUP($A68,'Pre-Assessment Estimator'!$A$9:$V$100,G$2,FALSE)</f>
        <v>Excellent</v>
      </c>
      <c r="H68" s="747" t="str">
        <f>IF(VLOOKUP($A68,'Pre-Assessment Estimator'!$A$9:$V$100,H$2,FALSE)=0,"",VLOOKUP($A68,'Pre-Assessment Estimator'!$A$9:$V$100,H$2,FALSE))</f>
        <v/>
      </c>
      <c r="I68" s="747" t="str">
        <f>IF(VLOOKUP($A68,'Pre-Assessment Estimator'!$A$9:$V$100,I$2,FALSE)=0,"",VLOOKUP($A68,'Pre-Assessment Estimator'!$A$9:$V$100,I$2,FALSE))</f>
        <v/>
      </c>
      <c r="J68" s="748" t="str">
        <f>IF(VLOOKUP($A68,'Pre-Assessment Estimator'!$A$9:$V$100,J$2,FALSE)=0,"",VLOOKUP($A68,'Pre-Assessment Estimator'!$A$9:$V$100,J$2,FALSE))</f>
        <v/>
      </c>
      <c r="K68" s="749"/>
      <c r="L68" s="750" t="str">
        <f>IF(VLOOKUP($A68,'Pre-Assessment Estimator'!$A$9:$V$100,L$2,FALSE)=0,"",VLOOKUP($A68,'Pre-Assessment Estimator'!$A$9:$V$100,L$2,FALSE))</f>
        <v/>
      </c>
      <c r="M68" s="747" t="str">
        <f>IF(VLOOKUP($A68,'Pre-Assessment Estimator'!$A$9:$V$100,M$2,FALSE)=0,"",VLOOKUP($A68,'Pre-Assessment Estimator'!$A$9:$V$100,M$2,FALSE))</f>
        <v/>
      </c>
      <c r="N68" s="747" t="str">
        <f>IF(VLOOKUP($A68,'Pre-Assessment Estimator'!$A$9:$V$100,N$2,FALSE)=0,"",VLOOKUP($A68,'Pre-Assessment Estimator'!$A$9:$V$100,N$2,FALSE))</f>
        <v/>
      </c>
      <c r="O68" s="747" t="str">
        <f>IF(VLOOKUP($A68,'Pre-Assessment Estimator'!$A$9:$V$100,O$2,FALSE)=0,"",VLOOKUP($A68,'Pre-Assessment Estimator'!$A$9:$V$100,O$2,FALSE))</f>
        <v/>
      </c>
      <c r="P68" s="748" t="str">
        <f>IF(VLOOKUP($A68,'Pre-Assessment Estimator'!$A$9:$V$100,P$2,FALSE)=0,"",VLOOKUP($A68,'Pre-Assessment Estimator'!$A$9:$V$100,P$2,FALSE))</f>
        <v/>
      </c>
      <c r="Q68" s="751"/>
      <c r="R68" s="750" t="str">
        <f>IF(VLOOKUP($A68,'Pre-Assessment Estimator'!$A$9:$V$100,R$2,FALSE)=0,"",VLOOKUP($A68,'Pre-Assessment Estimator'!$A$9:$V$100,R$2,FALSE))</f>
        <v/>
      </c>
      <c r="S68" s="747" t="str">
        <f>IF(VLOOKUP($A68,'Pre-Assessment Estimator'!$A$9:$V$100,S$2,FALSE)=0,"",VLOOKUP($A68,'Pre-Assessment Estimator'!$A$9:$V$100,S$2,FALSE))</f>
        <v/>
      </c>
      <c r="T68" s="747" t="str">
        <f>IF(VLOOKUP($A68,'Pre-Assessment Estimator'!$A$9:$V$100,T$2,FALSE)=0,"",VLOOKUP($A68,'Pre-Assessment Estimator'!$A$9:$V$100,T$2,FALSE))</f>
        <v/>
      </c>
      <c r="U68" s="747" t="str">
        <f>IF(VLOOKUP($A68,'Pre-Assessment Estimator'!$A$9:$V$100,U$2,FALSE)=0,"",VLOOKUP($A68,'Pre-Assessment Estimator'!$A$9:$V$100,U$2,FALSE))</f>
        <v/>
      </c>
      <c r="V68" s="491" t="str">
        <f>IF(VLOOKUP($A68,'Pre-Assessment Estimator'!$A$9:$V$100,V$2,FALSE)=0,"",VLOOKUP($A68,'Pre-Assessment Estimator'!$A$9:$V$100,V$2,FALSE))</f>
        <v/>
      </c>
      <c r="W68" s="880"/>
      <c r="X68" s="747" t="str">
        <f>IF(VLOOKUP($A68,'Pre-Assessment Estimator'!$A$9:$X$100,X$2,FALSE)=0,"",VLOOKUP($A68,'Pre-Assessment Estimator'!$A$9:$X$100,X$2,FALSE))</f>
        <v>N/A</v>
      </c>
      <c r="AB68" s="519">
        <f t="shared" si="0"/>
        <v>1</v>
      </c>
      <c r="AC68" s="520" t="e">
        <f>VLOOKUP(I68,'Assessment Details'!$L$45:$M$48,2,FALSE)</f>
        <v>#N/A</v>
      </c>
      <c r="AD68" s="520" t="e">
        <f>VLOOKUP(N68,'Assessment Details'!$L$45:$M$48,2,FALSE)</f>
        <v>#N/A</v>
      </c>
      <c r="AE68" s="520" t="e">
        <f>VLOOKUP(T68,'Assessment Details'!$L$45:$M$48,2,FALSE)</f>
        <v>#N/A</v>
      </c>
    </row>
    <row r="69" spans="1:31" x14ac:dyDescent="0.25">
      <c r="A69" s="399">
        <v>61</v>
      </c>
      <c r="B69" s="439" t="s">
        <v>73</v>
      </c>
      <c r="C69" s="743" t="str">
        <f>Wst_02</f>
        <v>Wst 02 Recycled aggregates</v>
      </c>
      <c r="D69" s="744">
        <f>VLOOKUP($A69,'Pre-Assessment Estimator'!$A$9:$V$100,D$2,FALSE)</f>
        <v>1</v>
      </c>
      <c r="E69" s="744">
        <f>VLOOKUP($A69,'Pre-Assessment Estimator'!$A$9:$V$100,E$2,FALSE)</f>
        <v>0</v>
      </c>
      <c r="F69" s="745">
        <f>VLOOKUP($A69,'Pre-Assessment Estimator'!$A$9:$V$100,F$2,FALSE)</f>
        <v>0</v>
      </c>
      <c r="G69" s="752" t="str">
        <f>VLOOKUP($A69,'Pre-Assessment Estimator'!$A$9:$V$100,G$2,FALSE)</f>
        <v>N/A</v>
      </c>
      <c r="H69" s="747" t="str">
        <f>IF(VLOOKUP($A69,'Pre-Assessment Estimator'!$A$9:$V$100,H$2,FALSE)=0,"",VLOOKUP($A69,'Pre-Assessment Estimator'!$A$9:$V$100,H$2,FALSE))</f>
        <v/>
      </c>
      <c r="I69" s="747" t="str">
        <f>IF(VLOOKUP($A69,'Pre-Assessment Estimator'!$A$9:$V$100,I$2,FALSE)=0,"",VLOOKUP($A69,'Pre-Assessment Estimator'!$A$9:$V$100,I$2,FALSE))</f>
        <v/>
      </c>
      <c r="J69" s="748" t="str">
        <f>IF(VLOOKUP($A69,'Pre-Assessment Estimator'!$A$9:$V$100,J$2,FALSE)=0,"",VLOOKUP($A69,'Pre-Assessment Estimator'!$A$9:$V$100,J$2,FALSE))</f>
        <v/>
      </c>
      <c r="K69" s="749"/>
      <c r="L69" s="750" t="str">
        <f>IF(VLOOKUP($A69,'Pre-Assessment Estimator'!$A$9:$V$100,L$2,FALSE)=0,"",VLOOKUP($A69,'Pre-Assessment Estimator'!$A$9:$V$100,L$2,FALSE))</f>
        <v/>
      </c>
      <c r="M69" s="747" t="str">
        <f>IF(VLOOKUP($A69,'Pre-Assessment Estimator'!$A$9:$V$100,M$2,FALSE)=0,"",VLOOKUP($A69,'Pre-Assessment Estimator'!$A$9:$V$100,M$2,FALSE))</f>
        <v/>
      </c>
      <c r="N69" s="747" t="str">
        <f>IF(VLOOKUP($A69,'Pre-Assessment Estimator'!$A$9:$V$100,N$2,FALSE)=0,"",VLOOKUP($A69,'Pre-Assessment Estimator'!$A$9:$V$100,N$2,FALSE))</f>
        <v/>
      </c>
      <c r="O69" s="747" t="str">
        <f>IF(VLOOKUP($A69,'Pre-Assessment Estimator'!$A$9:$V$100,O$2,FALSE)=0,"",VLOOKUP($A69,'Pre-Assessment Estimator'!$A$9:$V$100,O$2,FALSE))</f>
        <v/>
      </c>
      <c r="P69" s="748" t="str">
        <f>IF(VLOOKUP($A69,'Pre-Assessment Estimator'!$A$9:$V$100,P$2,FALSE)=0,"",VLOOKUP($A69,'Pre-Assessment Estimator'!$A$9:$V$100,P$2,FALSE))</f>
        <v/>
      </c>
      <c r="Q69" s="751"/>
      <c r="R69" s="750" t="str">
        <f>IF(VLOOKUP($A69,'Pre-Assessment Estimator'!$A$9:$V$100,R$2,FALSE)=0,"",VLOOKUP($A69,'Pre-Assessment Estimator'!$A$9:$V$100,R$2,FALSE))</f>
        <v/>
      </c>
      <c r="S69" s="747" t="str">
        <f>IF(VLOOKUP($A69,'Pre-Assessment Estimator'!$A$9:$V$100,S$2,FALSE)=0,"",VLOOKUP($A69,'Pre-Assessment Estimator'!$A$9:$V$100,S$2,FALSE))</f>
        <v/>
      </c>
      <c r="T69" s="747" t="str">
        <f>IF(VLOOKUP($A69,'Pre-Assessment Estimator'!$A$9:$V$100,T$2,FALSE)=0,"",VLOOKUP($A69,'Pre-Assessment Estimator'!$A$9:$V$100,T$2,FALSE))</f>
        <v/>
      </c>
      <c r="U69" s="747" t="str">
        <f>IF(VLOOKUP($A69,'Pre-Assessment Estimator'!$A$9:$V$100,U$2,FALSE)=0,"",VLOOKUP($A69,'Pre-Assessment Estimator'!$A$9:$V$100,U$2,FALSE))</f>
        <v/>
      </c>
      <c r="V69" s="491" t="str">
        <f>IF(VLOOKUP($A69,'Pre-Assessment Estimator'!$A$9:$V$100,V$2,FALSE)=0,"",VLOOKUP($A69,'Pre-Assessment Estimator'!$A$9:$V$100,V$2,FALSE))</f>
        <v/>
      </c>
      <c r="W69" s="880"/>
      <c r="X69" s="747" t="str">
        <f>IF(VLOOKUP($A69,'Pre-Assessment Estimator'!$A$9:$X$100,X$2,FALSE)=0,"",VLOOKUP($A69,'Pre-Assessment Estimator'!$A$9:$X$100,X$2,FALSE))</f>
        <v>N/A</v>
      </c>
      <c r="AB69" s="519">
        <f t="shared" si="0"/>
        <v>1</v>
      </c>
      <c r="AC69" s="520" t="e">
        <f>VLOOKUP(I69,'Assessment Details'!$L$45:$M$48,2,FALSE)</f>
        <v>#N/A</v>
      </c>
      <c r="AD69" s="520" t="e">
        <f>VLOOKUP(N69,'Assessment Details'!$L$45:$M$48,2,FALSE)</f>
        <v>#N/A</v>
      </c>
      <c r="AE69" s="520" t="e">
        <f>VLOOKUP(T69,'Assessment Details'!$L$45:$M$48,2,FALSE)</f>
        <v>#N/A</v>
      </c>
    </row>
    <row r="70" spans="1:31" x14ac:dyDescent="0.25">
      <c r="A70" s="399">
        <v>62</v>
      </c>
      <c r="B70" s="439" t="s">
        <v>73</v>
      </c>
      <c r="C70" s="743" t="str">
        <f>Wst_03</f>
        <v>Wst 03 Operational waste</v>
      </c>
      <c r="D70" s="744">
        <f>VLOOKUP($A70,'Pre-Assessment Estimator'!$A$9:$V$100,D$2,FALSE)</f>
        <v>1</v>
      </c>
      <c r="E70" s="744">
        <f>VLOOKUP($A70,'Pre-Assessment Estimator'!$A$9:$V$100,E$2,FALSE)</f>
        <v>0</v>
      </c>
      <c r="F70" s="745">
        <f>VLOOKUP($A70,'Pre-Assessment Estimator'!$A$9:$V$100,F$2,FALSE)</f>
        <v>0</v>
      </c>
      <c r="G70" s="746" t="str">
        <f>VLOOKUP($A70,'Pre-Assessment Estimator'!$A$9:$V$100,G$2,FALSE)</f>
        <v>Very Good</v>
      </c>
      <c r="H70" s="747" t="str">
        <f>IF(VLOOKUP($A70,'Pre-Assessment Estimator'!$A$9:$V$100,H$2,FALSE)=0,"",VLOOKUP($A70,'Pre-Assessment Estimator'!$A$9:$V$100,H$2,FALSE))</f>
        <v/>
      </c>
      <c r="I70" s="747" t="str">
        <f>IF(VLOOKUP($A70,'Pre-Assessment Estimator'!$A$9:$V$100,I$2,FALSE)=0,"",VLOOKUP($A70,'Pre-Assessment Estimator'!$A$9:$V$100,I$2,FALSE))</f>
        <v/>
      </c>
      <c r="J70" s="748" t="str">
        <f>IF(VLOOKUP($A70,'Pre-Assessment Estimator'!$A$9:$V$100,J$2,FALSE)=0,"",VLOOKUP($A70,'Pre-Assessment Estimator'!$A$9:$V$100,J$2,FALSE))</f>
        <v/>
      </c>
      <c r="K70" s="749"/>
      <c r="L70" s="750" t="str">
        <f>IF(VLOOKUP($A70,'Pre-Assessment Estimator'!$A$9:$V$100,L$2,FALSE)=0,"",VLOOKUP($A70,'Pre-Assessment Estimator'!$A$9:$V$100,L$2,FALSE))</f>
        <v/>
      </c>
      <c r="M70" s="747" t="str">
        <f>IF(VLOOKUP($A70,'Pre-Assessment Estimator'!$A$9:$V$100,M$2,FALSE)=0,"",VLOOKUP($A70,'Pre-Assessment Estimator'!$A$9:$V$100,M$2,FALSE))</f>
        <v/>
      </c>
      <c r="N70" s="747" t="str">
        <f>IF(VLOOKUP($A70,'Pre-Assessment Estimator'!$A$9:$V$100,N$2,FALSE)=0,"",VLOOKUP($A70,'Pre-Assessment Estimator'!$A$9:$V$100,N$2,FALSE))</f>
        <v/>
      </c>
      <c r="O70" s="747" t="str">
        <f>IF(VLOOKUP($A70,'Pre-Assessment Estimator'!$A$9:$V$100,O$2,FALSE)=0,"",VLOOKUP($A70,'Pre-Assessment Estimator'!$A$9:$V$100,O$2,FALSE))</f>
        <v/>
      </c>
      <c r="P70" s="748" t="str">
        <f>IF(VLOOKUP($A70,'Pre-Assessment Estimator'!$A$9:$V$100,P$2,FALSE)=0,"",VLOOKUP($A70,'Pre-Assessment Estimator'!$A$9:$V$100,P$2,FALSE))</f>
        <v/>
      </c>
      <c r="Q70" s="751"/>
      <c r="R70" s="750" t="str">
        <f>IF(VLOOKUP($A70,'Pre-Assessment Estimator'!$A$9:$V$100,R$2,FALSE)=0,"",VLOOKUP($A70,'Pre-Assessment Estimator'!$A$9:$V$100,R$2,FALSE))</f>
        <v/>
      </c>
      <c r="S70" s="747" t="str">
        <f>IF(VLOOKUP($A70,'Pre-Assessment Estimator'!$A$9:$V$100,S$2,FALSE)=0,"",VLOOKUP($A70,'Pre-Assessment Estimator'!$A$9:$V$100,S$2,FALSE))</f>
        <v/>
      </c>
      <c r="T70" s="747" t="str">
        <f>IF(VLOOKUP($A70,'Pre-Assessment Estimator'!$A$9:$V$100,T$2,FALSE)=0,"",VLOOKUP($A70,'Pre-Assessment Estimator'!$A$9:$V$100,T$2,FALSE))</f>
        <v/>
      </c>
      <c r="U70" s="747" t="str">
        <f>IF(VLOOKUP($A70,'Pre-Assessment Estimator'!$A$9:$V$100,U$2,FALSE)=0,"",VLOOKUP($A70,'Pre-Assessment Estimator'!$A$9:$V$100,U$2,FALSE))</f>
        <v/>
      </c>
      <c r="V70" s="491" t="str">
        <f>IF(VLOOKUP($A70,'Pre-Assessment Estimator'!$A$9:$V$100,V$2,FALSE)=0,"",VLOOKUP($A70,'Pre-Assessment Estimator'!$A$9:$V$100,V$2,FALSE))</f>
        <v/>
      </c>
      <c r="W70" s="880"/>
      <c r="X70" s="747" t="str">
        <f>IF(VLOOKUP($A70,'Pre-Assessment Estimator'!$A$9:$X$100,X$2,FALSE)=0,"",VLOOKUP($A70,'Pre-Assessment Estimator'!$A$9:$X$100,X$2,FALSE))</f>
        <v>No</v>
      </c>
      <c r="AB70" s="519">
        <f t="shared" si="0"/>
        <v>1</v>
      </c>
      <c r="AC70" s="103" t="e">
        <f>VLOOKUP(I70,'Assessment Details'!$L$45:$M$48,2,FALSE)</f>
        <v>#N/A</v>
      </c>
      <c r="AD70" s="103" t="e">
        <f>VLOOKUP(N70,'Assessment Details'!$L$45:$M$48,2,FALSE)</f>
        <v>#N/A</v>
      </c>
      <c r="AE70" s="103" t="e">
        <f>VLOOKUP(T70,'Assessment Details'!$L$45:$M$48,2,FALSE)</f>
        <v>#N/A</v>
      </c>
    </row>
    <row r="71" spans="1:31" x14ac:dyDescent="0.25">
      <c r="A71" s="399">
        <v>63</v>
      </c>
      <c r="B71" s="439" t="s">
        <v>73</v>
      </c>
      <c r="C71" s="743" t="str">
        <f>Wst_04</f>
        <v>Wst 04 Speculative floor and ceiling finishes</v>
      </c>
      <c r="D71" s="744">
        <f>VLOOKUP($A71,'Pre-Assessment Estimator'!$A$9:$V$100,D$2,FALSE)</f>
        <v>1</v>
      </c>
      <c r="E71" s="744">
        <f>VLOOKUP($A71,'Pre-Assessment Estimator'!$A$9:$V$100,E$2,FALSE)</f>
        <v>0</v>
      </c>
      <c r="F71" s="745">
        <f>VLOOKUP($A71,'Pre-Assessment Estimator'!$A$9:$V$100,F$2,FALSE)</f>
        <v>0</v>
      </c>
      <c r="G71" s="752" t="str">
        <f>VLOOKUP($A71,'Pre-Assessment Estimator'!$A$9:$V$100,G$2,FALSE)</f>
        <v>N/A</v>
      </c>
      <c r="H71" s="747" t="str">
        <f>IF(VLOOKUP($A71,'Pre-Assessment Estimator'!$A$9:$V$100,H$2,FALSE)=0,"",VLOOKUP($A71,'Pre-Assessment Estimator'!$A$9:$V$100,H$2,FALSE))</f>
        <v/>
      </c>
      <c r="I71" s="747" t="str">
        <f>IF(VLOOKUP($A71,'Pre-Assessment Estimator'!$A$9:$V$100,I$2,FALSE)=0,"",VLOOKUP($A71,'Pre-Assessment Estimator'!$A$9:$V$100,I$2,FALSE))</f>
        <v/>
      </c>
      <c r="J71" s="748" t="str">
        <f>IF(VLOOKUP($A71,'Pre-Assessment Estimator'!$A$9:$V$100,J$2,FALSE)=0,"",VLOOKUP($A71,'Pre-Assessment Estimator'!$A$9:$V$100,J$2,FALSE))</f>
        <v/>
      </c>
      <c r="K71" s="749"/>
      <c r="L71" s="750" t="str">
        <f>IF(VLOOKUP($A71,'Pre-Assessment Estimator'!$A$9:$V$100,L$2,FALSE)=0,"",VLOOKUP($A71,'Pre-Assessment Estimator'!$A$9:$V$100,L$2,FALSE))</f>
        <v/>
      </c>
      <c r="M71" s="747" t="str">
        <f>IF(VLOOKUP($A71,'Pre-Assessment Estimator'!$A$9:$V$100,M$2,FALSE)=0,"",VLOOKUP($A71,'Pre-Assessment Estimator'!$A$9:$V$100,M$2,FALSE))</f>
        <v/>
      </c>
      <c r="N71" s="747" t="str">
        <f>IF(VLOOKUP($A71,'Pre-Assessment Estimator'!$A$9:$V$100,N$2,FALSE)=0,"",VLOOKUP($A71,'Pre-Assessment Estimator'!$A$9:$V$100,N$2,FALSE))</f>
        <v/>
      </c>
      <c r="O71" s="747" t="str">
        <f>IF(VLOOKUP($A71,'Pre-Assessment Estimator'!$A$9:$V$100,O$2,FALSE)=0,"",VLOOKUP($A71,'Pre-Assessment Estimator'!$A$9:$V$100,O$2,FALSE))</f>
        <v/>
      </c>
      <c r="P71" s="748" t="str">
        <f>IF(VLOOKUP($A71,'Pre-Assessment Estimator'!$A$9:$V$100,P$2,FALSE)=0,"",VLOOKUP($A71,'Pre-Assessment Estimator'!$A$9:$V$100,P$2,FALSE))</f>
        <v/>
      </c>
      <c r="Q71" s="751"/>
      <c r="R71" s="750" t="str">
        <f>IF(VLOOKUP($A71,'Pre-Assessment Estimator'!$A$9:$V$100,R$2,FALSE)=0,"",VLOOKUP($A71,'Pre-Assessment Estimator'!$A$9:$V$100,R$2,FALSE))</f>
        <v/>
      </c>
      <c r="S71" s="747" t="str">
        <f>IF(VLOOKUP($A71,'Pre-Assessment Estimator'!$A$9:$V$100,S$2,FALSE)=0,"",VLOOKUP($A71,'Pre-Assessment Estimator'!$A$9:$V$100,S$2,FALSE))</f>
        <v/>
      </c>
      <c r="T71" s="747" t="str">
        <f>IF(VLOOKUP($A71,'Pre-Assessment Estimator'!$A$9:$V$100,T$2,FALSE)=0,"",VLOOKUP($A71,'Pre-Assessment Estimator'!$A$9:$V$100,T$2,FALSE))</f>
        <v xml:space="preserve"> </v>
      </c>
      <c r="U71" s="747" t="str">
        <f>IF(VLOOKUP($A71,'Pre-Assessment Estimator'!$A$9:$V$100,U$2,FALSE)=0,"",VLOOKUP($A71,'Pre-Assessment Estimator'!$A$9:$V$100,U$2,FALSE))</f>
        <v/>
      </c>
      <c r="V71" s="491" t="str">
        <f>IF(VLOOKUP($A71,'Pre-Assessment Estimator'!$A$9:$V$100,V$2,FALSE)=0,"",VLOOKUP($A71,'Pre-Assessment Estimator'!$A$9:$V$100,V$2,FALSE))</f>
        <v/>
      </c>
      <c r="W71" s="880"/>
      <c r="X71" s="747" t="str">
        <f>IF(VLOOKUP($A71,'Pre-Assessment Estimator'!$A$9:$X$100,X$2,FALSE)=0,"",VLOOKUP($A71,'Pre-Assessment Estimator'!$A$9:$X$100,X$2,FALSE))</f>
        <v>No</v>
      </c>
      <c r="AB71" s="519">
        <f t="shared" si="0"/>
        <v>1</v>
      </c>
      <c r="AC71" s="520" t="e">
        <f>VLOOKUP(I71,'Assessment Details'!$L$45:$M$48,2,FALSE)</f>
        <v>#N/A</v>
      </c>
      <c r="AD71" s="520" t="e">
        <f>VLOOKUP(N71,'Assessment Details'!$L$45:$M$48,2,FALSE)</f>
        <v>#N/A</v>
      </c>
      <c r="AE71" s="520">
        <f>VLOOKUP(T71,'Assessment Details'!$L$45:$M$48,2,FALSE)</f>
        <v>4</v>
      </c>
    </row>
    <row r="72" spans="1:31" ht="15.75" thickBot="1" x14ac:dyDescent="0.3">
      <c r="A72" s="399">
        <v>64</v>
      </c>
      <c r="B72" s="439" t="s">
        <v>73</v>
      </c>
      <c r="C72" s="753" t="s">
        <v>113</v>
      </c>
      <c r="D72" s="754">
        <f>VLOOKUP($A72,'Pre-Assessment Estimator'!$A$9:$V$100,D$2,FALSE)</f>
        <v>6</v>
      </c>
      <c r="E72" s="754">
        <f>SUM(E68:E71)</f>
        <v>0</v>
      </c>
      <c r="F72" s="755">
        <f>VLOOKUP($A72,'Pre-Assessment Estimator'!$A$9:$V$100,F$2,FALSE)</f>
        <v>0</v>
      </c>
      <c r="G72" s="747"/>
      <c r="H72" s="747" t="str">
        <f>IF(VLOOKUP($A72,'Pre-Assessment Estimator'!$A$9:$V$100,H$2,FALSE)=0,"",VLOOKUP($A72,'Pre-Assessment Estimator'!$A$9:$V$100,H$2,FALSE))</f>
        <v/>
      </c>
      <c r="I72" s="744" t="str">
        <f>IF(VLOOKUP($A72,'Pre-Assessment Estimator'!$A$9:$V$100,I$2,FALSE)=0,"",VLOOKUP($A72,'Pre-Assessment Estimator'!$A$9:$V$100,I$2,FALSE))</f>
        <v/>
      </c>
      <c r="J72" s="748" t="str">
        <f>IF(VLOOKUP($A72,'Pre-Assessment Estimator'!$A$9:$V$100,J$2,FALSE)=0,"",VLOOKUP($A72,'Pre-Assessment Estimator'!$A$9:$V$100,J$2,FALSE))</f>
        <v/>
      </c>
      <c r="K72" s="749"/>
      <c r="L72" s="756" t="str">
        <f>IF(VLOOKUP($A72,'Pre-Assessment Estimator'!$A$9:$V$100,L$2,FALSE)=0,"",VLOOKUP($A72,'Pre-Assessment Estimator'!$A$9:$V$100,L$2,FALSE))</f>
        <v/>
      </c>
      <c r="M72" s="747" t="str">
        <f>IF(VLOOKUP($A72,'Pre-Assessment Estimator'!$A$9:$V$100,M$2,FALSE)=0,"",VLOOKUP($A72,'Pre-Assessment Estimator'!$A$9:$V$100,M$2,FALSE))</f>
        <v/>
      </c>
      <c r="N72" s="744" t="str">
        <f>IF(VLOOKUP($A72,'Pre-Assessment Estimator'!$A$9:$V$100,N$2,FALSE)=0,"",VLOOKUP($A72,'Pre-Assessment Estimator'!$A$9:$V$100,N$2,FALSE))</f>
        <v/>
      </c>
      <c r="O72" s="747" t="str">
        <f>IF(VLOOKUP($A72,'Pre-Assessment Estimator'!$A$9:$V$100,O$2,FALSE)=0,"",VLOOKUP($A72,'Pre-Assessment Estimator'!$A$9:$V$100,O$2,FALSE))</f>
        <v/>
      </c>
      <c r="P72" s="748" t="str">
        <f>IF(VLOOKUP($A72,'Pre-Assessment Estimator'!$A$9:$V$100,P$2,FALSE)=0,"",VLOOKUP($A72,'Pre-Assessment Estimator'!$A$9:$V$100,P$2,FALSE))</f>
        <v/>
      </c>
      <c r="Q72" s="751"/>
      <c r="R72" s="756" t="str">
        <f>IF(VLOOKUP($A72,'Pre-Assessment Estimator'!$A$9:$V$100,R$2,FALSE)=0,"",VLOOKUP($A72,'Pre-Assessment Estimator'!$A$9:$V$100,R$2,FALSE))</f>
        <v/>
      </c>
      <c r="S72" s="747" t="str">
        <f>IF(VLOOKUP($A72,'Pre-Assessment Estimator'!$A$9:$V$100,S$2,FALSE)=0,"",VLOOKUP($A72,'Pre-Assessment Estimator'!$A$9:$V$100,S$2,FALSE))</f>
        <v/>
      </c>
      <c r="T72" s="744" t="str">
        <f>IF(VLOOKUP($A72,'Pre-Assessment Estimator'!$A$9:$V$100,T$2,FALSE)=0,"",VLOOKUP($A72,'Pre-Assessment Estimator'!$A$9:$V$100,T$2,FALSE))</f>
        <v/>
      </c>
      <c r="U72" s="747" t="str">
        <f>IF(VLOOKUP($A72,'Pre-Assessment Estimator'!$A$9:$V$100,U$2,FALSE)=0,"",VLOOKUP($A72,'Pre-Assessment Estimator'!$A$9:$V$100,U$2,FALSE))</f>
        <v/>
      </c>
      <c r="V72" s="491" t="str">
        <f>IF(VLOOKUP($A72,'Pre-Assessment Estimator'!$A$9:$V$100,V$2,FALSE)=0,"",VLOOKUP($A72,'Pre-Assessment Estimator'!$A$9:$V$100,V$2,FALSE))</f>
        <v/>
      </c>
      <c r="W72" s="880"/>
      <c r="X72" s="747" t="str">
        <f>IF(VLOOKUP($A72,'Pre-Assessment Estimator'!$A$9:$X$100,X$2,FALSE)=0,"",VLOOKUP($A72,'Pre-Assessment Estimator'!$A$9:$X$100,X$2,FALSE))</f>
        <v/>
      </c>
      <c r="AB72" s="519">
        <f t="shared" si="0"/>
        <v>1</v>
      </c>
      <c r="AC72" s="333">
        <v>0</v>
      </c>
      <c r="AD72" s="333">
        <v>0</v>
      </c>
      <c r="AE72" s="333">
        <v>0</v>
      </c>
    </row>
    <row r="73" spans="1:31" x14ac:dyDescent="0.25">
      <c r="A73" s="399">
        <v>65</v>
      </c>
      <c r="B73" s="439" t="s">
        <v>73</v>
      </c>
      <c r="C73" s="757"/>
      <c r="D73" s="758"/>
      <c r="E73" s="758"/>
      <c r="F73" s="758"/>
      <c r="G73" s="758"/>
      <c r="H73" s="757"/>
      <c r="I73" s="758"/>
      <c r="J73" s="757"/>
      <c r="K73" s="749"/>
      <c r="L73" s="758"/>
      <c r="M73" s="757"/>
      <c r="N73" s="758"/>
      <c r="O73" s="757"/>
      <c r="P73" s="757"/>
      <c r="Q73" s="751"/>
      <c r="R73" s="758"/>
      <c r="S73" s="757"/>
      <c r="T73" s="758"/>
      <c r="U73" s="757"/>
      <c r="V73" s="440"/>
      <c r="W73" s="881"/>
      <c r="X73" s="757" t="str">
        <f>IF(VLOOKUP($A73,'Pre-Assessment Estimator'!$A$9:$X$100,X$2,FALSE)=0,"",VLOOKUP($A73,'Pre-Assessment Estimator'!$A$9:$X$100,X$2,FALSE))</f>
        <v/>
      </c>
      <c r="Y73" s="522"/>
      <c r="Z73" s="522"/>
      <c r="AA73" s="522"/>
      <c r="AB73" s="519">
        <f t="shared" ref="AB73:AB100" si="1">IF(D73="",1,IF(D73=0,2,1))</f>
        <v>1</v>
      </c>
      <c r="AC73" s="335">
        <v>0</v>
      </c>
      <c r="AD73" s="335">
        <v>0</v>
      </c>
      <c r="AE73" s="335">
        <v>0</v>
      </c>
    </row>
    <row r="74" spans="1:31" ht="18.75" x14ac:dyDescent="0.25">
      <c r="A74" s="399">
        <v>66</v>
      </c>
      <c r="B74" s="439" t="s">
        <v>74</v>
      </c>
      <c r="C74" s="759" t="s">
        <v>502</v>
      </c>
      <c r="D74" s="739"/>
      <c r="E74" s="739"/>
      <c r="F74" s="739"/>
      <c r="G74" s="739"/>
      <c r="H74" s="740"/>
      <c r="I74" s="739"/>
      <c r="J74" s="740"/>
      <c r="K74" s="749"/>
      <c r="L74" s="739"/>
      <c r="M74" s="740"/>
      <c r="N74" s="739"/>
      <c r="O74" s="740"/>
      <c r="P74" s="740"/>
      <c r="Q74" s="751"/>
      <c r="R74" s="739"/>
      <c r="S74" s="740"/>
      <c r="T74" s="739"/>
      <c r="U74" s="740"/>
      <c r="V74" s="544"/>
      <c r="W74" s="879"/>
      <c r="X74" s="883" t="str">
        <f>IF(VLOOKUP($A74,'Pre-Assessment Estimator'!$A$9:$X$100,X$2,FALSE)=0,"",VLOOKUP($A74,'Pre-Assessment Estimator'!$A$9:$X$100,X$2,FALSE))</f>
        <v/>
      </c>
      <c r="AB74" s="519">
        <f t="shared" si="1"/>
        <v>1</v>
      </c>
      <c r="AC74" s="331">
        <v>0</v>
      </c>
      <c r="AD74" s="331">
        <v>0</v>
      </c>
      <c r="AE74" s="331">
        <v>0</v>
      </c>
    </row>
    <row r="75" spans="1:31" x14ac:dyDescent="0.25">
      <c r="A75" s="399">
        <v>67</v>
      </c>
      <c r="B75" s="439" t="s">
        <v>74</v>
      </c>
      <c r="C75" s="743" t="str">
        <f>LE_01</f>
        <v>LE 01 Site selection</v>
      </c>
      <c r="D75" s="744">
        <f>VLOOKUP($A75,'Pre-Assessment Estimator'!$A$9:$V$100,D$2,FALSE)</f>
        <v>3</v>
      </c>
      <c r="E75" s="744">
        <f>VLOOKUP($A75,'Pre-Assessment Estimator'!$A$9:$V$100,E$2,FALSE)</f>
        <v>0</v>
      </c>
      <c r="F75" s="745">
        <f>VLOOKUP($A75,'Pre-Assessment Estimator'!$A$9:$V$100,F$2,FALSE)</f>
        <v>0</v>
      </c>
      <c r="G75" s="746" t="str">
        <f>VLOOKUP($A75,'Pre-Assessment Estimator'!$A$9:$V$100,G$2,FALSE)</f>
        <v>N/A</v>
      </c>
      <c r="H75" s="747" t="str">
        <f>IF(VLOOKUP($A75,'Pre-Assessment Estimator'!$A$9:$V$100,H$2,FALSE)=0,"",VLOOKUP($A75,'Pre-Assessment Estimator'!$A$9:$V$100,H$2,FALSE))</f>
        <v/>
      </c>
      <c r="I75" s="747" t="str">
        <f>IF(VLOOKUP($A75,'Pre-Assessment Estimator'!$A$9:$V$100,I$2,FALSE)=0,"",VLOOKUP($A75,'Pre-Assessment Estimator'!$A$9:$V$100,I$2,FALSE))</f>
        <v/>
      </c>
      <c r="J75" s="748" t="str">
        <f>IF(VLOOKUP($A75,'Pre-Assessment Estimator'!$A$9:$V$100,J$2,FALSE)=0,"",VLOOKUP($A75,'Pre-Assessment Estimator'!$A$9:$V$100,J$2,FALSE))</f>
        <v/>
      </c>
      <c r="K75" s="749"/>
      <c r="L75" s="750" t="str">
        <f>IF(VLOOKUP($A75,'Pre-Assessment Estimator'!$A$9:$V$100,L$2,FALSE)=0,"",VLOOKUP($A75,'Pre-Assessment Estimator'!$A$9:$V$100,L$2,FALSE))</f>
        <v/>
      </c>
      <c r="M75" s="747" t="str">
        <f>IF(VLOOKUP($A75,'Pre-Assessment Estimator'!$A$9:$V$100,M$2,FALSE)=0,"",VLOOKUP($A75,'Pre-Assessment Estimator'!$A$9:$V$100,M$2,FALSE))</f>
        <v/>
      </c>
      <c r="N75" s="747" t="str">
        <f>IF(VLOOKUP($A75,'Pre-Assessment Estimator'!$A$9:$V$100,N$2,FALSE)=0,"",VLOOKUP($A75,'Pre-Assessment Estimator'!$A$9:$V$100,N$2,FALSE))</f>
        <v/>
      </c>
      <c r="O75" s="747" t="str">
        <f>IF(VLOOKUP($A75,'Pre-Assessment Estimator'!$A$9:$V$100,O$2,FALSE)=0,"",VLOOKUP($A75,'Pre-Assessment Estimator'!$A$9:$V$100,O$2,FALSE))</f>
        <v/>
      </c>
      <c r="P75" s="748" t="str">
        <f>IF(VLOOKUP($A75,'Pre-Assessment Estimator'!$A$9:$V$100,P$2,FALSE)=0,"",VLOOKUP($A75,'Pre-Assessment Estimator'!$A$9:$V$100,P$2,FALSE))</f>
        <v/>
      </c>
      <c r="Q75" s="751"/>
      <c r="R75" s="750" t="str">
        <f>IF(VLOOKUP($A75,'Pre-Assessment Estimator'!$A$9:$V$100,R$2,FALSE)=0,"",VLOOKUP($A75,'Pre-Assessment Estimator'!$A$9:$V$100,R$2,FALSE))</f>
        <v/>
      </c>
      <c r="S75" s="747" t="str">
        <f>IF(VLOOKUP($A75,'Pre-Assessment Estimator'!$A$9:$V$100,S$2,FALSE)=0,"",VLOOKUP($A75,'Pre-Assessment Estimator'!$A$9:$V$100,S$2,FALSE))</f>
        <v/>
      </c>
      <c r="T75" s="747" t="str">
        <f>IF(VLOOKUP($A75,'Pre-Assessment Estimator'!$A$9:$V$100,T$2,FALSE)=0,"",VLOOKUP($A75,'Pre-Assessment Estimator'!$A$9:$V$100,T$2,FALSE))</f>
        <v/>
      </c>
      <c r="U75" s="747" t="str">
        <f>IF(VLOOKUP($A75,'Pre-Assessment Estimator'!$A$9:$V$100,U$2,FALSE)=0,"",VLOOKUP($A75,'Pre-Assessment Estimator'!$A$9:$V$100,U$2,FALSE))</f>
        <v/>
      </c>
      <c r="V75" s="491" t="str">
        <f>IF(VLOOKUP($A75,'Pre-Assessment Estimator'!$A$9:$V$100,V$2,FALSE)=0,"",VLOOKUP($A75,'Pre-Assessment Estimator'!$A$9:$V$100,V$2,FALSE))</f>
        <v/>
      </c>
      <c r="W75" s="880"/>
      <c r="X75" s="747" t="str">
        <f>IF(VLOOKUP($A75,'Pre-Assessment Estimator'!$A$9:$X$100,X$2,FALSE)=0,"",VLOOKUP($A75,'Pre-Assessment Estimator'!$A$9:$X$100,X$2,FALSE))</f>
        <v>N/A</v>
      </c>
      <c r="AB75" s="519">
        <f t="shared" si="1"/>
        <v>1</v>
      </c>
      <c r="AC75" s="520" t="e">
        <f>VLOOKUP(I75,'Assessment Details'!$L$45:$M$48,2,FALSE)</f>
        <v>#N/A</v>
      </c>
      <c r="AD75" s="520" t="e">
        <f>VLOOKUP(N75,'Assessment Details'!$L$45:$M$48,2,FALSE)</f>
        <v>#N/A</v>
      </c>
      <c r="AE75" s="520" t="e">
        <f>VLOOKUP(T75,'Assessment Details'!$L$45:$M$48,2,FALSE)</f>
        <v>#N/A</v>
      </c>
    </row>
    <row r="76" spans="1:31" ht="30" x14ac:dyDescent="0.25">
      <c r="A76" s="399">
        <v>68</v>
      </c>
      <c r="B76" s="439" t="s">
        <v>74</v>
      </c>
      <c r="C76" s="743" t="str">
        <f>LE_02</f>
        <v>LE 02 Ecological value of site and protection of ecological features</v>
      </c>
      <c r="D76" s="744">
        <f>VLOOKUP($A76,'Pre-Assessment Estimator'!$A$9:$V$100,D$2,FALSE)</f>
        <v>2</v>
      </c>
      <c r="E76" s="744">
        <f>VLOOKUP($A76,'Pre-Assessment Estimator'!$A$9:$V$100,E$2,FALSE)</f>
        <v>0</v>
      </c>
      <c r="F76" s="745">
        <f>VLOOKUP($A76,'Pre-Assessment Estimator'!$A$9:$V$100,F$2,FALSE)</f>
        <v>0</v>
      </c>
      <c r="G76" s="746" t="str">
        <f>VLOOKUP($A76,'Pre-Assessment Estimator'!$A$9:$V$100,G$2,FALSE)</f>
        <v>N/A</v>
      </c>
      <c r="H76" s="747" t="str">
        <f>IF(VLOOKUP($A76,'Pre-Assessment Estimator'!$A$9:$V$100,H$2,FALSE)=0,"",VLOOKUP($A76,'Pre-Assessment Estimator'!$A$9:$V$100,H$2,FALSE))</f>
        <v/>
      </c>
      <c r="I76" s="747" t="str">
        <f>IF(VLOOKUP($A76,'Pre-Assessment Estimator'!$A$9:$V$100,I$2,FALSE)=0,"",VLOOKUP($A76,'Pre-Assessment Estimator'!$A$9:$V$100,I$2,FALSE))</f>
        <v xml:space="preserve"> </v>
      </c>
      <c r="J76" s="748" t="str">
        <f>IF(VLOOKUP($A76,'Pre-Assessment Estimator'!$A$9:$V$100,J$2,FALSE)=0,"",VLOOKUP($A76,'Pre-Assessment Estimator'!$A$9:$V$100,J$2,FALSE))</f>
        <v/>
      </c>
      <c r="K76" s="749"/>
      <c r="L76" s="750" t="str">
        <f>IF(VLOOKUP($A76,'Pre-Assessment Estimator'!$A$9:$V$100,L$2,FALSE)=0,"",VLOOKUP($A76,'Pre-Assessment Estimator'!$A$9:$V$100,L$2,FALSE))</f>
        <v/>
      </c>
      <c r="M76" s="747" t="str">
        <f>IF(VLOOKUP($A76,'Pre-Assessment Estimator'!$A$9:$V$100,M$2,FALSE)=0,"",VLOOKUP($A76,'Pre-Assessment Estimator'!$A$9:$V$100,M$2,FALSE))</f>
        <v/>
      </c>
      <c r="N76" s="747" t="str">
        <f>IF(VLOOKUP($A76,'Pre-Assessment Estimator'!$A$9:$V$100,N$2,FALSE)=0,"",VLOOKUP($A76,'Pre-Assessment Estimator'!$A$9:$V$100,N$2,FALSE))</f>
        <v/>
      </c>
      <c r="O76" s="747" t="str">
        <f>IF(VLOOKUP($A76,'Pre-Assessment Estimator'!$A$9:$V$100,O$2,FALSE)=0,"",VLOOKUP($A76,'Pre-Assessment Estimator'!$A$9:$V$100,O$2,FALSE))</f>
        <v/>
      </c>
      <c r="P76" s="748" t="str">
        <f>IF(VLOOKUP($A76,'Pre-Assessment Estimator'!$A$9:$V$100,P$2,FALSE)=0,"",VLOOKUP($A76,'Pre-Assessment Estimator'!$A$9:$V$100,P$2,FALSE))</f>
        <v/>
      </c>
      <c r="Q76" s="751"/>
      <c r="R76" s="750" t="str">
        <f>IF(VLOOKUP($A76,'Pre-Assessment Estimator'!$A$9:$V$100,R$2,FALSE)=0,"",VLOOKUP($A76,'Pre-Assessment Estimator'!$A$9:$V$100,R$2,FALSE))</f>
        <v/>
      </c>
      <c r="S76" s="747" t="str">
        <f>IF(VLOOKUP($A76,'Pre-Assessment Estimator'!$A$9:$V$100,S$2,FALSE)=0,"",VLOOKUP($A76,'Pre-Assessment Estimator'!$A$9:$V$100,S$2,FALSE))</f>
        <v/>
      </c>
      <c r="T76" s="747" t="str">
        <f>IF(VLOOKUP($A76,'Pre-Assessment Estimator'!$A$9:$V$100,T$2,FALSE)=0,"",VLOOKUP($A76,'Pre-Assessment Estimator'!$A$9:$V$100,T$2,FALSE))</f>
        <v xml:space="preserve"> </v>
      </c>
      <c r="U76" s="747" t="str">
        <f>IF(VLOOKUP($A76,'Pre-Assessment Estimator'!$A$9:$V$100,U$2,FALSE)=0,"",VLOOKUP($A76,'Pre-Assessment Estimator'!$A$9:$V$100,U$2,FALSE))</f>
        <v/>
      </c>
      <c r="V76" s="491" t="str">
        <f>IF(VLOOKUP($A76,'Pre-Assessment Estimator'!$A$9:$V$100,V$2,FALSE)=0,"",VLOOKUP($A76,'Pre-Assessment Estimator'!$A$9:$V$100,V$2,FALSE))</f>
        <v/>
      </c>
      <c r="W76" s="880"/>
      <c r="X76" s="747" t="str">
        <f>IF(VLOOKUP($A76,'Pre-Assessment Estimator'!$A$9:$X$100,X$2,FALSE)=0,"",VLOOKUP($A76,'Pre-Assessment Estimator'!$A$9:$X$100,X$2,FALSE))</f>
        <v>N/A</v>
      </c>
      <c r="AB76" s="519">
        <f t="shared" si="1"/>
        <v>1</v>
      </c>
      <c r="AC76" s="103">
        <f>VLOOKUP(I76,'Assessment Details'!$L$45:$M$48,2,FALSE)</f>
        <v>4</v>
      </c>
      <c r="AD76" s="103" t="e">
        <f>VLOOKUP(N76,'Assessment Details'!$L$45:$M$48,2,FALSE)</f>
        <v>#N/A</v>
      </c>
      <c r="AE76" s="103">
        <f>VLOOKUP(T76,'Assessment Details'!$L$45:$M$48,2,FALSE)</f>
        <v>4</v>
      </c>
    </row>
    <row r="77" spans="1:31" x14ac:dyDescent="0.25">
      <c r="A77" s="399">
        <v>69</v>
      </c>
      <c r="B77" s="439" t="s">
        <v>74</v>
      </c>
      <c r="C77" s="743" t="str">
        <f>LE_04</f>
        <v>LE 04 Enhancing site ecology</v>
      </c>
      <c r="D77" s="744">
        <f>VLOOKUP($A77,'Pre-Assessment Estimator'!$A$9:$V$100,D$2,FALSE)</f>
        <v>3</v>
      </c>
      <c r="E77" s="744">
        <f>VLOOKUP($A77,'Pre-Assessment Estimator'!$A$9:$V$100,E$2,FALSE)</f>
        <v>0</v>
      </c>
      <c r="F77" s="745">
        <f>VLOOKUP($A77,'Pre-Assessment Estimator'!$A$9:$V$100,F$2,FALSE)</f>
        <v>0</v>
      </c>
      <c r="G77" s="746" t="str">
        <f>VLOOKUP($A77,'Pre-Assessment Estimator'!$A$9:$V$100,G$2,FALSE)</f>
        <v>N/A</v>
      </c>
      <c r="H77" s="747" t="str">
        <f>IF(VLOOKUP($A77,'Pre-Assessment Estimator'!$A$9:$V$100,H$2,FALSE)=0,"",VLOOKUP($A77,'Pre-Assessment Estimator'!$A$9:$V$100,H$2,FALSE))</f>
        <v/>
      </c>
      <c r="I77" s="747" t="str">
        <f>IF(VLOOKUP($A77,'Pre-Assessment Estimator'!$A$9:$V$100,I$2,FALSE)=0,"",VLOOKUP($A77,'Pre-Assessment Estimator'!$A$9:$V$100,I$2,FALSE))</f>
        <v/>
      </c>
      <c r="J77" s="748" t="str">
        <f>IF(VLOOKUP($A77,'Pre-Assessment Estimator'!$A$9:$V$100,J$2,FALSE)=0,"",VLOOKUP($A77,'Pre-Assessment Estimator'!$A$9:$V$100,J$2,FALSE))</f>
        <v/>
      </c>
      <c r="K77" s="749"/>
      <c r="L77" s="750" t="str">
        <f>IF(VLOOKUP($A77,'Pre-Assessment Estimator'!$A$9:$V$100,L$2,FALSE)=0,"",VLOOKUP($A77,'Pre-Assessment Estimator'!$A$9:$V$100,L$2,FALSE))</f>
        <v/>
      </c>
      <c r="M77" s="747" t="str">
        <f>IF(VLOOKUP($A77,'Pre-Assessment Estimator'!$A$9:$V$100,M$2,FALSE)=0,"",VLOOKUP($A77,'Pre-Assessment Estimator'!$A$9:$V$100,M$2,FALSE))</f>
        <v/>
      </c>
      <c r="N77" s="747" t="str">
        <f>IF(VLOOKUP($A77,'Pre-Assessment Estimator'!$A$9:$V$100,N$2,FALSE)=0,"",VLOOKUP($A77,'Pre-Assessment Estimator'!$A$9:$V$100,N$2,FALSE))</f>
        <v/>
      </c>
      <c r="O77" s="747" t="str">
        <f>IF(VLOOKUP($A77,'Pre-Assessment Estimator'!$A$9:$V$100,O$2,FALSE)=0,"",VLOOKUP($A77,'Pre-Assessment Estimator'!$A$9:$V$100,O$2,FALSE))</f>
        <v/>
      </c>
      <c r="P77" s="748" t="str">
        <f>IF(VLOOKUP($A77,'Pre-Assessment Estimator'!$A$9:$V$100,P$2,FALSE)=0,"",VLOOKUP($A77,'Pre-Assessment Estimator'!$A$9:$V$100,P$2,FALSE))</f>
        <v/>
      </c>
      <c r="Q77" s="751"/>
      <c r="R77" s="750" t="str">
        <f>IF(VLOOKUP($A77,'Pre-Assessment Estimator'!$A$9:$V$100,R$2,FALSE)=0,"",VLOOKUP($A77,'Pre-Assessment Estimator'!$A$9:$V$100,R$2,FALSE))</f>
        <v/>
      </c>
      <c r="S77" s="747" t="str">
        <f>IF(VLOOKUP($A77,'Pre-Assessment Estimator'!$A$9:$V$100,S$2,FALSE)=0,"",VLOOKUP($A77,'Pre-Assessment Estimator'!$A$9:$V$100,S$2,FALSE))</f>
        <v/>
      </c>
      <c r="T77" s="747" t="str">
        <f>IF(VLOOKUP($A77,'Pre-Assessment Estimator'!$A$9:$V$100,T$2,FALSE)=0,"",VLOOKUP($A77,'Pre-Assessment Estimator'!$A$9:$V$100,T$2,FALSE))</f>
        <v/>
      </c>
      <c r="U77" s="747" t="str">
        <f>IF(VLOOKUP($A77,'Pre-Assessment Estimator'!$A$9:$V$100,U$2,FALSE)=0,"",VLOOKUP($A77,'Pre-Assessment Estimator'!$A$9:$V$100,U$2,FALSE))</f>
        <v/>
      </c>
      <c r="V77" s="491" t="str">
        <f>IF(VLOOKUP($A77,'Pre-Assessment Estimator'!$A$9:$V$100,V$2,FALSE)=0,"",VLOOKUP($A77,'Pre-Assessment Estimator'!$A$9:$V$100,V$2,FALSE))</f>
        <v/>
      </c>
      <c r="W77" s="880"/>
      <c r="X77" s="747" t="str">
        <f>IF(VLOOKUP($A77,'Pre-Assessment Estimator'!$A$9:$X$100,X$2,FALSE)=0,"",VLOOKUP($A77,'Pre-Assessment Estimator'!$A$9:$X$100,X$2,FALSE))</f>
        <v>N/A</v>
      </c>
      <c r="AB77" s="519">
        <f t="shared" si="1"/>
        <v>1</v>
      </c>
      <c r="AC77" s="103" t="e">
        <f>VLOOKUP(I77,'Assessment Details'!$L$45:$M$48,2,FALSE)</f>
        <v>#N/A</v>
      </c>
      <c r="AD77" s="103" t="e">
        <f>VLOOKUP(N77,'Assessment Details'!$L$45:$M$48,2,FALSE)</f>
        <v>#N/A</v>
      </c>
      <c r="AE77" s="103" t="e">
        <f>VLOOKUP(T77,'Assessment Details'!$L$45:$M$48,2,FALSE)</f>
        <v>#N/A</v>
      </c>
    </row>
    <row r="78" spans="1:31" x14ac:dyDescent="0.25">
      <c r="A78" s="399">
        <v>70</v>
      </c>
      <c r="B78" s="439" t="s">
        <v>74</v>
      </c>
      <c r="C78" s="743" t="str">
        <f>LE_05</f>
        <v>LE 05 Long term impact on biodiversity</v>
      </c>
      <c r="D78" s="744">
        <f>VLOOKUP($A78,'Pre-Assessment Estimator'!$A$9:$V$100,D$2,FALSE)</f>
        <v>2</v>
      </c>
      <c r="E78" s="744">
        <f>VLOOKUP($A78,'Pre-Assessment Estimator'!$A$9:$V$100,E$2,FALSE)</f>
        <v>0</v>
      </c>
      <c r="F78" s="745">
        <f>VLOOKUP($A78,'Pre-Assessment Estimator'!$A$9:$V$100,F$2,FALSE)</f>
        <v>0</v>
      </c>
      <c r="G78" s="746" t="str">
        <f>VLOOKUP($A78,'Pre-Assessment Estimator'!$A$9:$V$100,G$2,FALSE)</f>
        <v>N/A</v>
      </c>
      <c r="H78" s="747" t="str">
        <f>IF(VLOOKUP($A78,'Pre-Assessment Estimator'!$A$9:$V$100,H$2,FALSE)=0,"",VLOOKUP($A78,'Pre-Assessment Estimator'!$A$9:$V$100,H$2,FALSE))</f>
        <v/>
      </c>
      <c r="I78" s="747" t="str">
        <f>IF(VLOOKUP($A78,'Pre-Assessment Estimator'!$A$9:$V$100,I$2,FALSE)=0,"",VLOOKUP($A78,'Pre-Assessment Estimator'!$A$9:$V$100,I$2,FALSE))</f>
        <v/>
      </c>
      <c r="J78" s="748" t="str">
        <f>IF(VLOOKUP($A78,'Pre-Assessment Estimator'!$A$9:$V$100,J$2,FALSE)=0,"",VLOOKUP($A78,'Pre-Assessment Estimator'!$A$9:$V$100,J$2,FALSE))</f>
        <v/>
      </c>
      <c r="K78" s="749"/>
      <c r="L78" s="750" t="str">
        <f>IF(VLOOKUP($A78,'Pre-Assessment Estimator'!$A$9:$V$100,L$2,FALSE)=0,"",VLOOKUP($A78,'Pre-Assessment Estimator'!$A$9:$V$100,L$2,FALSE))</f>
        <v/>
      </c>
      <c r="M78" s="747" t="str">
        <f>IF(VLOOKUP($A78,'Pre-Assessment Estimator'!$A$9:$V$100,M$2,FALSE)=0,"",VLOOKUP($A78,'Pre-Assessment Estimator'!$A$9:$V$100,M$2,FALSE))</f>
        <v/>
      </c>
      <c r="N78" s="747" t="str">
        <f>IF(VLOOKUP($A78,'Pre-Assessment Estimator'!$A$9:$V$100,N$2,FALSE)=0,"",VLOOKUP($A78,'Pre-Assessment Estimator'!$A$9:$V$100,N$2,FALSE))</f>
        <v/>
      </c>
      <c r="O78" s="747" t="str">
        <f>IF(VLOOKUP($A78,'Pre-Assessment Estimator'!$A$9:$V$100,O$2,FALSE)=0,"",VLOOKUP($A78,'Pre-Assessment Estimator'!$A$9:$V$100,O$2,FALSE))</f>
        <v/>
      </c>
      <c r="P78" s="748" t="str">
        <f>IF(VLOOKUP($A78,'Pre-Assessment Estimator'!$A$9:$V$100,P$2,FALSE)=0,"",VLOOKUP($A78,'Pre-Assessment Estimator'!$A$9:$V$100,P$2,FALSE))</f>
        <v/>
      </c>
      <c r="Q78" s="751"/>
      <c r="R78" s="750" t="str">
        <f>IF(VLOOKUP($A78,'Pre-Assessment Estimator'!$A$9:$V$100,R$2,FALSE)=0,"",VLOOKUP($A78,'Pre-Assessment Estimator'!$A$9:$V$100,R$2,FALSE))</f>
        <v/>
      </c>
      <c r="S78" s="747" t="str">
        <f>IF(VLOOKUP($A78,'Pre-Assessment Estimator'!$A$9:$V$100,S$2,FALSE)=0,"",VLOOKUP($A78,'Pre-Assessment Estimator'!$A$9:$V$100,S$2,FALSE))</f>
        <v/>
      </c>
      <c r="T78" s="747" t="str">
        <f>IF(VLOOKUP($A78,'Pre-Assessment Estimator'!$A$9:$V$100,T$2,FALSE)=0,"",VLOOKUP($A78,'Pre-Assessment Estimator'!$A$9:$V$100,T$2,FALSE))</f>
        <v/>
      </c>
      <c r="U78" s="747" t="str">
        <f>IF(VLOOKUP($A78,'Pre-Assessment Estimator'!$A$9:$V$100,U$2,FALSE)=0,"",VLOOKUP($A78,'Pre-Assessment Estimator'!$A$9:$V$100,U$2,FALSE))</f>
        <v/>
      </c>
      <c r="V78" s="491" t="str">
        <f>IF(VLOOKUP($A78,'Pre-Assessment Estimator'!$A$9:$V$100,V$2,FALSE)=0,"",VLOOKUP($A78,'Pre-Assessment Estimator'!$A$9:$V$100,V$2,FALSE))</f>
        <v/>
      </c>
      <c r="W78" s="880"/>
      <c r="X78" s="747" t="str">
        <f>IF(VLOOKUP($A78,'Pre-Assessment Estimator'!$A$9:$X$100,X$2,FALSE)=0,"",VLOOKUP($A78,'Pre-Assessment Estimator'!$A$9:$X$100,X$2,FALSE))</f>
        <v>N/A</v>
      </c>
      <c r="AB78" s="519">
        <f t="shared" si="1"/>
        <v>1</v>
      </c>
      <c r="AC78" s="520" t="e">
        <f>VLOOKUP(I78,'Assessment Details'!$L$45:$M$48,2,FALSE)</f>
        <v>#N/A</v>
      </c>
      <c r="AD78" s="520" t="e">
        <f>VLOOKUP(N78,'Assessment Details'!$L$45:$M$48,2,FALSE)</f>
        <v>#N/A</v>
      </c>
      <c r="AE78" s="520" t="e">
        <f>VLOOKUP(T78,'Assessment Details'!$L$45:$M$48,2,FALSE)</f>
        <v>#N/A</v>
      </c>
    </row>
    <row r="79" spans="1:31" x14ac:dyDescent="0.25">
      <c r="A79" s="399">
        <v>71</v>
      </c>
      <c r="B79" s="439" t="s">
        <v>74</v>
      </c>
      <c r="C79" s="743" t="str">
        <f>LE_06</f>
        <v>LE 06 Building footprint</v>
      </c>
      <c r="D79" s="744">
        <f>VLOOKUP($A79,'Pre-Assessment Estimator'!$A$9:$V$100,D$2,FALSE)</f>
        <v>0</v>
      </c>
      <c r="E79" s="744">
        <f>VLOOKUP($A79,'Pre-Assessment Estimator'!$A$9:$V$100,E$2,FALSE)</f>
        <v>0</v>
      </c>
      <c r="F79" s="745">
        <f>VLOOKUP($A79,'Pre-Assessment Estimator'!$A$9:$V$100,F$2,FALSE)</f>
        <v>0</v>
      </c>
      <c r="G79" s="746" t="str">
        <f>VLOOKUP($A79,'Pre-Assessment Estimator'!$A$9:$V$100,G$2,FALSE)</f>
        <v>N/A</v>
      </c>
      <c r="H79" s="747" t="str">
        <f>IF(VLOOKUP($A79,'Pre-Assessment Estimator'!$A$9:$V$100,H$2,FALSE)=0,"",VLOOKUP($A79,'Pre-Assessment Estimator'!$A$9:$V$100,H$2,FALSE))</f>
        <v/>
      </c>
      <c r="I79" s="747" t="str">
        <f>IF(VLOOKUP($A79,'Pre-Assessment Estimator'!$A$9:$V$100,I$2,FALSE)=0,"",VLOOKUP($A79,'Pre-Assessment Estimator'!$A$9:$V$100,I$2,FALSE))</f>
        <v/>
      </c>
      <c r="J79" s="748" t="str">
        <f>IF(VLOOKUP($A79,'Pre-Assessment Estimator'!$A$9:$V$100,J$2,FALSE)=0,"",VLOOKUP($A79,'Pre-Assessment Estimator'!$A$9:$V$100,J$2,FALSE))</f>
        <v/>
      </c>
      <c r="K79" s="749"/>
      <c r="L79" s="750" t="str">
        <f>IF(VLOOKUP($A79,'Pre-Assessment Estimator'!$A$9:$V$100,L$2,FALSE)=0,"",VLOOKUP($A79,'Pre-Assessment Estimator'!$A$9:$V$100,L$2,FALSE))</f>
        <v/>
      </c>
      <c r="M79" s="747" t="str">
        <f>IF(VLOOKUP($A79,'Pre-Assessment Estimator'!$A$9:$V$100,M$2,FALSE)=0,"",VLOOKUP($A79,'Pre-Assessment Estimator'!$A$9:$V$100,M$2,FALSE))</f>
        <v/>
      </c>
      <c r="N79" s="747" t="str">
        <f>IF(VLOOKUP($A79,'Pre-Assessment Estimator'!$A$9:$V$100,N$2,FALSE)=0,"",VLOOKUP($A79,'Pre-Assessment Estimator'!$A$9:$V$100,N$2,FALSE))</f>
        <v/>
      </c>
      <c r="O79" s="747" t="str">
        <f>IF(VLOOKUP($A79,'Pre-Assessment Estimator'!$A$9:$V$100,O$2,FALSE)=0,"",VLOOKUP($A79,'Pre-Assessment Estimator'!$A$9:$V$100,O$2,FALSE))</f>
        <v/>
      </c>
      <c r="P79" s="748" t="str">
        <f>IF(VLOOKUP($A79,'Pre-Assessment Estimator'!$A$9:$V$100,P$2,FALSE)=0,"",VLOOKUP($A79,'Pre-Assessment Estimator'!$A$9:$V$100,P$2,FALSE))</f>
        <v/>
      </c>
      <c r="Q79" s="751"/>
      <c r="R79" s="750" t="str">
        <f>IF(VLOOKUP($A79,'Pre-Assessment Estimator'!$A$9:$V$100,R$2,FALSE)=0,"",VLOOKUP($A79,'Pre-Assessment Estimator'!$A$9:$V$100,R$2,FALSE))</f>
        <v/>
      </c>
      <c r="S79" s="747" t="str">
        <f>IF(VLOOKUP($A79,'Pre-Assessment Estimator'!$A$9:$V$100,S$2,FALSE)=0,"",VLOOKUP($A79,'Pre-Assessment Estimator'!$A$9:$V$100,S$2,FALSE))</f>
        <v/>
      </c>
      <c r="T79" s="747" t="str">
        <f>IF(VLOOKUP($A79,'Pre-Assessment Estimator'!$A$9:$V$100,T$2,FALSE)=0,"",VLOOKUP($A79,'Pre-Assessment Estimator'!$A$9:$V$100,T$2,FALSE))</f>
        <v/>
      </c>
      <c r="U79" s="747" t="str">
        <f>IF(VLOOKUP($A79,'Pre-Assessment Estimator'!$A$9:$V$100,U$2,FALSE)=0,"",VLOOKUP($A79,'Pre-Assessment Estimator'!$A$9:$V$100,U$2,FALSE))</f>
        <v/>
      </c>
      <c r="V79" s="491" t="str">
        <f>IF(VLOOKUP($A79,'Pre-Assessment Estimator'!$A$9:$V$100,V$2,FALSE)=0,"",VLOOKUP($A79,'Pre-Assessment Estimator'!$A$9:$V$100,V$2,FALSE))</f>
        <v/>
      </c>
      <c r="W79" s="880"/>
      <c r="X79" s="747" t="str">
        <f>IF(VLOOKUP($A79,'Pre-Assessment Estimator'!$A$9:$X$100,X$2,FALSE)=0,"",VLOOKUP($A79,'Pre-Assessment Estimator'!$A$9:$X$100,X$2,FALSE))</f>
        <v>N/A</v>
      </c>
      <c r="AB79" s="519">
        <f t="shared" si="1"/>
        <v>2</v>
      </c>
      <c r="AC79" s="103" t="e">
        <f>VLOOKUP(I79,'Assessment Details'!$L$45:$M$48,2,FALSE)</f>
        <v>#N/A</v>
      </c>
      <c r="AD79" s="103" t="e">
        <f>VLOOKUP(N79,'Assessment Details'!$L$45:$M$48,2,FALSE)</f>
        <v>#N/A</v>
      </c>
      <c r="AE79" s="103" t="e">
        <f>VLOOKUP(T79,'Assessment Details'!$L$45:$M$48,2,FALSE)</f>
        <v>#N/A</v>
      </c>
    </row>
    <row r="80" spans="1:31" ht="15.75" thickBot="1" x14ac:dyDescent="0.3">
      <c r="A80" s="399">
        <v>72</v>
      </c>
      <c r="B80" s="439" t="s">
        <v>74</v>
      </c>
      <c r="C80" s="753" t="s">
        <v>114</v>
      </c>
      <c r="D80" s="754">
        <f>VLOOKUP($A80,'Pre-Assessment Estimator'!$A$9:$V$100,D$2,FALSE)</f>
        <v>10</v>
      </c>
      <c r="E80" s="754">
        <f>SUM(E75:E79)</f>
        <v>0</v>
      </c>
      <c r="F80" s="755">
        <f>VLOOKUP($A80,'Pre-Assessment Estimator'!$A$9:$V$100,F$2,FALSE)</f>
        <v>0</v>
      </c>
      <c r="G80" s="747"/>
      <c r="H80" s="747" t="str">
        <f>IF(VLOOKUP($A80,'Pre-Assessment Estimator'!$A$9:$V$100,H$2,FALSE)=0,"",VLOOKUP($A80,'Pre-Assessment Estimator'!$A$9:$V$100,H$2,FALSE))</f>
        <v/>
      </c>
      <c r="I80" s="744" t="str">
        <f>IF(VLOOKUP($A80,'Pre-Assessment Estimator'!$A$9:$V$100,I$2,FALSE)=0,"",VLOOKUP($A80,'Pre-Assessment Estimator'!$A$9:$V$100,I$2,FALSE))</f>
        <v/>
      </c>
      <c r="J80" s="748" t="str">
        <f>IF(VLOOKUP($A80,'Pre-Assessment Estimator'!$A$9:$V$100,J$2,FALSE)=0,"",VLOOKUP($A80,'Pre-Assessment Estimator'!$A$9:$V$100,J$2,FALSE))</f>
        <v/>
      </c>
      <c r="K80" s="749"/>
      <c r="L80" s="756" t="str">
        <f>IF(VLOOKUP($A80,'Pre-Assessment Estimator'!$A$9:$V$100,L$2,FALSE)=0,"",VLOOKUP($A80,'Pre-Assessment Estimator'!$A$9:$V$100,L$2,FALSE))</f>
        <v/>
      </c>
      <c r="M80" s="747" t="str">
        <f>IF(VLOOKUP($A80,'Pre-Assessment Estimator'!$A$9:$V$100,M$2,FALSE)=0,"",VLOOKUP($A80,'Pre-Assessment Estimator'!$A$9:$V$100,M$2,FALSE))</f>
        <v/>
      </c>
      <c r="N80" s="744" t="str">
        <f>IF(VLOOKUP($A80,'Pre-Assessment Estimator'!$A$9:$V$100,N$2,FALSE)=0,"",VLOOKUP($A80,'Pre-Assessment Estimator'!$A$9:$V$100,N$2,FALSE))</f>
        <v/>
      </c>
      <c r="O80" s="747" t="str">
        <f>IF(VLOOKUP($A80,'Pre-Assessment Estimator'!$A$9:$V$100,O$2,FALSE)=0,"",VLOOKUP($A80,'Pre-Assessment Estimator'!$A$9:$V$100,O$2,FALSE))</f>
        <v/>
      </c>
      <c r="P80" s="748" t="str">
        <f>IF(VLOOKUP($A80,'Pre-Assessment Estimator'!$A$9:$V$100,P$2,FALSE)=0,"",VLOOKUP($A80,'Pre-Assessment Estimator'!$A$9:$V$100,P$2,FALSE))</f>
        <v/>
      </c>
      <c r="Q80" s="751"/>
      <c r="R80" s="756" t="str">
        <f>IF(VLOOKUP($A80,'Pre-Assessment Estimator'!$A$9:$V$100,R$2,FALSE)=0,"",VLOOKUP($A80,'Pre-Assessment Estimator'!$A$9:$V$100,R$2,FALSE))</f>
        <v/>
      </c>
      <c r="S80" s="747" t="str">
        <f>IF(VLOOKUP($A80,'Pre-Assessment Estimator'!$A$9:$V$100,S$2,FALSE)=0,"",VLOOKUP($A80,'Pre-Assessment Estimator'!$A$9:$V$100,S$2,FALSE))</f>
        <v/>
      </c>
      <c r="T80" s="744" t="str">
        <f>IF(VLOOKUP($A80,'Pre-Assessment Estimator'!$A$9:$V$100,T$2,FALSE)=0,"",VLOOKUP($A80,'Pre-Assessment Estimator'!$A$9:$V$100,T$2,FALSE))</f>
        <v/>
      </c>
      <c r="U80" s="747" t="str">
        <f>IF(VLOOKUP($A80,'Pre-Assessment Estimator'!$A$9:$V$100,U$2,FALSE)=0,"",VLOOKUP($A80,'Pre-Assessment Estimator'!$A$9:$V$100,U$2,FALSE))</f>
        <v/>
      </c>
      <c r="V80" s="491" t="str">
        <f>IF(VLOOKUP($A80,'Pre-Assessment Estimator'!$A$9:$V$100,V$2,FALSE)=0,"",VLOOKUP($A80,'Pre-Assessment Estimator'!$A$9:$V$100,V$2,FALSE))</f>
        <v/>
      </c>
      <c r="W80" s="880"/>
      <c r="X80" s="747" t="str">
        <f>IF(VLOOKUP($A80,'Pre-Assessment Estimator'!$A$9:$X$100,X$2,FALSE)=0,"",VLOOKUP($A80,'Pre-Assessment Estimator'!$A$9:$X$100,X$2,FALSE))</f>
        <v/>
      </c>
      <c r="AB80" s="519">
        <f t="shared" si="1"/>
        <v>1</v>
      </c>
      <c r="AC80" s="333">
        <v>0</v>
      </c>
      <c r="AD80" s="333">
        <v>0</v>
      </c>
      <c r="AE80" s="333">
        <v>0</v>
      </c>
    </row>
    <row r="81" spans="1:31" x14ac:dyDescent="0.25">
      <c r="A81" s="399">
        <v>73</v>
      </c>
      <c r="B81" s="439" t="s">
        <v>74</v>
      </c>
      <c r="C81" s="757"/>
      <c r="D81" s="758"/>
      <c r="E81" s="758"/>
      <c r="F81" s="758"/>
      <c r="G81" s="758"/>
      <c r="H81" s="757"/>
      <c r="I81" s="758"/>
      <c r="J81" s="757"/>
      <c r="K81" s="749"/>
      <c r="L81" s="758"/>
      <c r="M81" s="757"/>
      <c r="N81" s="758"/>
      <c r="O81" s="757"/>
      <c r="P81" s="757"/>
      <c r="Q81" s="751"/>
      <c r="R81" s="758"/>
      <c r="S81" s="757"/>
      <c r="T81" s="758"/>
      <c r="U81" s="757"/>
      <c r="V81" s="440"/>
      <c r="W81" s="881"/>
      <c r="X81" s="757" t="str">
        <f>IF(VLOOKUP($A81,'Pre-Assessment Estimator'!$A$9:$X$100,X$2,FALSE)=0,"",VLOOKUP($A81,'Pre-Assessment Estimator'!$A$9:$X$100,X$2,FALSE))</f>
        <v/>
      </c>
      <c r="Y81" s="522"/>
      <c r="Z81" s="522"/>
      <c r="AA81" s="522"/>
      <c r="AB81" s="519">
        <f t="shared" si="1"/>
        <v>1</v>
      </c>
      <c r="AC81" s="335">
        <v>0</v>
      </c>
      <c r="AD81" s="335">
        <v>0</v>
      </c>
      <c r="AE81" s="335">
        <v>0</v>
      </c>
    </row>
    <row r="82" spans="1:31" ht="18.75" x14ac:dyDescent="0.25">
      <c r="A82" s="399">
        <v>74</v>
      </c>
      <c r="B82" s="439" t="s">
        <v>75</v>
      </c>
      <c r="C82" s="759" t="s">
        <v>75</v>
      </c>
      <c r="D82" s="739"/>
      <c r="E82" s="739"/>
      <c r="F82" s="739"/>
      <c r="G82" s="739"/>
      <c r="H82" s="740"/>
      <c r="I82" s="739"/>
      <c r="J82" s="740"/>
      <c r="K82" s="749"/>
      <c r="L82" s="739"/>
      <c r="M82" s="740"/>
      <c r="N82" s="739"/>
      <c r="O82" s="740"/>
      <c r="P82" s="740"/>
      <c r="Q82" s="751"/>
      <c r="R82" s="739"/>
      <c r="S82" s="740"/>
      <c r="T82" s="739"/>
      <c r="U82" s="740"/>
      <c r="V82" s="544"/>
      <c r="W82" s="879"/>
      <c r="X82" s="883" t="str">
        <f>IF(VLOOKUP($A82,'Pre-Assessment Estimator'!$A$9:$X$100,X$2,FALSE)=0,"",VLOOKUP($A82,'Pre-Assessment Estimator'!$A$9:$X$100,X$2,FALSE))</f>
        <v/>
      </c>
      <c r="AB82" s="519">
        <f t="shared" si="1"/>
        <v>1</v>
      </c>
      <c r="AC82" s="331">
        <v>0</v>
      </c>
      <c r="AD82" s="331">
        <v>0</v>
      </c>
      <c r="AE82" s="331">
        <v>0</v>
      </c>
    </row>
    <row r="83" spans="1:31" x14ac:dyDescent="0.25">
      <c r="A83" s="399">
        <v>75</v>
      </c>
      <c r="B83" s="439" t="s">
        <v>75</v>
      </c>
      <c r="C83" s="743" t="str">
        <f>Pol_01</f>
        <v>POL 01 Impacts of refrigerants</v>
      </c>
      <c r="D83" s="744">
        <f>VLOOKUP($A83,'Pre-Assessment Estimator'!$A$9:$V$100,D$2,FALSE)</f>
        <v>3</v>
      </c>
      <c r="E83" s="744">
        <f>VLOOKUP($A83,'Pre-Assessment Estimator'!$A$9:$V$100,E$2,FALSE)</f>
        <v>0</v>
      </c>
      <c r="F83" s="745">
        <f>VLOOKUP($A83,'Pre-Assessment Estimator'!$A$9:$V$100,F$2,FALSE)</f>
        <v>0</v>
      </c>
      <c r="G83" s="746" t="str">
        <f>VLOOKUP($A83,'Pre-Assessment Estimator'!$A$9:$V$100,G$2,FALSE)</f>
        <v>N/A</v>
      </c>
      <c r="H83" s="747" t="str">
        <f>IF(VLOOKUP($A83,'Pre-Assessment Estimator'!$A$9:$V$100,H$2,FALSE)=0,"",VLOOKUP($A83,'Pre-Assessment Estimator'!$A$9:$V$100,H$2,FALSE))</f>
        <v/>
      </c>
      <c r="I83" s="747" t="str">
        <f>IF(VLOOKUP($A83,'Pre-Assessment Estimator'!$A$9:$V$100,I$2,FALSE)=0,"",VLOOKUP($A83,'Pre-Assessment Estimator'!$A$9:$V$100,I$2,FALSE))</f>
        <v/>
      </c>
      <c r="J83" s="748" t="str">
        <f>IF(VLOOKUP($A83,'Pre-Assessment Estimator'!$A$9:$V$100,J$2,FALSE)=0,"",VLOOKUP($A83,'Pre-Assessment Estimator'!$A$9:$V$100,J$2,FALSE))</f>
        <v/>
      </c>
      <c r="K83" s="749"/>
      <c r="L83" s="750" t="str">
        <f>IF(VLOOKUP($A83,'Pre-Assessment Estimator'!$A$9:$V$100,L$2,FALSE)=0,"",VLOOKUP($A83,'Pre-Assessment Estimator'!$A$9:$V$100,L$2,FALSE))</f>
        <v/>
      </c>
      <c r="M83" s="747" t="str">
        <f>IF(VLOOKUP($A83,'Pre-Assessment Estimator'!$A$9:$V$100,M$2,FALSE)=0,"",VLOOKUP($A83,'Pre-Assessment Estimator'!$A$9:$V$100,M$2,FALSE))</f>
        <v/>
      </c>
      <c r="N83" s="747" t="str">
        <f>IF(VLOOKUP($A83,'Pre-Assessment Estimator'!$A$9:$V$100,N$2,FALSE)=0,"",VLOOKUP($A83,'Pre-Assessment Estimator'!$A$9:$V$100,N$2,FALSE))</f>
        <v/>
      </c>
      <c r="O83" s="747" t="str">
        <f>IF(VLOOKUP($A83,'Pre-Assessment Estimator'!$A$9:$V$100,O$2,FALSE)=0,"",VLOOKUP($A83,'Pre-Assessment Estimator'!$A$9:$V$100,O$2,FALSE))</f>
        <v/>
      </c>
      <c r="P83" s="748" t="str">
        <f>IF(VLOOKUP($A83,'Pre-Assessment Estimator'!$A$9:$V$100,P$2,FALSE)=0,"",VLOOKUP($A83,'Pre-Assessment Estimator'!$A$9:$V$100,P$2,FALSE))</f>
        <v/>
      </c>
      <c r="Q83" s="751"/>
      <c r="R83" s="750" t="str">
        <f>IF(VLOOKUP($A83,'Pre-Assessment Estimator'!$A$9:$V$100,R$2,FALSE)=0,"",VLOOKUP($A83,'Pre-Assessment Estimator'!$A$9:$V$100,R$2,FALSE))</f>
        <v/>
      </c>
      <c r="S83" s="747" t="str">
        <f>IF(VLOOKUP($A83,'Pre-Assessment Estimator'!$A$9:$V$100,S$2,FALSE)=0,"",VLOOKUP($A83,'Pre-Assessment Estimator'!$A$9:$V$100,S$2,FALSE))</f>
        <v/>
      </c>
      <c r="T83" s="747" t="str">
        <f>IF(VLOOKUP($A83,'Pre-Assessment Estimator'!$A$9:$V$100,T$2,FALSE)=0,"",VLOOKUP($A83,'Pre-Assessment Estimator'!$A$9:$V$100,T$2,FALSE))</f>
        <v/>
      </c>
      <c r="U83" s="747" t="str">
        <f>IF(VLOOKUP($A83,'Pre-Assessment Estimator'!$A$9:$V$100,U$2,FALSE)=0,"",VLOOKUP($A83,'Pre-Assessment Estimator'!$A$9:$V$100,U$2,FALSE))</f>
        <v/>
      </c>
      <c r="V83" s="491" t="str">
        <f>IF(VLOOKUP($A83,'Pre-Assessment Estimator'!$A$9:$V$100,V$2,FALSE)=0,"",VLOOKUP($A83,'Pre-Assessment Estimator'!$A$9:$V$100,V$2,FALSE))</f>
        <v/>
      </c>
      <c r="W83" s="880"/>
      <c r="X83" s="747" t="str">
        <f>IF(VLOOKUP($A83,'Pre-Assessment Estimator'!$A$9:$X$100,X$2,FALSE)=0,"",VLOOKUP($A83,'Pre-Assessment Estimator'!$A$9:$X$100,X$2,FALSE))</f>
        <v>No</v>
      </c>
      <c r="AB83" s="519">
        <f t="shared" si="1"/>
        <v>1</v>
      </c>
      <c r="AC83" s="103" t="e">
        <f>VLOOKUP(I83,'Assessment Details'!$L$45:$M$48,2,FALSE)</f>
        <v>#N/A</v>
      </c>
      <c r="AD83" s="103" t="e">
        <f>VLOOKUP(N83,'Assessment Details'!$L$45:$M$48,2,FALSE)</f>
        <v>#N/A</v>
      </c>
      <c r="AE83" s="103" t="e">
        <f>VLOOKUP(T83,'Assessment Details'!$L$45:$M$48,2,FALSE)</f>
        <v>#N/A</v>
      </c>
    </row>
    <row r="84" spans="1:31" x14ac:dyDescent="0.25">
      <c r="A84" s="399">
        <v>76</v>
      </c>
      <c r="B84" s="439" t="s">
        <v>75</v>
      </c>
      <c r="C84" s="743" t="str">
        <f>Pol_02</f>
        <v>POL 02 NOx emissions</v>
      </c>
      <c r="D84" s="744">
        <f>VLOOKUP($A84,'Pre-Assessment Estimator'!$A$9:$V$100,D$2,FALSE)</f>
        <v>3</v>
      </c>
      <c r="E84" s="744">
        <f>VLOOKUP($A84,'Pre-Assessment Estimator'!$A$9:$V$100,E$2,FALSE)</f>
        <v>0</v>
      </c>
      <c r="F84" s="745">
        <f>VLOOKUP($A84,'Pre-Assessment Estimator'!$A$9:$V$100,F$2,FALSE)</f>
        <v>0</v>
      </c>
      <c r="G84" s="746" t="str">
        <f>VLOOKUP($A84,'Pre-Assessment Estimator'!$A$9:$V$100,G$2,FALSE)</f>
        <v>N/A</v>
      </c>
      <c r="H84" s="747" t="str">
        <f>IF(VLOOKUP($A84,'Pre-Assessment Estimator'!$A$9:$V$100,H$2,FALSE)=0,"",VLOOKUP($A84,'Pre-Assessment Estimator'!$A$9:$V$100,H$2,FALSE))</f>
        <v/>
      </c>
      <c r="I84" s="747" t="str">
        <f>IF(VLOOKUP($A84,'Pre-Assessment Estimator'!$A$9:$V$100,I$2,FALSE)=0,"",VLOOKUP($A84,'Pre-Assessment Estimator'!$A$9:$V$100,I$2,FALSE))</f>
        <v/>
      </c>
      <c r="J84" s="748" t="str">
        <f>IF(VLOOKUP($A84,'Pre-Assessment Estimator'!$A$9:$V$100,J$2,FALSE)=0,"",VLOOKUP($A84,'Pre-Assessment Estimator'!$A$9:$V$100,J$2,FALSE))</f>
        <v/>
      </c>
      <c r="K84" s="749"/>
      <c r="L84" s="750" t="str">
        <f>IF(VLOOKUP($A84,'Pre-Assessment Estimator'!$A$9:$V$100,L$2,FALSE)=0,"",VLOOKUP($A84,'Pre-Assessment Estimator'!$A$9:$V$100,L$2,FALSE))</f>
        <v/>
      </c>
      <c r="M84" s="747" t="str">
        <f>IF(VLOOKUP($A84,'Pre-Assessment Estimator'!$A$9:$V$100,M$2,FALSE)=0,"",VLOOKUP($A84,'Pre-Assessment Estimator'!$A$9:$V$100,M$2,FALSE))</f>
        <v/>
      </c>
      <c r="N84" s="747" t="str">
        <f>IF(VLOOKUP($A84,'Pre-Assessment Estimator'!$A$9:$V$100,N$2,FALSE)=0,"",VLOOKUP($A84,'Pre-Assessment Estimator'!$A$9:$V$100,N$2,FALSE))</f>
        <v/>
      </c>
      <c r="O84" s="747" t="str">
        <f>IF(VLOOKUP($A84,'Pre-Assessment Estimator'!$A$9:$V$100,O$2,FALSE)=0,"",VLOOKUP($A84,'Pre-Assessment Estimator'!$A$9:$V$100,O$2,FALSE))</f>
        <v/>
      </c>
      <c r="P84" s="748" t="str">
        <f>IF(VLOOKUP($A84,'Pre-Assessment Estimator'!$A$9:$V$100,P$2,FALSE)=0,"",VLOOKUP($A84,'Pre-Assessment Estimator'!$A$9:$V$100,P$2,FALSE))</f>
        <v/>
      </c>
      <c r="Q84" s="751"/>
      <c r="R84" s="750" t="str">
        <f>IF(VLOOKUP($A84,'Pre-Assessment Estimator'!$A$9:$V$100,R$2,FALSE)=0,"",VLOOKUP($A84,'Pre-Assessment Estimator'!$A$9:$V$100,R$2,FALSE))</f>
        <v/>
      </c>
      <c r="S84" s="747" t="str">
        <f>IF(VLOOKUP($A84,'Pre-Assessment Estimator'!$A$9:$V$100,S$2,FALSE)=0,"",VLOOKUP($A84,'Pre-Assessment Estimator'!$A$9:$V$100,S$2,FALSE))</f>
        <v/>
      </c>
      <c r="T84" s="747" t="str">
        <f>IF(VLOOKUP($A84,'Pre-Assessment Estimator'!$A$9:$V$100,T$2,FALSE)=0,"",VLOOKUP($A84,'Pre-Assessment Estimator'!$A$9:$V$100,T$2,FALSE))</f>
        <v/>
      </c>
      <c r="U84" s="747" t="str">
        <f>IF(VLOOKUP($A84,'Pre-Assessment Estimator'!$A$9:$V$100,U$2,FALSE)=0,"",VLOOKUP($A84,'Pre-Assessment Estimator'!$A$9:$V$100,U$2,FALSE))</f>
        <v/>
      </c>
      <c r="V84" s="491" t="str">
        <f>IF(VLOOKUP($A84,'Pre-Assessment Estimator'!$A$9:$V$100,V$2,FALSE)=0,"",VLOOKUP($A84,'Pre-Assessment Estimator'!$A$9:$V$100,V$2,FALSE))</f>
        <v/>
      </c>
      <c r="W84" s="880"/>
      <c r="X84" s="747" t="str">
        <f>IF(VLOOKUP($A84,'Pre-Assessment Estimator'!$A$9:$X$100,X$2,FALSE)=0,"",VLOOKUP($A84,'Pre-Assessment Estimator'!$A$9:$X$100,X$2,FALSE))</f>
        <v>No</v>
      </c>
      <c r="AB84" s="519">
        <f t="shared" si="1"/>
        <v>1</v>
      </c>
      <c r="AC84" s="103" t="e">
        <f>VLOOKUP(I84,'Assessment Details'!$L$45:$M$48,2,FALSE)</f>
        <v>#N/A</v>
      </c>
      <c r="AD84" s="103" t="e">
        <f>VLOOKUP(N84,'Assessment Details'!$L$45:$M$48,2,FALSE)</f>
        <v>#N/A</v>
      </c>
      <c r="AE84" s="103" t="e">
        <f>VLOOKUP(T84,'Assessment Details'!$L$45:$M$48,2,FALSE)</f>
        <v>#N/A</v>
      </c>
    </row>
    <row r="85" spans="1:31" x14ac:dyDescent="0.25">
      <c r="A85" s="399">
        <v>77</v>
      </c>
      <c r="B85" s="439" t="s">
        <v>75</v>
      </c>
      <c r="C85" s="743" t="str">
        <f>Pol_03</f>
        <v>POL 03 Surface water run-off</v>
      </c>
      <c r="D85" s="744">
        <f>VLOOKUP($A85,'Pre-Assessment Estimator'!$A$9:$V$100,D$2,FALSE)</f>
        <v>5</v>
      </c>
      <c r="E85" s="744">
        <f>VLOOKUP($A85,'Pre-Assessment Estimator'!$A$9:$V$100,E$2,FALSE)</f>
        <v>0</v>
      </c>
      <c r="F85" s="745">
        <f>VLOOKUP($A85,'Pre-Assessment Estimator'!$A$9:$V$100,F$2,FALSE)</f>
        <v>0</v>
      </c>
      <c r="G85" s="746" t="str">
        <f>VLOOKUP($A85,'Pre-Assessment Estimator'!$A$9:$V$100,G$2,FALSE)</f>
        <v>N/A</v>
      </c>
      <c r="H85" s="747" t="str">
        <f>IF(VLOOKUP($A85,'Pre-Assessment Estimator'!$A$9:$V$100,H$2,FALSE)=0,"",VLOOKUP($A85,'Pre-Assessment Estimator'!$A$9:$V$100,H$2,FALSE))</f>
        <v/>
      </c>
      <c r="I85" s="747" t="str">
        <f>IF(VLOOKUP($A85,'Pre-Assessment Estimator'!$A$9:$V$100,I$2,FALSE)=0,"",VLOOKUP($A85,'Pre-Assessment Estimator'!$A$9:$V$100,I$2,FALSE))</f>
        <v/>
      </c>
      <c r="J85" s="748" t="str">
        <f>IF(VLOOKUP($A85,'Pre-Assessment Estimator'!$A$9:$V$100,J$2,FALSE)=0,"",VLOOKUP($A85,'Pre-Assessment Estimator'!$A$9:$V$100,J$2,FALSE))</f>
        <v/>
      </c>
      <c r="K85" s="749"/>
      <c r="L85" s="750" t="str">
        <f>IF(VLOOKUP($A85,'Pre-Assessment Estimator'!$A$9:$V$100,L$2,FALSE)=0,"",VLOOKUP($A85,'Pre-Assessment Estimator'!$A$9:$V$100,L$2,FALSE))</f>
        <v/>
      </c>
      <c r="M85" s="747" t="str">
        <f>IF(VLOOKUP($A85,'Pre-Assessment Estimator'!$A$9:$V$100,M$2,FALSE)=0,"",VLOOKUP($A85,'Pre-Assessment Estimator'!$A$9:$V$100,M$2,FALSE))</f>
        <v/>
      </c>
      <c r="N85" s="747" t="str">
        <f>IF(VLOOKUP($A85,'Pre-Assessment Estimator'!$A$9:$V$100,N$2,FALSE)=0,"",VLOOKUP($A85,'Pre-Assessment Estimator'!$A$9:$V$100,N$2,FALSE))</f>
        <v/>
      </c>
      <c r="O85" s="747" t="str">
        <f>IF(VLOOKUP($A85,'Pre-Assessment Estimator'!$A$9:$V$100,O$2,FALSE)=0,"",VLOOKUP($A85,'Pre-Assessment Estimator'!$A$9:$V$100,O$2,FALSE))</f>
        <v/>
      </c>
      <c r="P85" s="748" t="str">
        <f>IF(VLOOKUP($A85,'Pre-Assessment Estimator'!$A$9:$V$100,P$2,FALSE)=0,"",VLOOKUP($A85,'Pre-Assessment Estimator'!$A$9:$V$100,P$2,FALSE))</f>
        <v/>
      </c>
      <c r="Q85" s="751"/>
      <c r="R85" s="750" t="str">
        <f>IF(VLOOKUP($A85,'Pre-Assessment Estimator'!$A$9:$V$100,R$2,FALSE)=0,"",VLOOKUP($A85,'Pre-Assessment Estimator'!$A$9:$V$100,R$2,FALSE))</f>
        <v/>
      </c>
      <c r="S85" s="747" t="str">
        <f>IF(VLOOKUP($A85,'Pre-Assessment Estimator'!$A$9:$V$100,S$2,FALSE)=0,"",VLOOKUP($A85,'Pre-Assessment Estimator'!$A$9:$V$100,S$2,FALSE))</f>
        <v/>
      </c>
      <c r="T85" s="747" t="str">
        <f>IF(VLOOKUP($A85,'Pre-Assessment Estimator'!$A$9:$V$100,T$2,FALSE)=0,"",VLOOKUP($A85,'Pre-Assessment Estimator'!$A$9:$V$100,T$2,FALSE))</f>
        <v/>
      </c>
      <c r="U85" s="747" t="str">
        <f>IF(VLOOKUP($A85,'Pre-Assessment Estimator'!$A$9:$V$100,U$2,FALSE)=0,"",VLOOKUP($A85,'Pre-Assessment Estimator'!$A$9:$V$100,U$2,FALSE))</f>
        <v/>
      </c>
      <c r="V85" s="491" t="str">
        <f>IF(VLOOKUP($A85,'Pre-Assessment Estimator'!$A$9:$V$100,V$2,FALSE)=0,"",VLOOKUP($A85,'Pre-Assessment Estimator'!$A$9:$V$100,V$2,FALSE))</f>
        <v/>
      </c>
      <c r="W85" s="880"/>
      <c r="X85" s="747" t="str">
        <f>IF(VLOOKUP($A85,'Pre-Assessment Estimator'!$A$9:$X$100,X$2,FALSE)=0,"",VLOOKUP($A85,'Pre-Assessment Estimator'!$A$9:$X$100,X$2,FALSE))</f>
        <v>N/A</v>
      </c>
      <c r="AB85" s="519">
        <f t="shared" si="1"/>
        <v>1</v>
      </c>
      <c r="AC85" s="103" t="e">
        <f>VLOOKUP(I85,'Assessment Details'!$L$45:$M$48,2,FALSE)</f>
        <v>#N/A</v>
      </c>
      <c r="AD85" s="103" t="e">
        <f>VLOOKUP(N85,'Assessment Details'!$L$45:$M$48,2,FALSE)</f>
        <v>#N/A</v>
      </c>
      <c r="AE85" s="103" t="e">
        <f>VLOOKUP(T85,'Assessment Details'!$L$45:$M$48,2,FALSE)</f>
        <v>#N/A</v>
      </c>
    </row>
    <row r="86" spans="1:31" ht="30" x14ac:dyDescent="0.25">
      <c r="A86" s="399">
        <v>78</v>
      </c>
      <c r="B86" s="439" t="s">
        <v>75</v>
      </c>
      <c r="C86" s="743" t="str">
        <f>Pol_04</f>
        <v>POL 04 Reduction of night time light pollution</v>
      </c>
      <c r="D86" s="744">
        <f>VLOOKUP($A86,'Pre-Assessment Estimator'!$A$9:$V$100,D$2,FALSE)</f>
        <v>1</v>
      </c>
      <c r="E86" s="744">
        <f>VLOOKUP($A86,'Pre-Assessment Estimator'!$A$9:$V$100,E$2,FALSE)</f>
        <v>0</v>
      </c>
      <c r="F86" s="745">
        <f>VLOOKUP($A86,'Pre-Assessment Estimator'!$A$9:$V$100,F$2,FALSE)</f>
        <v>0</v>
      </c>
      <c r="G86" s="746" t="str">
        <f>VLOOKUP($A86,'Pre-Assessment Estimator'!$A$9:$V$100,G$2,FALSE)</f>
        <v>N/A</v>
      </c>
      <c r="H86" s="747" t="str">
        <f>IF(VLOOKUP($A86,'Pre-Assessment Estimator'!$A$9:$V$100,H$2,FALSE)=0,"",VLOOKUP($A86,'Pre-Assessment Estimator'!$A$9:$V$100,H$2,FALSE))</f>
        <v/>
      </c>
      <c r="I86" s="747" t="str">
        <f>IF(VLOOKUP($A86,'Pre-Assessment Estimator'!$A$9:$V$100,I$2,FALSE)=0,"",VLOOKUP($A86,'Pre-Assessment Estimator'!$A$9:$V$100,I$2,FALSE))</f>
        <v/>
      </c>
      <c r="J86" s="748" t="str">
        <f>IF(VLOOKUP($A86,'Pre-Assessment Estimator'!$A$9:$V$100,J$2,FALSE)=0,"",VLOOKUP($A86,'Pre-Assessment Estimator'!$A$9:$V$100,J$2,FALSE))</f>
        <v/>
      </c>
      <c r="K86" s="749"/>
      <c r="L86" s="750" t="str">
        <f>IF(VLOOKUP($A86,'Pre-Assessment Estimator'!$A$9:$V$100,L$2,FALSE)=0,"",VLOOKUP($A86,'Pre-Assessment Estimator'!$A$9:$V$100,L$2,FALSE))</f>
        <v/>
      </c>
      <c r="M86" s="747" t="str">
        <f>IF(VLOOKUP($A86,'Pre-Assessment Estimator'!$A$9:$V$100,M$2,FALSE)=0,"",VLOOKUP($A86,'Pre-Assessment Estimator'!$A$9:$V$100,M$2,FALSE))</f>
        <v/>
      </c>
      <c r="N86" s="747" t="str">
        <f>IF(VLOOKUP($A86,'Pre-Assessment Estimator'!$A$9:$V$100,N$2,FALSE)=0,"",VLOOKUP($A86,'Pre-Assessment Estimator'!$A$9:$V$100,N$2,FALSE))</f>
        <v/>
      </c>
      <c r="O86" s="747" t="str">
        <f>IF(VLOOKUP($A86,'Pre-Assessment Estimator'!$A$9:$V$100,O$2,FALSE)=0,"",VLOOKUP($A86,'Pre-Assessment Estimator'!$A$9:$V$100,O$2,FALSE))</f>
        <v/>
      </c>
      <c r="P86" s="748" t="str">
        <f>IF(VLOOKUP($A86,'Pre-Assessment Estimator'!$A$9:$V$100,P$2,FALSE)=0,"",VLOOKUP($A86,'Pre-Assessment Estimator'!$A$9:$V$100,P$2,FALSE))</f>
        <v/>
      </c>
      <c r="Q86" s="751"/>
      <c r="R86" s="750" t="str">
        <f>IF(VLOOKUP($A86,'Pre-Assessment Estimator'!$A$9:$V$100,R$2,FALSE)=0,"",VLOOKUP($A86,'Pre-Assessment Estimator'!$A$9:$V$100,R$2,FALSE))</f>
        <v/>
      </c>
      <c r="S86" s="747" t="str">
        <f>IF(VLOOKUP($A86,'Pre-Assessment Estimator'!$A$9:$V$100,S$2,FALSE)=0,"",VLOOKUP($A86,'Pre-Assessment Estimator'!$A$9:$V$100,S$2,FALSE))</f>
        <v/>
      </c>
      <c r="T86" s="747" t="str">
        <f>IF(VLOOKUP($A86,'Pre-Assessment Estimator'!$A$9:$V$100,T$2,FALSE)=0,"",VLOOKUP($A86,'Pre-Assessment Estimator'!$A$9:$V$100,T$2,FALSE))</f>
        <v/>
      </c>
      <c r="U86" s="747" t="str">
        <f>IF(VLOOKUP($A86,'Pre-Assessment Estimator'!$A$9:$V$100,U$2,FALSE)=0,"",VLOOKUP($A86,'Pre-Assessment Estimator'!$A$9:$V$100,U$2,FALSE))</f>
        <v/>
      </c>
      <c r="V86" s="491" t="str">
        <f>IF(VLOOKUP($A86,'Pre-Assessment Estimator'!$A$9:$V$100,V$2,FALSE)=0,"",VLOOKUP($A86,'Pre-Assessment Estimator'!$A$9:$V$100,V$2,FALSE))</f>
        <v/>
      </c>
      <c r="W86" s="880"/>
      <c r="X86" s="747" t="str">
        <f>IF(VLOOKUP($A86,'Pre-Assessment Estimator'!$A$9:$X$100,X$2,FALSE)=0,"",VLOOKUP($A86,'Pre-Assessment Estimator'!$A$9:$X$100,X$2,FALSE))</f>
        <v>No</v>
      </c>
      <c r="AB86" s="519">
        <f t="shared" si="1"/>
        <v>1</v>
      </c>
      <c r="AC86" s="520" t="e">
        <f>VLOOKUP(I86,'Assessment Details'!$L$45:$M$48,2,FALSE)</f>
        <v>#N/A</v>
      </c>
      <c r="AD86" s="520" t="e">
        <f>VLOOKUP(N86,'Assessment Details'!$L$45:$M$48,2,FALSE)</f>
        <v>#N/A</v>
      </c>
      <c r="AE86" s="520" t="e">
        <f>VLOOKUP(T86,'Assessment Details'!$L$45:$M$48,2,FALSE)</f>
        <v>#N/A</v>
      </c>
    </row>
    <row r="87" spans="1:31" x14ac:dyDescent="0.25">
      <c r="A87" s="399">
        <v>79</v>
      </c>
      <c r="B87" s="439" t="s">
        <v>75</v>
      </c>
      <c r="C87" s="743" t="str">
        <f>Pol_05</f>
        <v>POL 05 Noise attenuation</v>
      </c>
      <c r="D87" s="744">
        <f>VLOOKUP($A87,'Pre-Assessment Estimator'!$A$9:$V$100,D$2,FALSE)</f>
        <v>1</v>
      </c>
      <c r="E87" s="744">
        <f>VLOOKUP($A87,'Pre-Assessment Estimator'!$A$9:$V$100,E$2,FALSE)</f>
        <v>0</v>
      </c>
      <c r="F87" s="745">
        <f>VLOOKUP($A87,'Pre-Assessment Estimator'!$A$9:$V$100,F$2,FALSE)</f>
        <v>0</v>
      </c>
      <c r="G87" s="746" t="str">
        <f>VLOOKUP($A87,'Pre-Assessment Estimator'!$A$9:$V$100,G$2,FALSE)</f>
        <v>N/A</v>
      </c>
      <c r="H87" s="747" t="str">
        <f>IF(VLOOKUP($A87,'Pre-Assessment Estimator'!$A$9:$V$100,H$2,FALSE)=0,"",VLOOKUP($A87,'Pre-Assessment Estimator'!$A$9:$V$100,H$2,FALSE))</f>
        <v/>
      </c>
      <c r="I87" s="747" t="str">
        <f>IF(VLOOKUP($A87,'Pre-Assessment Estimator'!$A$9:$V$100,I$2,FALSE)=0,"",VLOOKUP($A87,'Pre-Assessment Estimator'!$A$9:$V$100,I$2,FALSE))</f>
        <v/>
      </c>
      <c r="J87" s="748" t="str">
        <f>IF(VLOOKUP($A87,'Pre-Assessment Estimator'!$A$9:$V$100,J$2,FALSE)=0,"",VLOOKUP($A87,'Pre-Assessment Estimator'!$A$9:$V$100,J$2,FALSE))</f>
        <v/>
      </c>
      <c r="K87" s="749"/>
      <c r="L87" s="750" t="str">
        <f>IF(VLOOKUP($A87,'Pre-Assessment Estimator'!$A$9:$V$100,L$2,FALSE)=0,"",VLOOKUP($A87,'Pre-Assessment Estimator'!$A$9:$V$100,L$2,FALSE))</f>
        <v/>
      </c>
      <c r="M87" s="747" t="str">
        <f>IF(VLOOKUP($A87,'Pre-Assessment Estimator'!$A$9:$V$100,M$2,FALSE)=0,"",VLOOKUP($A87,'Pre-Assessment Estimator'!$A$9:$V$100,M$2,FALSE))</f>
        <v/>
      </c>
      <c r="N87" s="747" t="str">
        <f>IF(VLOOKUP($A87,'Pre-Assessment Estimator'!$A$9:$V$100,N$2,FALSE)=0,"",VLOOKUP($A87,'Pre-Assessment Estimator'!$A$9:$V$100,N$2,FALSE))</f>
        <v/>
      </c>
      <c r="O87" s="747" t="str">
        <f>IF(VLOOKUP($A87,'Pre-Assessment Estimator'!$A$9:$V$100,O$2,FALSE)=0,"",VLOOKUP($A87,'Pre-Assessment Estimator'!$A$9:$V$100,O$2,FALSE))</f>
        <v/>
      </c>
      <c r="P87" s="748" t="str">
        <f>IF(VLOOKUP($A87,'Pre-Assessment Estimator'!$A$9:$V$100,P$2,FALSE)=0,"",VLOOKUP($A87,'Pre-Assessment Estimator'!$A$9:$V$100,P$2,FALSE))</f>
        <v/>
      </c>
      <c r="Q87" s="751"/>
      <c r="R87" s="750" t="str">
        <f>IF(VLOOKUP($A87,'Pre-Assessment Estimator'!$A$9:$V$100,R$2,FALSE)=0,"",VLOOKUP($A87,'Pre-Assessment Estimator'!$A$9:$V$100,R$2,FALSE))</f>
        <v/>
      </c>
      <c r="S87" s="747" t="str">
        <f>IF(VLOOKUP($A87,'Pre-Assessment Estimator'!$A$9:$V$100,S$2,FALSE)=0,"",VLOOKUP($A87,'Pre-Assessment Estimator'!$A$9:$V$100,S$2,FALSE))</f>
        <v/>
      </c>
      <c r="T87" s="747" t="str">
        <f>IF(VLOOKUP($A87,'Pre-Assessment Estimator'!$A$9:$V$100,T$2,FALSE)=0,"",VLOOKUP($A87,'Pre-Assessment Estimator'!$A$9:$V$100,T$2,FALSE))</f>
        <v/>
      </c>
      <c r="U87" s="747" t="str">
        <f>IF(VLOOKUP($A87,'Pre-Assessment Estimator'!$A$9:$V$100,U$2,FALSE)=0,"",VLOOKUP($A87,'Pre-Assessment Estimator'!$A$9:$V$100,U$2,FALSE))</f>
        <v/>
      </c>
      <c r="V87" s="491" t="str">
        <f>IF(VLOOKUP($A87,'Pre-Assessment Estimator'!$A$9:$V$100,V$2,FALSE)=0,"",VLOOKUP($A87,'Pre-Assessment Estimator'!$A$9:$V$100,V$2,FALSE))</f>
        <v/>
      </c>
      <c r="W87" s="880"/>
      <c r="X87" s="747" t="str">
        <f>IF(VLOOKUP($A87,'Pre-Assessment Estimator'!$A$9:$X$100,X$2,FALSE)=0,"",VLOOKUP($A87,'Pre-Assessment Estimator'!$A$9:$X$100,X$2,FALSE))</f>
        <v>No</v>
      </c>
      <c r="AB87" s="519">
        <f t="shared" si="1"/>
        <v>1</v>
      </c>
      <c r="AC87" s="103" t="e">
        <f>VLOOKUP(I87,'Assessment Details'!$L$45:$M$48,2,FALSE)</f>
        <v>#N/A</v>
      </c>
      <c r="AD87" s="103" t="e">
        <f>VLOOKUP(N87,'Assessment Details'!$L$45:$M$48,2,FALSE)</f>
        <v>#N/A</v>
      </c>
      <c r="AE87" s="103" t="e">
        <f>VLOOKUP(T87,'Assessment Details'!$L$45:$M$48,2,FALSE)</f>
        <v>#N/A</v>
      </c>
    </row>
    <row r="88" spans="1:31" ht="15.75" thickBot="1" x14ac:dyDescent="0.3">
      <c r="A88" s="399">
        <v>80</v>
      </c>
      <c r="B88" s="439" t="s">
        <v>75</v>
      </c>
      <c r="C88" s="753" t="s">
        <v>115</v>
      </c>
      <c r="D88" s="754">
        <f>VLOOKUP($A88,'Pre-Assessment Estimator'!$A$9:$V$100,D$2,FALSE)</f>
        <v>13</v>
      </c>
      <c r="E88" s="754">
        <f>SUM(E83:E87)</f>
        <v>0</v>
      </c>
      <c r="F88" s="755">
        <f>VLOOKUP($A88,'Pre-Assessment Estimator'!$A$9:$V$100,F$2,FALSE)</f>
        <v>0</v>
      </c>
      <c r="G88" s="747"/>
      <c r="H88" s="747" t="str">
        <f>IF(VLOOKUP($A88,'Pre-Assessment Estimator'!$A$9:$V$100,H$2,FALSE)=0,"",VLOOKUP($A88,'Pre-Assessment Estimator'!$A$9:$V$100,H$2,FALSE))</f>
        <v/>
      </c>
      <c r="I88" s="744" t="str">
        <f>IF(VLOOKUP($A88,'Pre-Assessment Estimator'!$A$9:$V$100,I$2,FALSE)=0,"",VLOOKUP($A88,'Pre-Assessment Estimator'!$A$9:$V$100,I$2,FALSE))</f>
        <v/>
      </c>
      <c r="J88" s="748" t="str">
        <f>IF(VLOOKUP($A88,'Pre-Assessment Estimator'!$A$9:$V$100,J$2,FALSE)=0,"",VLOOKUP($A88,'Pre-Assessment Estimator'!$A$9:$V$100,J$2,FALSE))</f>
        <v/>
      </c>
      <c r="K88" s="749"/>
      <c r="L88" s="756" t="str">
        <f>IF(VLOOKUP($A88,'Pre-Assessment Estimator'!$A$9:$V$100,L$2,FALSE)=0,"",VLOOKUP($A88,'Pre-Assessment Estimator'!$A$9:$V$100,L$2,FALSE))</f>
        <v/>
      </c>
      <c r="M88" s="747" t="str">
        <f>IF(VLOOKUP($A88,'Pre-Assessment Estimator'!$A$9:$V$100,M$2,FALSE)=0,"",VLOOKUP($A88,'Pre-Assessment Estimator'!$A$9:$V$100,M$2,FALSE))</f>
        <v/>
      </c>
      <c r="N88" s="744" t="str">
        <f>IF(VLOOKUP($A88,'Pre-Assessment Estimator'!$A$9:$V$100,N$2,FALSE)=0,"",VLOOKUP($A88,'Pre-Assessment Estimator'!$A$9:$V$100,N$2,FALSE))</f>
        <v/>
      </c>
      <c r="O88" s="747" t="str">
        <f>IF(VLOOKUP($A88,'Pre-Assessment Estimator'!$A$9:$V$100,O$2,FALSE)=0,"",VLOOKUP($A88,'Pre-Assessment Estimator'!$A$9:$V$100,O$2,FALSE))</f>
        <v/>
      </c>
      <c r="P88" s="748" t="str">
        <f>IF(VLOOKUP($A88,'Pre-Assessment Estimator'!$A$9:$V$100,P$2,FALSE)=0,"",VLOOKUP($A88,'Pre-Assessment Estimator'!$A$9:$V$100,P$2,FALSE))</f>
        <v/>
      </c>
      <c r="Q88" s="751"/>
      <c r="R88" s="756" t="str">
        <f>IF(VLOOKUP($A88,'Pre-Assessment Estimator'!$A$9:$V$100,R$2,FALSE)=0,"",VLOOKUP($A88,'Pre-Assessment Estimator'!$A$9:$V$100,R$2,FALSE))</f>
        <v/>
      </c>
      <c r="S88" s="747" t="str">
        <f>IF(VLOOKUP($A88,'Pre-Assessment Estimator'!$A$9:$V$100,S$2,FALSE)=0,"",VLOOKUP($A88,'Pre-Assessment Estimator'!$A$9:$V$100,S$2,FALSE))</f>
        <v/>
      </c>
      <c r="T88" s="744" t="str">
        <f>IF(VLOOKUP($A88,'Pre-Assessment Estimator'!$A$9:$V$100,T$2,FALSE)=0,"",VLOOKUP($A88,'Pre-Assessment Estimator'!$A$9:$V$100,T$2,FALSE))</f>
        <v/>
      </c>
      <c r="U88" s="747" t="str">
        <f>IF(VLOOKUP($A88,'Pre-Assessment Estimator'!$A$9:$V$100,U$2,FALSE)=0,"",VLOOKUP($A88,'Pre-Assessment Estimator'!$A$9:$V$100,U$2,FALSE))</f>
        <v/>
      </c>
      <c r="V88" s="491" t="str">
        <f>IF(VLOOKUP($A88,'Pre-Assessment Estimator'!$A$9:$V$100,V$2,FALSE)=0,"",VLOOKUP($A88,'Pre-Assessment Estimator'!$A$9:$V$100,V$2,FALSE))</f>
        <v/>
      </c>
      <c r="W88" s="880"/>
      <c r="X88" s="747" t="str">
        <f>IF(VLOOKUP($A88,'Pre-Assessment Estimator'!$A$9:$X$100,X$2,FALSE)=0,"",VLOOKUP($A88,'Pre-Assessment Estimator'!$A$9:$X$100,X$2,FALSE))</f>
        <v/>
      </c>
      <c r="AB88" s="519">
        <f t="shared" si="1"/>
        <v>1</v>
      </c>
      <c r="AC88" s="333">
        <v>0</v>
      </c>
      <c r="AD88" s="333">
        <v>0</v>
      </c>
      <c r="AE88" s="333">
        <v>0</v>
      </c>
    </row>
    <row r="89" spans="1:31" x14ac:dyDescent="0.25">
      <c r="A89" s="399">
        <v>81</v>
      </c>
      <c r="B89" s="439" t="s">
        <v>75</v>
      </c>
      <c r="C89" s="757"/>
      <c r="D89" s="758"/>
      <c r="E89" s="758"/>
      <c r="F89" s="758"/>
      <c r="G89" s="758"/>
      <c r="H89" s="757"/>
      <c r="I89" s="758"/>
      <c r="J89" s="757"/>
      <c r="K89" s="749"/>
      <c r="L89" s="758"/>
      <c r="M89" s="757"/>
      <c r="N89" s="758"/>
      <c r="O89" s="757"/>
      <c r="P89" s="757"/>
      <c r="Q89" s="751"/>
      <c r="R89" s="758"/>
      <c r="S89" s="757"/>
      <c r="T89" s="758"/>
      <c r="U89" s="757"/>
      <c r="V89" s="440"/>
      <c r="W89" s="881"/>
      <c r="X89" s="757"/>
      <c r="Y89" s="522"/>
      <c r="Z89" s="522"/>
      <c r="AA89" s="522"/>
      <c r="AB89" s="519">
        <f t="shared" si="1"/>
        <v>1</v>
      </c>
      <c r="AC89" s="335">
        <v>0</v>
      </c>
      <c r="AD89" s="335">
        <v>0</v>
      </c>
      <c r="AE89" s="335">
        <v>0</v>
      </c>
    </row>
    <row r="90" spans="1:31" ht="37.5" x14ac:dyDescent="0.25">
      <c r="A90" s="399">
        <v>82</v>
      </c>
      <c r="B90" s="439" t="s">
        <v>234</v>
      </c>
      <c r="C90" s="759" t="s">
        <v>503</v>
      </c>
      <c r="D90" s="739"/>
      <c r="E90" s="739"/>
      <c r="F90" s="739"/>
      <c r="G90" s="739"/>
      <c r="H90" s="740"/>
      <c r="I90" s="739"/>
      <c r="J90" s="740"/>
      <c r="K90" s="749"/>
      <c r="L90" s="739"/>
      <c r="M90" s="740"/>
      <c r="N90" s="739"/>
      <c r="O90" s="740"/>
      <c r="P90" s="740"/>
      <c r="Q90" s="751"/>
      <c r="R90" s="739"/>
      <c r="S90" s="740"/>
      <c r="T90" s="739"/>
      <c r="U90" s="740"/>
      <c r="V90" s="544"/>
      <c r="W90" s="879"/>
      <c r="X90" s="883"/>
      <c r="AB90" s="519">
        <f t="shared" si="1"/>
        <v>1</v>
      </c>
      <c r="AC90" s="331">
        <v>0</v>
      </c>
      <c r="AD90" s="331">
        <v>0</v>
      </c>
      <c r="AE90" s="331">
        <v>0</v>
      </c>
    </row>
    <row r="91" spans="1:31" x14ac:dyDescent="0.25">
      <c r="A91" s="399">
        <v>83</v>
      </c>
      <c r="B91" s="439" t="s">
        <v>234</v>
      </c>
      <c r="C91" s="743" t="str">
        <f>Inn_01</f>
        <v>Inn 01 - Man 05 Aftercare</v>
      </c>
      <c r="D91" s="744">
        <f>VLOOKUP($A91,'Pre-Assessment Estimator'!$A$9:$V$100,D$2,FALSE)</f>
        <v>1</v>
      </c>
      <c r="E91" s="744">
        <f>VLOOKUP($A91,'Pre-Assessment Estimator'!$A$9:$V$100,E$2,FALSE)</f>
        <v>0</v>
      </c>
      <c r="F91" s="745">
        <f>VLOOKUP($A91,'Pre-Assessment Estimator'!$A$9:$V$100,F$2,FALSE)</f>
        <v>0</v>
      </c>
      <c r="G91" s="746" t="str">
        <f>VLOOKUP($A91,'Pre-Assessment Estimator'!$A$9:$V$100,G$2,FALSE)</f>
        <v>N/A</v>
      </c>
      <c r="H91" s="747" t="str">
        <f>IF(VLOOKUP($A91,'Pre-Assessment Estimator'!$A$9:$V$100,H$2,FALSE)=0,"",VLOOKUP($A91,'Pre-Assessment Estimator'!$A$9:$V$100,H$2,FALSE))</f>
        <v/>
      </c>
      <c r="I91" s="747" t="str">
        <f>IF(VLOOKUP($A91,'Pre-Assessment Estimator'!$A$9:$V$100,I$2,FALSE)=0,"",VLOOKUP($A91,'Pre-Assessment Estimator'!$A$9:$V$100,I$2,FALSE))</f>
        <v/>
      </c>
      <c r="J91" s="748" t="str">
        <f>IF(VLOOKUP($A91,'Pre-Assessment Estimator'!$A$9:$V$100,J$2,FALSE)=0,"",VLOOKUP($A91,'Pre-Assessment Estimator'!$A$9:$V$100,J$2,FALSE))</f>
        <v/>
      </c>
      <c r="K91" s="749"/>
      <c r="L91" s="750" t="str">
        <f>IF(VLOOKUP($A91,'Pre-Assessment Estimator'!$A$9:$V$100,L$2,FALSE)=0,"",VLOOKUP($A91,'Pre-Assessment Estimator'!$A$9:$V$100,L$2,FALSE))</f>
        <v/>
      </c>
      <c r="M91" s="747" t="str">
        <f>IF(VLOOKUP($A91,'Pre-Assessment Estimator'!$A$9:$V$100,M$2,FALSE)=0,"",VLOOKUP($A91,'Pre-Assessment Estimator'!$A$9:$V$100,M$2,FALSE))</f>
        <v/>
      </c>
      <c r="N91" s="747" t="str">
        <f>IF(VLOOKUP($A91,'Pre-Assessment Estimator'!$A$9:$V$100,N$2,FALSE)=0,"",VLOOKUP($A91,'Pre-Assessment Estimator'!$A$9:$V$100,N$2,FALSE))</f>
        <v/>
      </c>
      <c r="O91" s="747" t="str">
        <f>IF(VLOOKUP($A91,'Pre-Assessment Estimator'!$A$9:$V$100,O$2,FALSE)=0,"",VLOOKUP($A91,'Pre-Assessment Estimator'!$A$9:$V$100,O$2,FALSE))</f>
        <v/>
      </c>
      <c r="P91" s="748" t="str">
        <f>IF(VLOOKUP($A91,'Pre-Assessment Estimator'!$A$9:$V$100,P$2,FALSE)=0,"",VLOOKUP($A91,'Pre-Assessment Estimator'!$A$9:$V$100,P$2,FALSE))</f>
        <v/>
      </c>
      <c r="Q91" s="751"/>
      <c r="R91" s="750" t="str">
        <f>IF(VLOOKUP($A91,'Pre-Assessment Estimator'!$A$9:$V$100,R$2,FALSE)=0,"",VLOOKUP($A91,'Pre-Assessment Estimator'!$A$9:$V$100,R$2,FALSE))</f>
        <v/>
      </c>
      <c r="S91" s="747" t="str">
        <f>IF(VLOOKUP($A91,'Pre-Assessment Estimator'!$A$9:$V$100,S$2,FALSE)=0,"",VLOOKUP($A91,'Pre-Assessment Estimator'!$A$9:$V$100,S$2,FALSE))</f>
        <v/>
      </c>
      <c r="T91" s="747" t="str">
        <f>IF(VLOOKUP($A91,'Pre-Assessment Estimator'!$A$9:$V$100,T$2,FALSE)=0,"",VLOOKUP($A91,'Pre-Assessment Estimator'!$A$9:$V$100,T$2,FALSE))</f>
        <v/>
      </c>
      <c r="U91" s="747" t="str">
        <f>IF(VLOOKUP($A91,'Pre-Assessment Estimator'!$A$9:$V$100,U$2,FALSE)=0,"",VLOOKUP($A91,'Pre-Assessment Estimator'!$A$9:$V$100,U$2,FALSE))</f>
        <v/>
      </c>
      <c r="V91" s="491" t="str">
        <f>IF(VLOOKUP($A91,'Pre-Assessment Estimator'!$A$9:$V$100,V$2,FALSE)=0,"",VLOOKUP($A91,'Pre-Assessment Estimator'!$A$9:$V$100,V$2,FALSE))</f>
        <v/>
      </c>
      <c r="W91" s="880"/>
      <c r="X91" s="747" t="str">
        <f>IF(VLOOKUP($A91,'Pre-Assessment Estimator'!$A$9:$X$100,X$2,FALSE)=0,"",VLOOKUP($A91,'Pre-Assessment Estimator'!$A$9:$X$100,X$2,FALSE))</f>
        <v>N/A</v>
      </c>
      <c r="AB91" s="519">
        <f t="shared" si="1"/>
        <v>1</v>
      </c>
      <c r="AC91" s="103" t="e">
        <f>VLOOKUP(I91,'Assessment Details'!$L$45:$M$48,2,FALSE)</f>
        <v>#N/A</v>
      </c>
      <c r="AD91" s="103" t="e">
        <f>VLOOKUP(N91,'Assessment Details'!$L$45:$M$48,2,FALSE)</f>
        <v>#N/A</v>
      </c>
      <c r="AE91" s="103" t="e">
        <f>VLOOKUP(T91,'Assessment Details'!$L$45:$M$48,2,FALSE)</f>
        <v>#N/A</v>
      </c>
    </row>
    <row r="92" spans="1:31" x14ac:dyDescent="0.25">
      <c r="A92" s="399">
        <v>84</v>
      </c>
      <c r="B92" s="439" t="s">
        <v>234</v>
      </c>
      <c r="C92" s="743" t="str">
        <f>Inn_02</f>
        <v>Inn 02 - Hea 02 Indoor air quality</v>
      </c>
      <c r="D92" s="744">
        <f>VLOOKUP($A92,'Pre-Assessment Estimator'!$A$9:$V$100,D$2,FALSE)</f>
        <v>1</v>
      </c>
      <c r="E92" s="744">
        <f>VLOOKUP($A92,'Pre-Assessment Estimator'!$A$9:$V$100,E$2,FALSE)</f>
        <v>0</v>
      </c>
      <c r="F92" s="745">
        <f>VLOOKUP($A92,'Pre-Assessment Estimator'!$A$9:$V$100,F$2,FALSE)</f>
        <v>0</v>
      </c>
      <c r="G92" s="746" t="str">
        <f>VLOOKUP($A92,'Pre-Assessment Estimator'!$A$9:$V$100,G$2,FALSE)</f>
        <v>N/A</v>
      </c>
      <c r="H92" s="747" t="str">
        <f>IF(VLOOKUP($A92,'Pre-Assessment Estimator'!$A$9:$V$100,H$2,FALSE)=0,"",VLOOKUP($A92,'Pre-Assessment Estimator'!$A$9:$V$100,H$2,FALSE))</f>
        <v/>
      </c>
      <c r="I92" s="747" t="str">
        <f>IF(VLOOKUP($A92,'Pre-Assessment Estimator'!$A$9:$V$100,I$2,FALSE)=0,"",VLOOKUP($A92,'Pre-Assessment Estimator'!$A$9:$V$100,I$2,FALSE))</f>
        <v/>
      </c>
      <c r="J92" s="748" t="str">
        <f>IF(VLOOKUP($A92,'Pre-Assessment Estimator'!$A$9:$V$100,J$2,FALSE)=0,"",VLOOKUP($A92,'Pre-Assessment Estimator'!$A$9:$V$100,J$2,FALSE))</f>
        <v/>
      </c>
      <c r="K92" s="749"/>
      <c r="L92" s="750" t="str">
        <f>IF(VLOOKUP($A92,'Pre-Assessment Estimator'!$A$9:$V$100,L$2,FALSE)=0,"",VLOOKUP($A92,'Pre-Assessment Estimator'!$A$9:$V$100,L$2,FALSE))</f>
        <v/>
      </c>
      <c r="M92" s="747" t="str">
        <f>IF(VLOOKUP($A92,'Pre-Assessment Estimator'!$A$9:$V$100,M$2,FALSE)=0,"",VLOOKUP($A92,'Pre-Assessment Estimator'!$A$9:$V$100,M$2,FALSE))</f>
        <v/>
      </c>
      <c r="N92" s="747" t="str">
        <f>IF(VLOOKUP($A92,'Pre-Assessment Estimator'!$A$9:$V$100,N$2,FALSE)=0,"",VLOOKUP($A92,'Pre-Assessment Estimator'!$A$9:$V$100,N$2,FALSE))</f>
        <v/>
      </c>
      <c r="O92" s="747" t="str">
        <f>IF(VLOOKUP($A92,'Pre-Assessment Estimator'!$A$9:$V$100,O$2,FALSE)=0,"",VLOOKUP($A92,'Pre-Assessment Estimator'!$A$9:$V$100,O$2,FALSE))</f>
        <v/>
      </c>
      <c r="P92" s="748" t="str">
        <f>IF(VLOOKUP($A92,'Pre-Assessment Estimator'!$A$9:$V$100,P$2,FALSE)=0,"",VLOOKUP($A92,'Pre-Assessment Estimator'!$A$9:$V$100,P$2,FALSE))</f>
        <v/>
      </c>
      <c r="Q92" s="751"/>
      <c r="R92" s="750" t="str">
        <f>IF(VLOOKUP($A92,'Pre-Assessment Estimator'!$A$9:$V$100,R$2,FALSE)=0,"",VLOOKUP($A92,'Pre-Assessment Estimator'!$A$9:$V$100,R$2,FALSE))</f>
        <v/>
      </c>
      <c r="S92" s="747" t="str">
        <f>IF(VLOOKUP($A92,'Pre-Assessment Estimator'!$A$9:$V$100,S$2,FALSE)=0,"",VLOOKUP($A92,'Pre-Assessment Estimator'!$A$9:$V$100,S$2,FALSE))</f>
        <v/>
      </c>
      <c r="T92" s="747" t="str">
        <f>IF(VLOOKUP($A92,'Pre-Assessment Estimator'!$A$9:$V$100,T$2,FALSE)=0,"",VLOOKUP($A92,'Pre-Assessment Estimator'!$A$9:$V$100,T$2,FALSE))</f>
        <v/>
      </c>
      <c r="U92" s="747" t="str">
        <f>IF(VLOOKUP($A92,'Pre-Assessment Estimator'!$A$9:$V$100,U$2,FALSE)=0,"",VLOOKUP($A92,'Pre-Assessment Estimator'!$A$9:$V$100,U$2,FALSE))</f>
        <v/>
      </c>
      <c r="V92" s="491" t="str">
        <f>IF(VLOOKUP($A92,'Pre-Assessment Estimator'!$A$9:$V$100,V$2,FALSE)=0,"",VLOOKUP($A92,'Pre-Assessment Estimator'!$A$9:$V$100,V$2,FALSE))</f>
        <v/>
      </c>
      <c r="W92" s="880"/>
      <c r="X92" s="747" t="str">
        <f>IF(VLOOKUP($A92,'Pre-Assessment Estimator'!$A$9:$X$100,X$2,FALSE)=0,"",VLOOKUP($A92,'Pre-Assessment Estimator'!$A$9:$X$100,X$2,FALSE))</f>
        <v>N/A</v>
      </c>
      <c r="AB92" s="519">
        <f t="shared" si="1"/>
        <v>1</v>
      </c>
      <c r="AC92" s="103" t="e">
        <f>VLOOKUP(I92,'Assessment Details'!$L$45:$M$48,2,FALSE)</f>
        <v>#N/A</v>
      </c>
      <c r="AD92" s="103" t="e">
        <f>VLOOKUP(N92,'Assessment Details'!$L$45:$M$48,2,FALSE)</f>
        <v>#N/A</v>
      </c>
      <c r="AE92" s="103" t="e">
        <f>VLOOKUP(T92,'Assessment Details'!$L$45:$M$48,2,FALSE)</f>
        <v>#N/A</v>
      </c>
    </row>
    <row r="93" spans="1:31" x14ac:dyDescent="0.25">
      <c r="A93" s="399">
        <v>85</v>
      </c>
      <c r="B93" s="439" t="s">
        <v>234</v>
      </c>
      <c r="C93" s="743" t="str">
        <f>Inn_03</f>
        <v>Inn 03 - Tra 03 Alternative modes of transport</v>
      </c>
      <c r="D93" s="744">
        <f>VLOOKUP($A93,'Pre-Assessment Estimator'!$A$9:$V$100,D$2,FALSE)</f>
        <v>1</v>
      </c>
      <c r="E93" s="744">
        <f>VLOOKUP($A93,'Pre-Assessment Estimator'!$A$9:$V$100,E$2,FALSE)</f>
        <v>0</v>
      </c>
      <c r="F93" s="745">
        <f>VLOOKUP($A93,'Pre-Assessment Estimator'!$A$9:$V$100,F$2,FALSE)</f>
        <v>0</v>
      </c>
      <c r="G93" s="746" t="str">
        <f>VLOOKUP($A93,'Pre-Assessment Estimator'!$A$9:$V$100,G$2,FALSE)</f>
        <v>N/A</v>
      </c>
      <c r="H93" s="747" t="str">
        <f>IF(VLOOKUP($A93,'Pre-Assessment Estimator'!$A$9:$V$100,H$2,FALSE)=0,"",VLOOKUP($A93,'Pre-Assessment Estimator'!$A$9:$V$100,H$2,FALSE))</f>
        <v/>
      </c>
      <c r="I93" s="747" t="str">
        <f>IF(VLOOKUP($A93,'Pre-Assessment Estimator'!$A$9:$V$100,I$2,FALSE)=0,"",VLOOKUP($A93,'Pre-Assessment Estimator'!$A$9:$V$100,I$2,FALSE))</f>
        <v/>
      </c>
      <c r="J93" s="748" t="str">
        <f>IF(VLOOKUP($A93,'Pre-Assessment Estimator'!$A$9:$V$100,J$2,FALSE)=0,"",VLOOKUP($A93,'Pre-Assessment Estimator'!$A$9:$V$100,J$2,FALSE))</f>
        <v/>
      </c>
      <c r="K93" s="749"/>
      <c r="L93" s="750" t="str">
        <f>IF(VLOOKUP($A93,'Pre-Assessment Estimator'!$A$9:$V$100,L$2,FALSE)=0,"",VLOOKUP($A93,'Pre-Assessment Estimator'!$A$9:$V$100,L$2,FALSE))</f>
        <v/>
      </c>
      <c r="M93" s="747" t="str">
        <f>IF(VLOOKUP($A93,'Pre-Assessment Estimator'!$A$9:$V$100,M$2,FALSE)=0,"",VLOOKUP($A93,'Pre-Assessment Estimator'!$A$9:$V$100,M$2,FALSE))</f>
        <v/>
      </c>
      <c r="N93" s="747" t="str">
        <f>IF(VLOOKUP($A93,'Pre-Assessment Estimator'!$A$9:$V$100,N$2,FALSE)=0,"",VLOOKUP($A93,'Pre-Assessment Estimator'!$A$9:$V$100,N$2,FALSE))</f>
        <v/>
      </c>
      <c r="O93" s="747" t="str">
        <f>IF(VLOOKUP($A93,'Pre-Assessment Estimator'!$A$9:$V$100,O$2,FALSE)=0,"",VLOOKUP($A93,'Pre-Assessment Estimator'!$A$9:$V$100,O$2,FALSE))</f>
        <v/>
      </c>
      <c r="P93" s="748" t="str">
        <f>IF(VLOOKUP($A93,'Pre-Assessment Estimator'!$A$9:$V$100,P$2,FALSE)=0,"",VLOOKUP($A93,'Pre-Assessment Estimator'!$A$9:$V$100,P$2,FALSE))</f>
        <v/>
      </c>
      <c r="Q93" s="751"/>
      <c r="R93" s="750" t="str">
        <f>IF(VLOOKUP($A93,'Pre-Assessment Estimator'!$A$9:$V$100,R$2,FALSE)=0,"",VLOOKUP($A93,'Pre-Assessment Estimator'!$A$9:$V$100,R$2,FALSE))</f>
        <v/>
      </c>
      <c r="S93" s="747" t="str">
        <f>IF(VLOOKUP($A93,'Pre-Assessment Estimator'!$A$9:$V$100,S$2,FALSE)=0,"",VLOOKUP($A93,'Pre-Assessment Estimator'!$A$9:$V$100,S$2,FALSE))</f>
        <v/>
      </c>
      <c r="T93" s="747" t="str">
        <f>IF(VLOOKUP($A93,'Pre-Assessment Estimator'!$A$9:$V$100,T$2,FALSE)=0,"",VLOOKUP($A93,'Pre-Assessment Estimator'!$A$9:$V$100,T$2,FALSE))</f>
        <v/>
      </c>
      <c r="U93" s="747" t="str">
        <f>IF(VLOOKUP($A93,'Pre-Assessment Estimator'!$A$9:$V$100,U$2,FALSE)=0,"",VLOOKUP($A93,'Pre-Assessment Estimator'!$A$9:$V$100,U$2,FALSE))</f>
        <v/>
      </c>
      <c r="V93" s="491" t="str">
        <f>IF(VLOOKUP($A93,'Pre-Assessment Estimator'!$A$9:$V$100,V$2,FALSE)=0,"",VLOOKUP($A93,'Pre-Assessment Estimator'!$A$9:$V$100,V$2,FALSE))</f>
        <v/>
      </c>
      <c r="W93" s="880"/>
      <c r="X93" s="747" t="str">
        <f>IF(VLOOKUP($A93,'Pre-Assessment Estimator'!$A$9:$X$100,X$2,FALSE)=0,"",VLOOKUP($A93,'Pre-Assessment Estimator'!$A$9:$X$100,X$2,FALSE))</f>
        <v>N/A</v>
      </c>
      <c r="AB93" s="519">
        <f t="shared" si="1"/>
        <v>1</v>
      </c>
      <c r="AC93" s="103" t="e">
        <f>VLOOKUP(I93,'Assessment Details'!$L$45:$M$48,2,FALSE)</f>
        <v>#N/A</v>
      </c>
      <c r="AD93" s="103" t="e">
        <f>VLOOKUP(N93,'Assessment Details'!$L$45:$M$48,2,FALSE)</f>
        <v>#N/A</v>
      </c>
      <c r="AE93" s="103" t="e">
        <f>VLOOKUP(T93,'Assessment Details'!$L$45:$M$48,2,FALSE)</f>
        <v>#N/A</v>
      </c>
    </row>
    <row r="94" spans="1:31" x14ac:dyDescent="0.25">
      <c r="A94" s="399">
        <v>86</v>
      </c>
      <c r="B94" s="439" t="s">
        <v>234</v>
      </c>
      <c r="C94" s="743" t="str">
        <f>Inn_04</f>
        <v>Inn 04 - Wat 01 Water consumption</v>
      </c>
      <c r="D94" s="744">
        <f>VLOOKUP($A94,'Pre-Assessment Estimator'!$A$9:$V$100,D$2,FALSE)</f>
        <v>1</v>
      </c>
      <c r="E94" s="744">
        <f>VLOOKUP($A94,'Pre-Assessment Estimator'!$A$9:$V$100,E$2,FALSE)</f>
        <v>0</v>
      </c>
      <c r="F94" s="745">
        <f>VLOOKUP($A94,'Pre-Assessment Estimator'!$A$9:$V$100,F$2,FALSE)</f>
        <v>0</v>
      </c>
      <c r="G94" s="746" t="str">
        <f>VLOOKUP($A94,'Pre-Assessment Estimator'!$A$9:$V$100,G$2,FALSE)</f>
        <v>N/A</v>
      </c>
      <c r="H94" s="747" t="str">
        <f>IF(VLOOKUP($A94,'Pre-Assessment Estimator'!$A$9:$V$100,H$2,FALSE)=0,"",VLOOKUP($A94,'Pre-Assessment Estimator'!$A$9:$V$100,H$2,FALSE))</f>
        <v/>
      </c>
      <c r="I94" s="747" t="str">
        <f>IF(VLOOKUP($A94,'Pre-Assessment Estimator'!$A$9:$V$100,I$2,FALSE)=0,"",VLOOKUP($A94,'Pre-Assessment Estimator'!$A$9:$V$100,I$2,FALSE))</f>
        <v/>
      </c>
      <c r="J94" s="748" t="str">
        <f>IF(VLOOKUP($A94,'Pre-Assessment Estimator'!$A$9:$V$100,J$2,FALSE)=0,"",VLOOKUP($A94,'Pre-Assessment Estimator'!$A$9:$V$100,J$2,FALSE))</f>
        <v/>
      </c>
      <c r="K94" s="749"/>
      <c r="L94" s="750" t="str">
        <f>IF(VLOOKUP($A94,'Pre-Assessment Estimator'!$A$9:$V$100,L$2,FALSE)=0,"",VLOOKUP($A94,'Pre-Assessment Estimator'!$A$9:$V$100,L$2,FALSE))</f>
        <v/>
      </c>
      <c r="M94" s="747" t="str">
        <f>IF(VLOOKUP($A94,'Pre-Assessment Estimator'!$A$9:$V$100,M$2,FALSE)=0,"",VLOOKUP($A94,'Pre-Assessment Estimator'!$A$9:$V$100,M$2,FALSE))</f>
        <v/>
      </c>
      <c r="N94" s="747" t="str">
        <f>IF(VLOOKUP($A94,'Pre-Assessment Estimator'!$A$9:$V$100,N$2,FALSE)=0,"",VLOOKUP($A94,'Pre-Assessment Estimator'!$A$9:$V$100,N$2,FALSE))</f>
        <v/>
      </c>
      <c r="O94" s="747" t="str">
        <f>IF(VLOOKUP($A94,'Pre-Assessment Estimator'!$A$9:$V$100,O$2,FALSE)=0,"",VLOOKUP($A94,'Pre-Assessment Estimator'!$A$9:$V$100,O$2,FALSE))</f>
        <v/>
      </c>
      <c r="P94" s="748" t="str">
        <f>IF(VLOOKUP($A94,'Pre-Assessment Estimator'!$A$9:$V$100,P$2,FALSE)=0,"",VLOOKUP($A94,'Pre-Assessment Estimator'!$A$9:$V$100,P$2,FALSE))</f>
        <v/>
      </c>
      <c r="Q94" s="751"/>
      <c r="R94" s="750" t="str">
        <f>IF(VLOOKUP($A94,'Pre-Assessment Estimator'!$A$9:$V$100,R$2,FALSE)=0,"",VLOOKUP($A94,'Pre-Assessment Estimator'!$A$9:$V$100,R$2,FALSE))</f>
        <v/>
      </c>
      <c r="S94" s="747" t="str">
        <f>IF(VLOOKUP($A94,'Pre-Assessment Estimator'!$A$9:$V$100,S$2,FALSE)=0,"",VLOOKUP($A94,'Pre-Assessment Estimator'!$A$9:$V$100,S$2,FALSE))</f>
        <v/>
      </c>
      <c r="T94" s="747" t="str">
        <f>IF(VLOOKUP($A94,'Pre-Assessment Estimator'!$A$9:$V$100,T$2,FALSE)=0,"",VLOOKUP($A94,'Pre-Assessment Estimator'!$A$9:$V$100,T$2,FALSE))</f>
        <v/>
      </c>
      <c r="U94" s="747" t="str">
        <f>IF(VLOOKUP($A94,'Pre-Assessment Estimator'!$A$9:$V$100,U$2,FALSE)=0,"",VLOOKUP($A94,'Pre-Assessment Estimator'!$A$9:$V$100,U$2,FALSE))</f>
        <v/>
      </c>
      <c r="V94" s="491" t="str">
        <f>IF(VLOOKUP($A94,'Pre-Assessment Estimator'!$A$9:$V$100,V$2,FALSE)=0,"",VLOOKUP($A94,'Pre-Assessment Estimator'!$A$9:$V$100,V$2,FALSE))</f>
        <v/>
      </c>
      <c r="W94" s="880"/>
      <c r="X94" s="747" t="str">
        <f>IF(VLOOKUP($A94,'Pre-Assessment Estimator'!$A$9:$X$100,X$2,FALSE)=0,"",VLOOKUP($A94,'Pre-Assessment Estimator'!$A$9:$X$100,X$2,FALSE))</f>
        <v>N/A</v>
      </c>
      <c r="AB94" s="519">
        <f t="shared" si="1"/>
        <v>1</v>
      </c>
      <c r="AC94" s="103" t="e">
        <f>VLOOKUP(I94,'Assessment Details'!$L$45:$M$48,2,FALSE)</f>
        <v>#N/A</v>
      </c>
      <c r="AD94" s="103" t="e">
        <f>VLOOKUP(N94,'Assessment Details'!$L$45:$M$48,2,FALSE)</f>
        <v>#N/A</v>
      </c>
      <c r="AE94" s="103" t="e">
        <f>VLOOKUP(T94,'Assessment Details'!$L$45:$M$48,2,FALSE)</f>
        <v>#N/A</v>
      </c>
    </row>
    <row r="95" spans="1:31" x14ac:dyDescent="0.25">
      <c r="A95" s="399">
        <v>87</v>
      </c>
      <c r="B95" s="439" t="s">
        <v>234</v>
      </c>
      <c r="C95" s="743" t="str">
        <f>Inn_05</f>
        <v>Inn 05 - Mat 01 Life cycle impacts</v>
      </c>
      <c r="D95" s="744">
        <f>VLOOKUP($A95,'Pre-Assessment Estimator'!$A$9:$V$100,D$2,FALSE)</f>
        <v>2</v>
      </c>
      <c r="E95" s="744">
        <f>VLOOKUP($A95,'Pre-Assessment Estimator'!$A$9:$V$100,E$2,FALSE)</f>
        <v>0</v>
      </c>
      <c r="F95" s="745">
        <f>VLOOKUP($A95,'Pre-Assessment Estimator'!$A$9:$V$100,F$2,FALSE)</f>
        <v>0</v>
      </c>
      <c r="G95" s="746" t="str">
        <f>VLOOKUP($A95,'Pre-Assessment Estimator'!$A$9:$V$100,G$2,FALSE)</f>
        <v>N/A</v>
      </c>
      <c r="H95" s="747" t="str">
        <f>IF(VLOOKUP($A95,'Pre-Assessment Estimator'!$A$9:$V$100,H$2,FALSE)=0,"",VLOOKUP($A95,'Pre-Assessment Estimator'!$A$9:$V$100,H$2,FALSE))</f>
        <v/>
      </c>
      <c r="I95" s="747" t="str">
        <f>IF(VLOOKUP($A95,'Pre-Assessment Estimator'!$A$9:$V$100,I$2,FALSE)=0,"",VLOOKUP($A95,'Pre-Assessment Estimator'!$A$9:$V$100,I$2,FALSE))</f>
        <v/>
      </c>
      <c r="J95" s="748" t="str">
        <f>IF(VLOOKUP($A95,'Pre-Assessment Estimator'!$A$9:$V$100,J$2,FALSE)=0,"",VLOOKUP($A95,'Pre-Assessment Estimator'!$A$9:$V$100,J$2,FALSE))</f>
        <v/>
      </c>
      <c r="K95" s="749"/>
      <c r="L95" s="750" t="str">
        <f>IF(VLOOKUP($A95,'Pre-Assessment Estimator'!$A$9:$V$100,L$2,FALSE)=0,"",VLOOKUP($A95,'Pre-Assessment Estimator'!$A$9:$V$100,L$2,FALSE))</f>
        <v/>
      </c>
      <c r="M95" s="747" t="str">
        <f>IF(VLOOKUP($A95,'Pre-Assessment Estimator'!$A$9:$V$100,M$2,FALSE)=0,"",VLOOKUP($A95,'Pre-Assessment Estimator'!$A$9:$V$100,M$2,FALSE))</f>
        <v/>
      </c>
      <c r="N95" s="747" t="str">
        <f>IF(VLOOKUP($A95,'Pre-Assessment Estimator'!$A$9:$V$100,N$2,FALSE)=0,"",VLOOKUP($A95,'Pre-Assessment Estimator'!$A$9:$V$100,N$2,FALSE))</f>
        <v/>
      </c>
      <c r="O95" s="747" t="str">
        <f>IF(VLOOKUP($A95,'Pre-Assessment Estimator'!$A$9:$V$100,O$2,FALSE)=0,"",VLOOKUP($A95,'Pre-Assessment Estimator'!$A$9:$V$100,O$2,FALSE))</f>
        <v/>
      </c>
      <c r="P95" s="748" t="str">
        <f>IF(VLOOKUP($A95,'Pre-Assessment Estimator'!$A$9:$V$100,P$2,FALSE)=0,"",VLOOKUP($A95,'Pre-Assessment Estimator'!$A$9:$V$100,P$2,FALSE))</f>
        <v/>
      </c>
      <c r="Q95" s="751"/>
      <c r="R95" s="750" t="str">
        <f>IF(VLOOKUP($A95,'Pre-Assessment Estimator'!$A$9:$V$100,R$2,FALSE)=0,"",VLOOKUP($A95,'Pre-Assessment Estimator'!$A$9:$V$100,R$2,FALSE))</f>
        <v/>
      </c>
      <c r="S95" s="747" t="str">
        <f>IF(VLOOKUP($A95,'Pre-Assessment Estimator'!$A$9:$V$100,S$2,FALSE)=0,"",VLOOKUP($A95,'Pre-Assessment Estimator'!$A$9:$V$100,S$2,FALSE))</f>
        <v/>
      </c>
      <c r="T95" s="747" t="str">
        <f>IF(VLOOKUP($A95,'Pre-Assessment Estimator'!$A$9:$V$100,T$2,FALSE)=0,"",VLOOKUP($A95,'Pre-Assessment Estimator'!$A$9:$V$100,T$2,FALSE))</f>
        <v/>
      </c>
      <c r="U95" s="747" t="str">
        <f>IF(VLOOKUP($A95,'Pre-Assessment Estimator'!$A$9:$V$100,U$2,FALSE)=0,"",VLOOKUP($A95,'Pre-Assessment Estimator'!$A$9:$V$100,U$2,FALSE))</f>
        <v/>
      </c>
      <c r="V95" s="491" t="str">
        <f>IF(VLOOKUP($A95,'Pre-Assessment Estimator'!$A$9:$V$100,V$2,FALSE)=0,"",VLOOKUP($A95,'Pre-Assessment Estimator'!$A$9:$V$100,V$2,FALSE))</f>
        <v/>
      </c>
      <c r="W95" s="880"/>
      <c r="X95" s="747" t="str">
        <f>IF(VLOOKUP($A95,'Pre-Assessment Estimator'!$A$9:$X$100,X$2,FALSE)=0,"",VLOOKUP($A95,'Pre-Assessment Estimator'!$A$9:$X$100,X$2,FALSE))</f>
        <v>N/A</v>
      </c>
      <c r="AB95" s="519">
        <f t="shared" si="1"/>
        <v>1</v>
      </c>
      <c r="AC95" s="520" t="e">
        <f>VLOOKUP(I95,'Assessment Details'!$L$45:$M$48,2,FALSE)</f>
        <v>#N/A</v>
      </c>
      <c r="AD95" s="520" t="e">
        <f>VLOOKUP(N95,'Assessment Details'!$L$45:$M$48,2,FALSE)</f>
        <v>#N/A</v>
      </c>
      <c r="AE95" s="520" t="e">
        <f>VLOOKUP(T95,'Assessment Details'!$L$45:$M$48,2,FALSE)</f>
        <v>#N/A</v>
      </c>
    </row>
    <row r="96" spans="1:31" ht="30" x14ac:dyDescent="0.25">
      <c r="A96" s="399">
        <v>88</v>
      </c>
      <c r="B96" s="439" t="s">
        <v>234</v>
      </c>
      <c r="C96" s="743" t="str">
        <f>Inn_06</f>
        <v>Inn 06 - Mat 03 Responsible sourcing of materials</v>
      </c>
      <c r="D96" s="744">
        <f>VLOOKUP($A96,'Pre-Assessment Estimator'!$A$9:$V$100,D$2,FALSE)</f>
        <v>1</v>
      </c>
      <c r="E96" s="744">
        <f>VLOOKUP($A96,'Pre-Assessment Estimator'!$A$9:$V$100,E$2,FALSE)</f>
        <v>0</v>
      </c>
      <c r="F96" s="745">
        <f>VLOOKUP($A96,'Pre-Assessment Estimator'!$A$9:$V$100,F$2,FALSE)</f>
        <v>0</v>
      </c>
      <c r="G96" s="746" t="str">
        <f>VLOOKUP($A96,'Pre-Assessment Estimator'!$A$9:$V$100,G$2,FALSE)</f>
        <v>N/A</v>
      </c>
      <c r="H96" s="747" t="str">
        <f>IF(VLOOKUP($A96,'Pre-Assessment Estimator'!$A$9:$V$100,H$2,FALSE)=0,"",VLOOKUP($A96,'Pre-Assessment Estimator'!$A$9:$V$100,H$2,FALSE))</f>
        <v/>
      </c>
      <c r="I96" s="747" t="str">
        <f>IF(VLOOKUP($A96,'Pre-Assessment Estimator'!$A$9:$V$100,I$2,FALSE)=0,"",VLOOKUP($A96,'Pre-Assessment Estimator'!$A$9:$V$100,I$2,FALSE))</f>
        <v/>
      </c>
      <c r="J96" s="748" t="str">
        <f>IF(VLOOKUP($A96,'Pre-Assessment Estimator'!$A$9:$V$100,J$2,FALSE)=0,"",VLOOKUP($A96,'Pre-Assessment Estimator'!$A$9:$V$100,J$2,FALSE))</f>
        <v/>
      </c>
      <c r="K96" s="749"/>
      <c r="L96" s="750" t="str">
        <f>IF(VLOOKUP($A96,'Pre-Assessment Estimator'!$A$9:$V$100,L$2,FALSE)=0,"",VLOOKUP($A96,'Pre-Assessment Estimator'!$A$9:$V$100,L$2,FALSE))</f>
        <v/>
      </c>
      <c r="M96" s="747" t="str">
        <f>IF(VLOOKUP($A96,'Pre-Assessment Estimator'!$A$9:$V$100,M$2,FALSE)=0,"",VLOOKUP($A96,'Pre-Assessment Estimator'!$A$9:$V$100,M$2,FALSE))</f>
        <v/>
      </c>
      <c r="N96" s="747" t="str">
        <f>IF(VLOOKUP($A96,'Pre-Assessment Estimator'!$A$9:$V$100,N$2,FALSE)=0,"",VLOOKUP($A96,'Pre-Assessment Estimator'!$A$9:$V$100,N$2,FALSE))</f>
        <v/>
      </c>
      <c r="O96" s="747" t="str">
        <f>IF(VLOOKUP($A96,'Pre-Assessment Estimator'!$A$9:$V$100,O$2,FALSE)=0,"",VLOOKUP($A96,'Pre-Assessment Estimator'!$A$9:$V$100,O$2,FALSE))</f>
        <v/>
      </c>
      <c r="P96" s="748" t="str">
        <f>IF(VLOOKUP($A96,'Pre-Assessment Estimator'!$A$9:$V$100,P$2,FALSE)=0,"",VLOOKUP($A96,'Pre-Assessment Estimator'!$A$9:$V$100,P$2,FALSE))</f>
        <v/>
      </c>
      <c r="Q96" s="751"/>
      <c r="R96" s="750" t="str">
        <f>IF(VLOOKUP($A96,'Pre-Assessment Estimator'!$A$9:$V$100,R$2,FALSE)=0,"",VLOOKUP($A96,'Pre-Assessment Estimator'!$A$9:$V$100,R$2,FALSE))</f>
        <v/>
      </c>
      <c r="S96" s="747" t="str">
        <f>IF(VLOOKUP($A96,'Pre-Assessment Estimator'!$A$9:$V$100,S$2,FALSE)=0,"",VLOOKUP($A96,'Pre-Assessment Estimator'!$A$9:$V$100,S$2,FALSE))</f>
        <v/>
      </c>
      <c r="T96" s="747" t="str">
        <f>IF(VLOOKUP($A96,'Pre-Assessment Estimator'!$A$9:$V$100,T$2,FALSE)=0,"",VLOOKUP($A96,'Pre-Assessment Estimator'!$A$9:$V$100,T$2,FALSE))</f>
        <v/>
      </c>
      <c r="U96" s="747" t="str">
        <f>IF(VLOOKUP($A96,'Pre-Assessment Estimator'!$A$9:$V$100,U$2,FALSE)=0,"",VLOOKUP($A96,'Pre-Assessment Estimator'!$A$9:$V$100,U$2,FALSE))</f>
        <v/>
      </c>
      <c r="V96" s="491" t="str">
        <f>IF(VLOOKUP($A96,'Pre-Assessment Estimator'!$A$9:$V$100,V$2,FALSE)=0,"",VLOOKUP($A96,'Pre-Assessment Estimator'!$A$9:$V$100,V$2,FALSE))</f>
        <v/>
      </c>
      <c r="W96" s="880"/>
      <c r="X96" s="747" t="str">
        <f>IF(VLOOKUP($A96,'Pre-Assessment Estimator'!$A$9:$X$100,X$2,FALSE)=0,"",VLOOKUP($A96,'Pre-Assessment Estimator'!$A$9:$X$100,X$2,FALSE))</f>
        <v>N/A</v>
      </c>
      <c r="AB96" s="519">
        <f t="shared" si="1"/>
        <v>1</v>
      </c>
      <c r="AC96" s="103" t="e">
        <f>VLOOKUP(I96,'Assessment Details'!$L$45:$M$48,2,FALSE)</f>
        <v>#N/A</v>
      </c>
      <c r="AD96" s="103" t="e">
        <f>VLOOKUP(N96,'Assessment Details'!$L$45:$M$48,2,FALSE)</f>
        <v>#N/A</v>
      </c>
      <c r="AE96" s="103" t="e">
        <f>VLOOKUP(T96,'Assessment Details'!$L$45:$M$48,2,FALSE)</f>
        <v>#N/A</v>
      </c>
    </row>
    <row r="97" spans="1:43" x14ac:dyDescent="0.25">
      <c r="A97" s="399">
        <v>89</v>
      </c>
      <c r="B97" s="439" t="s">
        <v>234</v>
      </c>
      <c r="C97" s="743" t="str">
        <f>Inn_07</f>
        <v>Inn 07 - Wst 01 Construction site waste man.</v>
      </c>
      <c r="D97" s="744">
        <f>VLOOKUP($A97,'Pre-Assessment Estimator'!$A$9:$V$100,D$2,FALSE)</f>
        <v>1</v>
      </c>
      <c r="E97" s="744">
        <f>VLOOKUP($A97,'Pre-Assessment Estimator'!$A$9:$V$100,E$2,FALSE)</f>
        <v>0</v>
      </c>
      <c r="F97" s="745">
        <f>VLOOKUP($A97,'Pre-Assessment Estimator'!$A$9:$V$100,F$2,FALSE)</f>
        <v>0</v>
      </c>
      <c r="G97" s="746" t="str">
        <f>VLOOKUP($A97,'Pre-Assessment Estimator'!$A$9:$V$100,G$2,FALSE)</f>
        <v>N/A</v>
      </c>
      <c r="H97" s="747" t="str">
        <f>IF(VLOOKUP($A97,'Pre-Assessment Estimator'!$A$9:$V$100,H$2,FALSE)=0,"",VLOOKUP($A97,'Pre-Assessment Estimator'!$A$9:$V$100,H$2,FALSE))</f>
        <v/>
      </c>
      <c r="I97" s="747" t="str">
        <f>IF(VLOOKUP($A97,'Pre-Assessment Estimator'!$A$9:$V$100,I$2,FALSE)=0,"",VLOOKUP($A97,'Pre-Assessment Estimator'!$A$9:$V$100,I$2,FALSE))</f>
        <v/>
      </c>
      <c r="J97" s="748" t="str">
        <f>IF(VLOOKUP($A97,'Pre-Assessment Estimator'!$A$9:$V$100,J$2,FALSE)=0,"",VLOOKUP($A97,'Pre-Assessment Estimator'!$A$9:$V$100,J$2,FALSE))</f>
        <v/>
      </c>
      <c r="K97" s="749"/>
      <c r="L97" s="750" t="str">
        <f>IF(VLOOKUP($A97,'Pre-Assessment Estimator'!$A$9:$V$100,L$2,FALSE)=0,"",VLOOKUP($A97,'Pre-Assessment Estimator'!$A$9:$V$100,L$2,FALSE))</f>
        <v/>
      </c>
      <c r="M97" s="747" t="str">
        <f>IF(VLOOKUP($A97,'Pre-Assessment Estimator'!$A$9:$V$100,M$2,FALSE)=0,"",VLOOKUP($A97,'Pre-Assessment Estimator'!$A$9:$V$100,M$2,FALSE))</f>
        <v/>
      </c>
      <c r="N97" s="747" t="str">
        <f>IF(VLOOKUP($A97,'Pre-Assessment Estimator'!$A$9:$V$100,N$2,FALSE)=0,"",VLOOKUP($A97,'Pre-Assessment Estimator'!$A$9:$V$100,N$2,FALSE))</f>
        <v/>
      </c>
      <c r="O97" s="747" t="str">
        <f>IF(VLOOKUP($A97,'Pre-Assessment Estimator'!$A$9:$V$100,O$2,FALSE)=0,"",VLOOKUP($A97,'Pre-Assessment Estimator'!$A$9:$V$100,O$2,FALSE))</f>
        <v/>
      </c>
      <c r="P97" s="748" t="str">
        <f>IF(VLOOKUP($A97,'Pre-Assessment Estimator'!$A$9:$V$100,P$2,FALSE)=0,"",VLOOKUP($A97,'Pre-Assessment Estimator'!$A$9:$V$100,P$2,FALSE))</f>
        <v/>
      </c>
      <c r="Q97" s="751"/>
      <c r="R97" s="750" t="str">
        <f>IF(VLOOKUP($A97,'Pre-Assessment Estimator'!$A$9:$V$100,R$2,FALSE)=0,"",VLOOKUP($A97,'Pre-Assessment Estimator'!$A$9:$V$100,R$2,FALSE))</f>
        <v/>
      </c>
      <c r="S97" s="747" t="str">
        <f>IF(VLOOKUP($A97,'Pre-Assessment Estimator'!$A$9:$V$100,S$2,FALSE)=0,"",VLOOKUP($A97,'Pre-Assessment Estimator'!$A$9:$V$100,S$2,FALSE))</f>
        <v/>
      </c>
      <c r="T97" s="747" t="str">
        <f>IF(VLOOKUP($A97,'Pre-Assessment Estimator'!$A$9:$V$100,T$2,FALSE)=0,"",VLOOKUP($A97,'Pre-Assessment Estimator'!$A$9:$V$100,T$2,FALSE))</f>
        <v/>
      </c>
      <c r="U97" s="747" t="str">
        <f>IF(VLOOKUP($A97,'Pre-Assessment Estimator'!$A$9:$V$100,U$2,FALSE)=0,"",VLOOKUP($A97,'Pre-Assessment Estimator'!$A$9:$V$100,U$2,FALSE))</f>
        <v/>
      </c>
      <c r="V97" s="491" t="str">
        <f>IF(VLOOKUP($A97,'Pre-Assessment Estimator'!$A$9:$V$100,V$2,FALSE)=0,"",VLOOKUP($A97,'Pre-Assessment Estimator'!$A$9:$V$100,V$2,FALSE))</f>
        <v/>
      </c>
      <c r="W97" s="880"/>
      <c r="X97" s="747" t="str">
        <f>IF(VLOOKUP($A97,'Pre-Assessment Estimator'!$A$9:$X$100,X$2,FALSE)=0,"",VLOOKUP($A97,'Pre-Assessment Estimator'!$A$9:$X$100,X$2,FALSE))</f>
        <v>N/A</v>
      </c>
      <c r="AB97" s="519">
        <f t="shared" si="1"/>
        <v>1</v>
      </c>
      <c r="AC97" s="520" t="e">
        <f>VLOOKUP(I97,'Assessment Details'!$L$45:$M$48,2,FALSE)</f>
        <v>#N/A</v>
      </c>
      <c r="AD97" s="520" t="e">
        <f>VLOOKUP(N97,'Assessment Details'!$L$45:$M$48,2,FALSE)</f>
        <v>#N/A</v>
      </c>
      <c r="AE97" s="520" t="e">
        <f>VLOOKUP(T97,'Assessment Details'!$L$45:$M$48,2,FALSE)</f>
        <v>#N/A</v>
      </c>
    </row>
    <row r="98" spans="1:43" x14ac:dyDescent="0.25">
      <c r="A98" s="399">
        <v>90</v>
      </c>
      <c r="B98" s="439" t="s">
        <v>234</v>
      </c>
      <c r="C98" s="743" t="str">
        <f>Inn_08</f>
        <v>Inn 08 - Wst 02 Recycled aggregates</v>
      </c>
      <c r="D98" s="744">
        <f>VLOOKUP($A98,'Pre-Assessment Estimator'!$A$9:$V$100,D$2,FALSE)</f>
        <v>1</v>
      </c>
      <c r="E98" s="744">
        <f>VLOOKUP($A98,'Pre-Assessment Estimator'!$A$9:$V$100,E$2,FALSE)</f>
        <v>0</v>
      </c>
      <c r="F98" s="745">
        <f>VLOOKUP($A98,'Pre-Assessment Estimator'!$A$9:$V$100,F$2,FALSE)</f>
        <v>0</v>
      </c>
      <c r="G98" s="746" t="str">
        <f>VLOOKUP($A98,'Pre-Assessment Estimator'!$A$9:$V$100,G$2,FALSE)</f>
        <v>N/A</v>
      </c>
      <c r="H98" s="747" t="str">
        <f>IF(VLOOKUP($A98,'Pre-Assessment Estimator'!$A$9:$V$100,H$2,FALSE)=0,"",VLOOKUP($A98,'Pre-Assessment Estimator'!$A$9:$V$100,H$2,FALSE))</f>
        <v/>
      </c>
      <c r="I98" s="747" t="str">
        <f>IF(VLOOKUP($A98,'Pre-Assessment Estimator'!$A$9:$V$100,I$2,FALSE)=0,"",VLOOKUP($A98,'Pre-Assessment Estimator'!$A$9:$V$100,I$2,FALSE))</f>
        <v/>
      </c>
      <c r="J98" s="748" t="str">
        <f>IF(VLOOKUP($A98,'Pre-Assessment Estimator'!$A$9:$V$100,J$2,FALSE)=0,"",VLOOKUP($A98,'Pre-Assessment Estimator'!$A$9:$V$100,J$2,FALSE))</f>
        <v/>
      </c>
      <c r="K98" s="749"/>
      <c r="L98" s="750" t="str">
        <f>IF(VLOOKUP($A98,'Pre-Assessment Estimator'!$A$9:$V$100,L$2,FALSE)=0,"",VLOOKUP($A98,'Pre-Assessment Estimator'!$A$9:$V$100,L$2,FALSE))</f>
        <v/>
      </c>
      <c r="M98" s="747" t="str">
        <f>IF(VLOOKUP($A98,'Pre-Assessment Estimator'!$A$9:$V$100,M$2,FALSE)=0,"",VLOOKUP($A98,'Pre-Assessment Estimator'!$A$9:$V$100,M$2,FALSE))</f>
        <v/>
      </c>
      <c r="N98" s="747" t="str">
        <f>IF(VLOOKUP($A98,'Pre-Assessment Estimator'!$A$9:$V$100,N$2,FALSE)=0,"",VLOOKUP($A98,'Pre-Assessment Estimator'!$A$9:$V$100,N$2,FALSE))</f>
        <v/>
      </c>
      <c r="O98" s="747" t="str">
        <f>IF(VLOOKUP($A98,'Pre-Assessment Estimator'!$A$9:$V$100,O$2,FALSE)=0,"",VLOOKUP($A98,'Pre-Assessment Estimator'!$A$9:$V$100,O$2,FALSE))</f>
        <v/>
      </c>
      <c r="P98" s="748" t="str">
        <f>IF(VLOOKUP($A98,'Pre-Assessment Estimator'!$A$9:$V$100,P$2,FALSE)=0,"",VLOOKUP($A98,'Pre-Assessment Estimator'!$A$9:$V$100,P$2,FALSE))</f>
        <v/>
      </c>
      <c r="Q98" s="751"/>
      <c r="R98" s="750" t="str">
        <f>IF(VLOOKUP($A98,'Pre-Assessment Estimator'!$A$9:$V$100,R$2,FALSE)=0,"",VLOOKUP($A98,'Pre-Assessment Estimator'!$A$9:$V$100,R$2,FALSE))</f>
        <v/>
      </c>
      <c r="S98" s="747" t="str">
        <f>IF(VLOOKUP($A98,'Pre-Assessment Estimator'!$A$9:$V$100,S$2,FALSE)=0,"",VLOOKUP($A98,'Pre-Assessment Estimator'!$A$9:$V$100,S$2,FALSE))</f>
        <v/>
      </c>
      <c r="T98" s="747" t="str">
        <f>IF(VLOOKUP($A98,'Pre-Assessment Estimator'!$A$9:$V$100,T$2,FALSE)=0,"",VLOOKUP($A98,'Pre-Assessment Estimator'!$A$9:$V$100,T$2,FALSE))</f>
        <v/>
      </c>
      <c r="U98" s="747" t="str">
        <f>IF(VLOOKUP($A98,'Pre-Assessment Estimator'!$A$9:$V$100,U$2,FALSE)=0,"",VLOOKUP($A98,'Pre-Assessment Estimator'!$A$9:$V$100,U$2,FALSE))</f>
        <v/>
      </c>
      <c r="V98" s="491" t="str">
        <f>IF(VLOOKUP($A98,'Pre-Assessment Estimator'!$A$9:$V$100,V$2,FALSE)=0,"",VLOOKUP($A98,'Pre-Assessment Estimator'!$A$9:$V$100,V$2,FALSE))</f>
        <v/>
      </c>
      <c r="W98" s="880"/>
      <c r="X98" s="747" t="str">
        <f>IF(VLOOKUP($A98,'Pre-Assessment Estimator'!$A$9:$X$100,X$2,FALSE)=0,"",VLOOKUP($A98,'Pre-Assessment Estimator'!$A$9:$X$100,X$2,FALSE))</f>
        <v>N/A</v>
      </c>
      <c r="AB98" s="519">
        <f t="shared" si="1"/>
        <v>1</v>
      </c>
      <c r="AC98" s="520" t="e">
        <f>VLOOKUP(I98,'Assessment Details'!$L$45:$M$48,2,FALSE)</f>
        <v>#N/A</v>
      </c>
      <c r="AD98" s="520" t="e">
        <f>VLOOKUP(N98,'Assessment Details'!$L$45:$M$48,2,FALSE)</f>
        <v>#N/A</v>
      </c>
      <c r="AE98" s="520" t="e">
        <f>VLOOKUP(T98,'Assessment Details'!$L$45:$M$48,2,FALSE)</f>
        <v>#N/A</v>
      </c>
    </row>
    <row r="99" spans="1:43" x14ac:dyDescent="0.25">
      <c r="A99" s="399">
        <v>91</v>
      </c>
      <c r="B99" s="439" t="s">
        <v>234</v>
      </c>
      <c r="C99" s="743" t="str">
        <f>Inn_09</f>
        <v xml:space="preserve">Inn 09 - Approved innovation credits </v>
      </c>
      <c r="D99" s="744">
        <f>VLOOKUP($A99,'Pre-Assessment Estimator'!$A$9:$V$100,D$2,FALSE)</f>
        <v>10</v>
      </c>
      <c r="E99" s="744">
        <f>VLOOKUP($A99,'Pre-Assessment Estimator'!$A$9:$V$100,E$2,FALSE)</f>
        <v>0</v>
      </c>
      <c r="F99" s="745">
        <f>VLOOKUP($A99,'Pre-Assessment Estimator'!$A$9:$V$100,F$2,FALSE)</f>
        <v>0</v>
      </c>
      <c r="G99" s="746" t="str">
        <f>VLOOKUP($A99,'Pre-Assessment Estimator'!$A$9:$V$100,G$2,FALSE)</f>
        <v>N/A</v>
      </c>
      <c r="H99" s="747" t="str">
        <f>IF(VLOOKUP($A99,'Pre-Assessment Estimator'!$A$9:$V$100,H$2,FALSE)=0,"",VLOOKUP($A99,'Pre-Assessment Estimator'!$A$9:$V$100,H$2,FALSE))</f>
        <v/>
      </c>
      <c r="I99" s="747" t="str">
        <f>IF(VLOOKUP($A99,'Pre-Assessment Estimator'!$A$9:$V$100,I$2,FALSE)=0,"",VLOOKUP($A99,'Pre-Assessment Estimator'!$A$9:$V$100,I$2,FALSE))</f>
        <v/>
      </c>
      <c r="J99" s="748" t="str">
        <f>IF(VLOOKUP($A99,'Pre-Assessment Estimator'!$A$9:$V$100,J$2,FALSE)=0,"",VLOOKUP($A99,'Pre-Assessment Estimator'!$A$9:$V$100,J$2,FALSE))</f>
        <v/>
      </c>
      <c r="K99" s="749"/>
      <c r="L99" s="750" t="str">
        <f>IF(VLOOKUP($A99,'Pre-Assessment Estimator'!$A$9:$V$100,L$2,FALSE)=0,"",VLOOKUP($A99,'Pre-Assessment Estimator'!$A$9:$V$100,L$2,FALSE))</f>
        <v/>
      </c>
      <c r="M99" s="747" t="str">
        <f>IF(VLOOKUP($A99,'Pre-Assessment Estimator'!$A$9:$V$100,M$2,FALSE)=0,"",VLOOKUP($A99,'Pre-Assessment Estimator'!$A$9:$V$100,M$2,FALSE))</f>
        <v/>
      </c>
      <c r="N99" s="747" t="str">
        <f>IF(VLOOKUP($A99,'Pre-Assessment Estimator'!$A$9:$V$100,N$2,FALSE)=0,"",VLOOKUP($A99,'Pre-Assessment Estimator'!$A$9:$V$100,N$2,FALSE))</f>
        <v/>
      </c>
      <c r="O99" s="747" t="str">
        <f>IF(VLOOKUP($A99,'Pre-Assessment Estimator'!$A$9:$V$100,O$2,FALSE)=0,"",VLOOKUP($A99,'Pre-Assessment Estimator'!$A$9:$V$100,O$2,FALSE))</f>
        <v/>
      </c>
      <c r="P99" s="748" t="str">
        <f>IF(VLOOKUP($A99,'Pre-Assessment Estimator'!$A$9:$V$100,P$2,FALSE)=0,"",VLOOKUP($A99,'Pre-Assessment Estimator'!$A$9:$V$100,P$2,FALSE))</f>
        <v/>
      </c>
      <c r="Q99" s="751"/>
      <c r="R99" s="750" t="str">
        <f>IF(VLOOKUP($A99,'Pre-Assessment Estimator'!$A$9:$V$100,R$2,FALSE)=0,"",VLOOKUP($A99,'Pre-Assessment Estimator'!$A$9:$V$100,R$2,FALSE))</f>
        <v/>
      </c>
      <c r="S99" s="747" t="str">
        <f>IF(VLOOKUP($A99,'Pre-Assessment Estimator'!$A$9:$V$100,S$2,FALSE)=0,"",VLOOKUP($A99,'Pre-Assessment Estimator'!$A$9:$V$100,S$2,FALSE))</f>
        <v/>
      </c>
      <c r="T99" s="747" t="str">
        <f>IF(VLOOKUP($A99,'Pre-Assessment Estimator'!$A$9:$V$100,T$2,FALSE)=0,"",VLOOKUP($A99,'Pre-Assessment Estimator'!$A$9:$V$100,T$2,FALSE))</f>
        <v/>
      </c>
      <c r="U99" s="747" t="str">
        <f>IF(VLOOKUP($A99,'Pre-Assessment Estimator'!$A$9:$V$100,U$2,FALSE)=0,"",VLOOKUP($A99,'Pre-Assessment Estimator'!$A$9:$V$100,U$2,FALSE))</f>
        <v/>
      </c>
      <c r="V99" s="491" t="str">
        <f>IF(VLOOKUP($A99,'Pre-Assessment Estimator'!$A$9:$V$100,V$2,FALSE)=0,"",VLOOKUP($A99,'Pre-Assessment Estimator'!$A$9:$V$100,V$2,FALSE))</f>
        <v/>
      </c>
      <c r="W99" s="880"/>
      <c r="X99" s="747" t="str">
        <f>IF(VLOOKUP($A99,'Pre-Assessment Estimator'!$A$9:$X$100,X$2,FALSE)=0,"",VLOOKUP($A99,'Pre-Assessment Estimator'!$A$9:$X$100,X$2,FALSE))</f>
        <v>N/A</v>
      </c>
      <c r="AB99" s="519">
        <f t="shared" si="1"/>
        <v>1</v>
      </c>
      <c r="AC99" s="520" t="e">
        <f>VLOOKUP(I99,'Assessment Details'!$L$45:$M$48,2,FALSE)</f>
        <v>#N/A</v>
      </c>
      <c r="AD99" s="520" t="e">
        <f>VLOOKUP(N99,'Assessment Details'!$L$45:$M$48,2,FALSE)</f>
        <v>#N/A</v>
      </c>
      <c r="AE99" s="520" t="e">
        <f>VLOOKUP(T99,'Assessment Details'!$L$45:$M$48,2,FALSE)</f>
        <v>#N/A</v>
      </c>
    </row>
    <row r="100" spans="1:43" ht="30.75" thickBot="1" x14ac:dyDescent="0.3">
      <c r="A100" s="399">
        <v>92</v>
      </c>
      <c r="B100" s="439" t="s">
        <v>234</v>
      </c>
      <c r="C100" s="753" t="s">
        <v>88</v>
      </c>
      <c r="D100" s="754">
        <f>VLOOKUP($A100,'Pre-Assessment Estimator'!$A$9:$V$100,D$2,FALSE)</f>
        <v>10</v>
      </c>
      <c r="E100" s="754">
        <f>IF(SUM(E91:E99)&gt;10,10,SUM(E91:E99))</f>
        <v>0</v>
      </c>
      <c r="F100" s="755">
        <f>VLOOKUP($A100,'Pre-Assessment Estimator'!$A$9:$V$100,F$2,FALSE)</f>
        <v>0</v>
      </c>
      <c r="G100" s="747"/>
      <c r="H100" s="747" t="str">
        <f>IF(VLOOKUP($A100,'Pre-Assessment Estimator'!$A$9:$V$100,H$2,FALSE)=0,"",VLOOKUP($A100,'Pre-Assessment Estimator'!$A$9:$V$100,H$2,FALSE))</f>
        <v/>
      </c>
      <c r="I100" s="744" t="str">
        <f>IF(VLOOKUP($A100,'Pre-Assessment Estimator'!$A$9:$V$100,I$2,FALSE)=0,"",VLOOKUP($A100,'Pre-Assessment Estimator'!$A$9:$V$100,I$2,FALSE))</f>
        <v/>
      </c>
      <c r="J100" s="748" t="str">
        <f>IF(VLOOKUP($A100,'Pre-Assessment Estimator'!$A$9:$V$100,J$2,FALSE)=0,"",VLOOKUP($A100,'Pre-Assessment Estimator'!$A$9:$V$100,J$2,FALSE))</f>
        <v/>
      </c>
      <c r="K100" s="761"/>
      <c r="L100" s="756" t="str">
        <f>IF(VLOOKUP($A100,'Pre-Assessment Estimator'!$A$9:$V$100,L$2,FALSE)=0,"",VLOOKUP($A100,'Pre-Assessment Estimator'!$A$9:$V$100,L$2,FALSE))</f>
        <v/>
      </c>
      <c r="M100" s="747" t="str">
        <f>IF(VLOOKUP($A100,'Pre-Assessment Estimator'!$A$9:$V$100,M$2,FALSE)=0,"",VLOOKUP($A100,'Pre-Assessment Estimator'!$A$9:$V$100,M$2,FALSE))</f>
        <v/>
      </c>
      <c r="N100" s="744" t="str">
        <f>IF(VLOOKUP($A100,'Pre-Assessment Estimator'!$A$9:$V$100,N$2,FALSE)=0,"",VLOOKUP($A100,'Pre-Assessment Estimator'!$A$9:$V$100,N$2,FALSE))</f>
        <v/>
      </c>
      <c r="O100" s="747" t="str">
        <f>IF(VLOOKUP($A100,'Pre-Assessment Estimator'!$A$9:$V$100,O$2,FALSE)=0,"",VLOOKUP($A100,'Pre-Assessment Estimator'!$A$9:$V$100,O$2,FALSE))</f>
        <v/>
      </c>
      <c r="P100" s="748" t="str">
        <f>IF(VLOOKUP($A100,'Pre-Assessment Estimator'!$A$9:$V$100,P$2,FALSE)=0,"",VLOOKUP($A100,'Pre-Assessment Estimator'!$A$9:$V$100,P$2,FALSE))</f>
        <v/>
      </c>
      <c r="Q100" s="762"/>
      <c r="R100" s="756" t="str">
        <f>IF(VLOOKUP($A100,'Pre-Assessment Estimator'!$A$9:$V$100,R$2,FALSE)=0,"",VLOOKUP($A100,'Pre-Assessment Estimator'!$A$9:$V$100,R$2,FALSE))</f>
        <v/>
      </c>
      <c r="S100" s="747" t="str">
        <f>IF(VLOOKUP($A100,'Pre-Assessment Estimator'!$A$9:$V$100,S$2,FALSE)=0,"",VLOOKUP($A100,'Pre-Assessment Estimator'!$A$9:$V$100,S$2,FALSE))</f>
        <v/>
      </c>
      <c r="T100" s="744" t="str">
        <f>IF(VLOOKUP($A100,'Pre-Assessment Estimator'!$A$9:$V$100,T$2,FALSE)=0,"",VLOOKUP($A100,'Pre-Assessment Estimator'!$A$9:$V$100,T$2,FALSE))</f>
        <v/>
      </c>
      <c r="U100" s="747" t="str">
        <f>IF(VLOOKUP($A100,'Pre-Assessment Estimator'!$A$9:$V$100,U$2,FALSE)=0,"",VLOOKUP($A100,'Pre-Assessment Estimator'!$A$9:$V$100,U$2,FALSE))</f>
        <v/>
      </c>
      <c r="V100" s="491" t="str">
        <f>IF(VLOOKUP($A100,'Pre-Assessment Estimator'!$A$9:$V$100,V$2,FALSE)=0,"",VLOOKUP($A100,'Pre-Assessment Estimator'!$A$9:$V$100,V$2,FALSE))</f>
        <v/>
      </c>
      <c r="W100" s="880"/>
      <c r="X100" s="747" t="str">
        <f>IF(VLOOKUP($A100,'Pre-Assessment Estimator'!$A$9:$X$100,X$2,FALSE)=0,"",VLOOKUP($A100,'Pre-Assessment Estimator'!$A$9:$X$100,X$2,FALSE))</f>
        <v/>
      </c>
      <c r="AB100" s="519">
        <f t="shared" si="1"/>
        <v>1</v>
      </c>
      <c r="AC100" s="333">
        <v>0</v>
      </c>
      <c r="AD100" s="333">
        <v>0</v>
      </c>
      <c r="AE100" s="333">
        <v>0</v>
      </c>
    </row>
    <row r="101" spans="1:43" x14ac:dyDescent="0.25">
      <c r="A101" s="548"/>
      <c r="B101" s="439" t="s">
        <v>234</v>
      </c>
      <c r="C101" s="337"/>
      <c r="D101" s="336"/>
      <c r="E101" s="336"/>
      <c r="F101" s="336"/>
      <c r="G101" s="336"/>
      <c r="H101" s="337"/>
      <c r="I101" s="336"/>
      <c r="J101" s="336"/>
      <c r="K101" s="763"/>
      <c r="L101" s="336"/>
      <c r="M101" s="337"/>
      <c r="N101" s="336"/>
      <c r="O101" s="336"/>
      <c r="P101" s="336"/>
      <c r="Q101" s="764"/>
      <c r="R101" s="336"/>
      <c r="S101" s="337"/>
      <c r="T101" s="336"/>
      <c r="U101" s="336"/>
      <c r="V101" s="103"/>
      <c r="W101" s="882"/>
      <c r="X101" s="522"/>
      <c r="Y101" s="522"/>
      <c r="Z101" s="522"/>
      <c r="AA101" s="522"/>
      <c r="AC101" s="335"/>
      <c r="AD101" s="335"/>
      <c r="AE101" s="335"/>
    </row>
    <row r="102" spans="1:43" x14ac:dyDescent="0.25">
      <c r="A102" s="548"/>
      <c r="B102" s="549"/>
      <c r="C102" s="765"/>
      <c r="D102" s="8"/>
      <c r="E102" s="8"/>
      <c r="F102" s="8"/>
      <c r="G102" s="8"/>
      <c r="H102" s="8"/>
      <c r="I102" s="8"/>
      <c r="J102" s="8"/>
      <c r="K102" s="325"/>
      <c r="L102" s="8"/>
      <c r="M102" s="8"/>
      <c r="N102" s="8"/>
      <c r="O102" s="8"/>
      <c r="P102" s="324"/>
      <c r="Q102" s="325"/>
      <c r="R102" s="8"/>
      <c r="S102" s="8"/>
      <c r="T102" s="8"/>
      <c r="U102" s="8"/>
      <c r="V102" s="27"/>
      <c r="W102" s="27"/>
    </row>
    <row r="103" spans="1:43" x14ac:dyDescent="0.25">
      <c r="A103" s="549"/>
      <c r="B103" s="549"/>
      <c r="C103" s="348"/>
      <c r="D103" s="519"/>
      <c r="P103" s="519"/>
      <c r="V103" s="519"/>
      <c r="W103" s="519"/>
    </row>
    <row r="104" spans="1:43" x14ac:dyDescent="0.25">
      <c r="A104" s="521"/>
      <c r="B104" s="521"/>
      <c r="C104" s="32"/>
      <c r="D104" s="27"/>
      <c r="P104" s="27"/>
      <c r="V104" s="27"/>
      <c r="W104" s="27"/>
    </row>
    <row r="105" spans="1:43" x14ac:dyDescent="0.25">
      <c r="A105" s="521"/>
      <c r="B105" s="521"/>
      <c r="C105" s="33"/>
      <c r="D105" s="519"/>
      <c r="P105" s="519"/>
      <c r="V105" s="519"/>
      <c r="W105" s="519"/>
    </row>
    <row r="106" spans="1:43" x14ac:dyDescent="0.25">
      <c r="A106" s="521"/>
      <c r="B106" s="521"/>
      <c r="C106" s="32"/>
      <c r="D106" s="27"/>
      <c r="P106" s="27"/>
      <c r="V106" s="27"/>
      <c r="W106" s="27"/>
      <c r="AC106" s="547"/>
      <c r="AD106" s="547"/>
      <c r="AE106" s="547"/>
      <c r="AF106" s="547"/>
      <c r="AG106" s="547"/>
      <c r="AH106" s="547"/>
      <c r="AI106" s="547"/>
      <c r="AJ106" s="547"/>
      <c r="AK106" s="547"/>
      <c r="AL106" s="547"/>
      <c r="AM106" s="547"/>
      <c r="AN106" s="547"/>
      <c r="AO106" s="547"/>
      <c r="AP106" s="547"/>
      <c r="AQ106" s="547"/>
    </row>
    <row r="259" spans="3:31" s="519" customFormat="1" ht="15.75" x14ac:dyDescent="0.25">
      <c r="C259" s="550"/>
      <c r="D259" s="550"/>
      <c r="E259" s="550"/>
      <c r="F259" s="550"/>
      <c r="G259" s="550"/>
      <c r="H259" s="550"/>
      <c r="I259" s="550"/>
      <c r="J259" s="551"/>
      <c r="L259" s="550"/>
      <c r="M259" s="550"/>
      <c r="N259" s="550"/>
      <c r="O259" s="550"/>
      <c r="P259" s="550"/>
      <c r="R259" s="550"/>
      <c r="S259" s="550"/>
      <c r="T259" s="550"/>
      <c r="U259" s="550"/>
      <c r="V259" s="550"/>
      <c r="W259" s="550"/>
      <c r="AC259" s="520"/>
      <c r="AD259" s="520"/>
      <c r="AE259" s="520"/>
    </row>
  </sheetData>
  <sheetProtection algorithmName="SHA-512" hashValue="bsOebrgGn03db2TT/xccEeguQT97m721j2FJR3JWf1XoBFv9qdb261oiekZwLgUlCxKG+OOxUj6tk0VJx3Xjzw==" saltValue="Tga3eMivl7+9lYL5L9plww==" spinCount="100000" sheet="1" objects="1" scenarios="1" formatRows="0" sort="0" autoFilter="0"/>
  <conditionalFormatting sqref="H31:I40 H44:I47 H53:I56 H60:I64 H68:I71 H75:I79 H83:I87 H91:I99 H49:I49 H18:I27 H10:I16">
    <cfRule type="expression" dxfId="384" priority="574">
      <formula>$AC10=4</formula>
    </cfRule>
    <cfRule type="expression" dxfId="383" priority="575">
      <formula>$AC10=3</formula>
    </cfRule>
    <cfRule type="expression" dxfId="382" priority="576">
      <formula>$AC10=2</formula>
    </cfRule>
    <cfRule type="expression" dxfId="381" priority="577">
      <formula>$AC10=1</formula>
    </cfRule>
  </conditionalFormatting>
  <conditionalFormatting sqref="M31:N40 M44:N47 M53:N56 M60:N64 M68:N71 M75:N79 M83:N87 M10:N16 M91:N99 M49:N49 M18:N27">
    <cfRule type="expression" dxfId="380" priority="570">
      <formula>$AD10=4</formula>
    </cfRule>
    <cfRule type="expression" dxfId="379" priority="571">
      <formula>$AD10=3</formula>
    </cfRule>
    <cfRule type="expression" dxfId="378" priority="572">
      <formula>$AD10=2</formula>
    </cfRule>
    <cfRule type="expression" dxfId="377" priority="573">
      <formula>$AD10=1</formula>
    </cfRule>
  </conditionalFormatting>
  <conditionalFormatting sqref="S31:T40 S44:T47 S53:T56 S60:T64 S68:T71 S75:T79 S83:T87 S10:T16 S91:T99 S49:T49 S18:T27">
    <cfRule type="expression" dxfId="376" priority="566">
      <formula>$AE10=4</formula>
    </cfRule>
    <cfRule type="expression" dxfId="375" priority="567">
      <formula>$AE10=3</formula>
    </cfRule>
    <cfRule type="expression" dxfId="374" priority="568">
      <formula>$AE10=2</formula>
    </cfRule>
    <cfRule type="expression" dxfId="373" priority="569">
      <formula>$AE10=1</formula>
    </cfRule>
  </conditionalFormatting>
  <conditionalFormatting sqref="H28:I29">
    <cfRule type="expression" dxfId="372" priority="562">
      <formula>$AC28=4</formula>
    </cfRule>
    <cfRule type="expression" dxfId="371" priority="563">
      <formula>$AC28=3</formula>
    </cfRule>
    <cfRule type="expression" dxfId="370" priority="564">
      <formula>$AC28=2</formula>
    </cfRule>
    <cfRule type="expression" dxfId="369" priority="565">
      <formula>$AC28=1</formula>
    </cfRule>
  </conditionalFormatting>
  <conditionalFormatting sqref="M28:N29">
    <cfRule type="expression" dxfId="368" priority="558">
      <formula>$AD28=4</formula>
    </cfRule>
    <cfRule type="expression" dxfId="367" priority="559">
      <formula>$AD28=3</formula>
    </cfRule>
    <cfRule type="expression" dxfId="366" priority="560">
      <formula>$AD28=2</formula>
    </cfRule>
    <cfRule type="expression" dxfId="365" priority="561">
      <formula>$AD28=1</formula>
    </cfRule>
  </conditionalFormatting>
  <conditionalFormatting sqref="S28:T29">
    <cfRule type="expression" dxfId="364" priority="554">
      <formula>$AE28=4</formula>
    </cfRule>
    <cfRule type="expression" dxfId="363" priority="555">
      <formula>$AE28=3</formula>
    </cfRule>
    <cfRule type="expression" dxfId="362" priority="556">
      <formula>$AE28=2</formula>
    </cfRule>
    <cfRule type="expression" dxfId="361" priority="557">
      <formula>$AE28=1</formula>
    </cfRule>
  </conditionalFormatting>
  <conditionalFormatting sqref="H41:I42">
    <cfRule type="expression" dxfId="360" priority="550">
      <formula>$AC41=4</formula>
    </cfRule>
    <cfRule type="expression" dxfId="359" priority="551">
      <formula>$AC41=3</formula>
    </cfRule>
    <cfRule type="expression" dxfId="358" priority="552">
      <formula>$AC41=2</formula>
    </cfRule>
    <cfRule type="expression" dxfId="357" priority="553">
      <formula>$AC41=1</formula>
    </cfRule>
  </conditionalFormatting>
  <conditionalFormatting sqref="M41:N42">
    <cfRule type="expression" dxfId="356" priority="546">
      <formula>$AD41=4</formula>
    </cfRule>
    <cfRule type="expression" dxfId="355" priority="547">
      <formula>$AD41=3</formula>
    </cfRule>
    <cfRule type="expression" dxfId="354" priority="548">
      <formula>$AD41=2</formula>
    </cfRule>
    <cfRule type="expression" dxfId="353" priority="549">
      <formula>$AD41=1</formula>
    </cfRule>
  </conditionalFormatting>
  <conditionalFormatting sqref="S41:T42">
    <cfRule type="expression" dxfId="352" priority="542">
      <formula>$AE41=4</formula>
    </cfRule>
    <cfRule type="expression" dxfId="351" priority="543">
      <formula>$AE41=3</formula>
    </cfRule>
    <cfRule type="expression" dxfId="350" priority="544">
      <formula>$AE41=2</formula>
    </cfRule>
    <cfRule type="expression" dxfId="349" priority="545">
      <formula>$AE41=1</formula>
    </cfRule>
  </conditionalFormatting>
  <conditionalFormatting sqref="H50:I51">
    <cfRule type="expression" dxfId="348" priority="538">
      <formula>$AC50=4</formula>
    </cfRule>
    <cfRule type="expression" dxfId="347" priority="539">
      <formula>$AC50=3</formula>
    </cfRule>
    <cfRule type="expression" dxfId="346" priority="540">
      <formula>$AC50=2</formula>
    </cfRule>
    <cfRule type="expression" dxfId="345" priority="541">
      <formula>$AC50=1</formula>
    </cfRule>
  </conditionalFormatting>
  <conditionalFormatting sqref="M50:N51">
    <cfRule type="expression" dxfId="344" priority="534">
      <formula>$AD50=4</formula>
    </cfRule>
    <cfRule type="expression" dxfId="343" priority="535">
      <formula>$AD50=3</formula>
    </cfRule>
    <cfRule type="expression" dxfId="342" priority="536">
      <formula>$AD50=2</formula>
    </cfRule>
    <cfRule type="expression" dxfId="341" priority="537">
      <formula>$AD50=1</formula>
    </cfRule>
  </conditionalFormatting>
  <conditionalFormatting sqref="S50:T51">
    <cfRule type="expression" dxfId="340" priority="530">
      <formula>$AE50=4</formula>
    </cfRule>
    <cfRule type="expression" dxfId="339" priority="531">
      <formula>$AE50=3</formula>
    </cfRule>
    <cfRule type="expression" dxfId="338" priority="532">
      <formula>$AE50=2</formula>
    </cfRule>
    <cfRule type="expression" dxfId="337" priority="533">
      <formula>$AE50=1</formula>
    </cfRule>
  </conditionalFormatting>
  <conditionalFormatting sqref="H57:I58">
    <cfRule type="expression" dxfId="336" priority="526">
      <formula>$AC57=4</formula>
    </cfRule>
    <cfRule type="expression" dxfId="335" priority="527">
      <formula>$AC57=3</formula>
    </cfRule>
    <cfRule type="expression" dxfId="334" priority="528">
      <formula>$AC57=2</formula>
    </cfRule>
    <cfRule type="expression" dxfId="333" priority="529">
      <formula>$AC57=1</formula>
    </cfRule>
  </conditionalFormatting>
  <conditionalFormatting sqref="M57:N58">
    <cfRule type="expression" dxfId="332" priority="522">
      <formula>$AD57=4</formula>
    </cfRule>
    <cfRule type="expression" dxfId="331" priority="523">
      <formula>$AD57=3</formula>
    </cfRule>
    <cfRule type="expression" dxfId="330" priority="524">
      <formula>$AD57=2</formula>
    </cfRule>
    <cfRule type="expression" dxfId="329" priority="525">
      <formula>$AD57=1</formula>
    </cfRule>
  </conditionalFormatting>
  <conditionalFormatting sqref="S57:T58">
    <cfRule type="expression" dxfId="328" priority="518">
      <formula>$AE57=4</formula>
    </cfRule>
    <cfRule type="expression" dxfId="327" priority="519">
      <formula>$AE57=3</formula>
    </cfRule>
    <cfRule type="expression" dxfId="326" priority="520">
      <formula>$AE57=2</formula>
    </cfRule>
    <cfRule type="expression" dxfId="325" priority="521">
      <formula>$AE57=1</formula>
    </cfRule>
  </conditionalFormatting>
  <conditionalFormatting sqref="H65:I66">
    <cfRule type="expression" dxfId="324" priority="514">
      <formula>$AC65=4</formula>
    </cfRule>
    <cfRule type="expression" dxfId="323" priority="515">
      <formula>$AC65=3</formula>
    </cfRule>
    <cfRule type="expression" dxfId="322" priority="516">
      <formula>$AC65=2</formula>
    </cfRule>
    <cfRule type="expression" dxfId="321" priority="517">
      <formula>$AC65=1</formula>
    </cfRule>
  </conditionalFormatting>
  <conditionalFormatting sqref="M65:N66">
    <cfRule type="expression" dxfId="320" priority="510">
      <formula>$AD65=4</formula>
    </cfRule>
    <cfRule type="expression" dxfId="319" priority="511">
      <formula>$AD65=3</formula>
    </cfRule>
    <cfRule type="expression" dxfId="318" priority="512">
      <formula>$AD65=2</formula>
    </cfRule>
    <cfRule type="expression" dxfId="317" priority="513">
      <formula>$AD65=1</formula>
    </cfRule>
  </conditionalFormatting>
  <conditionalFormatting sqref="S65:T66">
    <cfRule type="expression" dxfId="316" priority="506">
      <formula>$AE65=4</formula>
    </cfRule>
    <cfRule type="expression" dxfId="315" priority="507">
      <formula>$AE65=3</formula>
    </cfRule>
    <cfRule type="expression" dxfId="314" priority="508">
      <formula>$AE65=2</formula>
    </cfRule>
    <cfRule type="expression" dxfId="313" priority="509">
      <formula>$AE65=1</formula>
    </cfRule>
  </conditionalFormatting>
  <conditionalFormatting sqref="H72:I73">
    <cfRule type="expression" dxfId="312" priority="502">
      <formula>$AC72=4</formula>
    </cfRule>
    <cfRule type="expression" dxfId="311" priority="503">
      <formula>$AC72=3</formula>
    </cfRule>
    <cfRule type="expression" dxfId="310" priority="504">
      <formula>$AC72=2</formula>
    </cfRule>
    <cfRule type="expression" dxfId="309" priority="505">
      <formula>$AC72=1</formula>
    </cfRule>
  </conditionalFormatting>
  <conditionalFormatting sqref="M72:N73">
    <cfRule type="expression" dxfId="308" priority="498">
      <formula>$AD72=4</formula>
    </cfRule>
    <cfRule type="expression" dxfId="307" priority="499">
      <formula>$AD72=3</formula>
    </cfRule>
    <cfRule type="expression" dxfId="306" priority="500">
      <formula>$AD72=2</formula>
    </cfRule>
    <cfRule type="expression" dxfId="305" priority="501">
      <formula>$AD72=1</formula>
    </cfRule>
  </conditionalFormatting>
  <conditionalFormatting sqref="S72:T73">
    <cfRule type="expression" dxfId="304" priority="494">
      <formula>$AE72=4</formula>
    </cfRule>
    <cfRule type="expression" dxfId="303" priority="495">
      <formula>$AE72=3</formula>
    </cfRule>
    <cfRule type="expression" dxfId="302" priority="496">
      <formula>$AE72=2</formula>
    </cfRule>
    <cfRule type="expression" dxfId="301" priority="497">
      <formula>$AE72=1</formula>
    </cfRule>
  </conditionalFormatting>
  <conditionalFormatting sqref="H80:I81">
    <cfRule type="expression" dxfId="300" priority="490">
      <formula>$AC80=4</formula>
    </cfRule>
    <cfRule type="expression" dxfId="299" priority="491">
      <formula>$AC80=3</formula>
    </cfRule>
    <cfRule type="expression" dxfId="298" priority="492">
      <formula>$AC80=2</formula>
    </cfRule>
    <cfRule type="expression" dxfId="297" priority="493">
      <formula>$AC80=1</formula>
    </cfRule>
  </conditionalFormatting>
  <conditionalFormatting sqref="M80:N81">
    <cfRule type="expression" dxfId="296" priority="486">
      <formula>$AD80=4</formula>
    </cfRule>
    <cfRule type="expression" dxfId="295" priority="487">
      <formula>$AD80=3</formula>
    </cfRule>
    <cfRule type="expression" dxfId="294" priority="488">
      <formula>$AD80=2</formula>
    </cfRule>
    <cfRule type="expression" dxfId="293" priority="489">
      <formula>$AD80=1</formula>
    </cfRule>
  </conditionalFormatting>
  <conditionalFormatting sqref="S80:T81">
    <cfRule type="expression" dxfId="292" priority="482">
      <formula>$AE80=4</formula>
    </cfRule>
    <cfRule type="expression" dxfId="291" priority="483">
      <formula>$AE80=3</formula>
    </cfRule>
    <cfRule type="expression" dxfId="290" priority="484">
      <formula>$AE80=2</formula>
    </cfRule>
    <cfRule type="expression" dxfId="289" priority="485">
      <formula>$AE80=1</formula>
    </cfRule>
  </conditionalFormatting>
  <conditionalFormatting sqref="H88:I89">
    <cfRule type="expression" dxfId="288" priority="478">
      <formula>$AC88=4</formula>
    </cfRule>
    <cfRule type="expression" dxfId="287" priority="479">
      <formula>$AC88=3</formula>
    </cfRule>
    <cfRule type="expression" dxfId="286" priority="480">
      <formula>$AC88=2</formula>
    </cfRule>
    <cfRule type="expression" dxfId="285" priority="481">
      <formula>$AC88=1</formula>
    </cfRule>
  </conditionalFormatting>
  <conditionalFormatting sqref="M88:N89">
    <cfRule type="expression" dxfId="284" priority="474">
      <formula>$AD88=4</formula>
    </cfRule>
    <cfRule type="expression" dxfId="283" priority="475">
      <formula>$AD88=3</formula>
    </cfRule>
    <cfRule type="expression" dxfId="282" priority="476">
      <formula>$AD88=2</formula>
    </cfRule>
    <cfRule type="expression" dxfId="281" priority="477">
      <formula>$AD88=1</formula>
    </cfRule>
  </conditionalFormatting>
  <conditionalFormatting sqref="S88:T89">
    <cfRule type="expression" dxfId="280" priority="470">
      <formula>$AE88=4</formula>
    </cfRule>
    <cfRule type="expression" dxfId="279" priority="471">
      <formula>$AE88=3</formula>
    </cfRule>
    <cfRule type="expression" dxfId="278" priority="472">
      <formula>$AE88=2</formula>
    </cfRule>
    <cfRule type="expression" dxfId="277" priority="473">
      <formula>$AE88=1</formula>
    </cfRule>
  </conditionalFormatting>
  <conditionalFormatting sqref="H100:I100">
    <cfRule type="expression" dxfId="276" priority="466">
      <formula>$AC100=4</formula>
    </cfRule>
    <cfRule type="expression" dxfId="275" priority="467">
      <formula>$AC100=3</formula>
    </cfRule>
    <cfRule type="expression" dxfId="274" priority="468">
      <formula>$AC100=2</formula>
    </cfRule>
    <cfRule type="expression" dxfId="273" priority="469">
      <formula>$AC100=1</formula>
    </cfRule>
  </conditionalFormatting>
  <conditionalFormatting sqref="M100:N100">
    <cfRule type="expression" dxfId="272" priority="462">
      <formula>$AD100=4</formula>
    </cfRule>
    <cfRule type="expression" dxfId="271" priority="463">
      <formula>$AD100=3</formula>
    </cfRule>
    <cfRule type="expression" dxfId="270" priority="464">
      <formula>$AD100=2</formula>
    </cfRule>
    <cfRule type="expression" dxfId="269" priority="465">
      <formula>$AD100=1</formula>
    </cfRule>
  </conditionalFormatting>
  <conditionalFormatting sqref="S100:T100">
    <cfRule type="expression" dxfId="268" priority="458">
      <formula>$AE100=4</formula>
    </cfRule>
    <cfRule type="expression" dxfId="267" priority="459">
      <formula>$AE100=3</formula>
    </cfRule>
    <cfRule type="expression" dxfId="266" priority="460">
      <formula>$AE100=2</formula>
    </cfRule>
    <cfRule type="expression" dxfId="265" priority="461">
      <formula>$AE100=1</formula>
    </cfRule>
  </conditionalFormatting>
  <conditionalFormatting sqref="L10:P16 C18:J29 L18:P29 L31:P42 C31:J42 L44:P51 L53:P58 C53:J58 C60:J66 L60:P66 L68:P73 C68:J73 C75:J81 L75:P81 L83:P89 C83:J89 C91:J100 L91:P100 C44:J51 C10:J16 H9:J9 H17:J17 H30:J30 H43:J43 R9:W47 H52:J52 H59:J59 H67:J67 H74:J74 H82:J82 H90:J90 R49:W100">
    <cfRule type="expression" dxfId="264" priority="457">
      <formula>$AB9=2</formula>
    </cfRule>
  </conditionalFormatting>
  <conditionalFormatting sqref="L10:L16 L49:L51 L18:L29 L31:L42 L44:L47 L53:L58 L60:L66 L68:L73 L75:L81 L83:L89 L91:L100">
    <cfRule type="expression" dxfId="263" priority="456">
      <formula>L10&gt;D10</formula>
    </cfRule>
  </conditionalFormatting>
  <conditionalFormatting sqref="R10:R16 R49:R51 R18:R29 R31:R42 R44:R47 R53:R58 R60:R66 R68:R73 R75:R81 R83:R89 R91:R100">
    <cfRule type="expression" dxfId="262" priority="455">
      <formula>R10&gt;D10</formula>
    </cfRule>
  </conditionalFormatting>
  <conditionalFormatting sqref="H48:I48">
    <cfRule type="expression" dxfId="261" priority="447">
      <formula>$AC48=4</formula>
    </cfRule>
    <cfRule type="expression" dxfId="260" priority="448">
      <formula>$AC48=3</formula>
    </cfRule>
    <cfRule type="expression" dxfId="259" priority="449">
      <formula>$AC48=2</formula>
    </cfRule>
    <cfRule type="expression" dxfId="258" priority="450">
      <formula>$AC48=1</formula>
    </cfRule>
  </conditionalFormatting>
  <conditionalFormatting sqref="M48:N48">
    <cfRule type="expression" dxfId="257" priority="443">
      <formula>$AD48=4</formula>
    </cfRule>
    <cfRule type="expression" dxfId="256" priority="444">
      <formula>$AD48=3</formula>
    </cfRule>
    <cfRule type="expression" dxfId="255" priority="445">
      <formula>$AD48=2</formula>
    </cfRule>
    <cfRule type="expression" dxfId="254" priority="446">
      <formula>$AD48=1</formula>
    </cfRule>
  </conditionalFormatting>
  <conditionalFormatting sqref="S48:T48">
    <cfRule type="expression" dxfId="253" priority="439">
      <formula>$AE48=4</formula>
    </cfRule>
    <cfRule type="expression" dxfId="252" priority="440">
      <formula>$AE48=3</formula>
    </cfRule>
    <cfRule type="expression" dxfId="251" priority="441">
      <formula>$AE48=2</formula>
    </cfRule>
    <cfRule type="expression" dxfId="250" priority="442">
      <formula>$AE48=1</formula>
    </cfRule>
  </conditionalFormatting>
  <conditionalFormatting sqref="R48:W48">
    <cfRule type="expression" dxfId="249" priority="438">
      <formula>$AB48=2</formula>
    </cfRule>
  </conditionalFormatting>
  <conditionalFormatting sqref="L48">
    <cfRule type="expression" dxfId="248" priority="437">
      <formula>L48&gt;D48</formula>
    </cfRule>
  </conditionalFormatting>
  <conditionalFormatting sqref="R48">
    <cfRule type="expression" dxfId="247" priority="436">
      <formula>R48&gt;D48</formula>
    </cfRule>
  </conditionalFormatting>
  <conditionalFormatting sqref="M2:N2">
    <cfRule type="expression" dxfId="246" priority="428">
      <formula>$AD9=4</formula>
    </cfRule>
    <cfRule type="expression" dxfId="245" priority="429">
      <formula>$AD9=3</formula>
    </cfRule>
    <cfRule type="expression" dxfId="244" priority="430">
      <formula>$AD9=2</formula>
    </cfRule>
    <cfRule type="expression" dxfId="243" priority="431">
      <formula>$AD9=1</formula>
    </cfRule>
  </conditionalFormatting>
  <conditionalFormatting sqref="S2:T2">
    <cfRule type="expression" dxfId="242" priority="424">
      <formula>$AE9=4</formula>
    </cfRule>
    <cfRule type="expression" dxfId="241" priority="425">
      <formula>$AE9=3</formula>
    </cfRule>
    <cfRule type="expression" dxfId="240" priority="426">
      <formula>$AE9=2</formula>
    </cfRule>
    <cfRule type="expression" dxfId="239" priority="427">
      <formula>$AE9=1</formula>
    </cfRule>
  </conditionalFormatting>
  <conditionalFormatting sqref="L2:P2 R2:W2">
    <cfRule type="expression" dxfId="238" priority="423">
      <formula>$AB9=2</formula>
    </cfRule>
  </conditionalFormatting>
  <conditionalFormatting sqref="H9:I9">
    <cfRule type="expression" dxfId="237" priority="413">
      <formula>$AC9=4</formula>
    </cfRule>
    <cfRule type="expression" dxfId="236" priority="414">
      <formula>$AC9=3</formula>
    </cfRule>
    <cfRule type="expression" dxfId="235" priority="415">
      <formula>$AC9=2</formula>
    </cfRule>
    <cfRule type="expression" dxfId="234" priority="416">
      <formula>$AC9=1</formula>
    </cfRule>
  </conditionalFormatting>
  <conditionalFormatting sqref="M9:N9">
    <cfRule type="expression" dxfId="233" priority="409">
      <formula>$AD9=4</formula>
    </cfRule>
    <cfRule type="expression" dxfId="232" priority="410">
      <formula>$AD9=3</formula>
    </cfRule>
    <cfRule type="expression" dxfId="231" priority="411">
      <formula>$AD9=2</formula>
    </cfRule>
    <cfRule type="expression" dxfId="230" priority="412">
      <formula>$AD9=1</formula>
    </cfRule>
  </conditionalFormatting>
  <conditionalFormatting sqref="S9:T9">
    <cfRule type="expression" dxfId="229" priority="405">
      <formula>$AE9=4</formula>
    </cfRule>
    <cfRule type="expression" dxfId="228" priority="406">
      <formula>$AE9=3</formula>
    </cfRule>
    <cfRule type="expression" dxfId="227" priority="407">
      <formula>$AE9=2</formula>
    </cfRule>
    <cfRule type="expression" dxfId="226" priority="408">
      <formula>$AE9=1</formula>
    </cfRule>
  </conditionalFormatting>
  <conditionalFormatting sqref="L9:P9">
    <cfRule type="expression" dxfId="225" priority="404">
      <formula>$AB9=2</formula>
    </cfRule>
  </conditionalFormatting>
  <conditionalFormatting sqref="L9">
    <cfRule type="expression" dxfId="224" priority="403">
      <formula>L9&gt;D9</formula>
    </cfRule>
  </conditionalFormatting>
  <conditionalFormatting sqref="R9">
    <cfRule type="expression" dxfId="223" priority="402">
      <formula>R9&gt;D9</formula>
    </cfRule>
  </conditionalFormatting>
  <conditionalFormatting sqref="H17:I17">
    <cfRule type="expression" dxfId="222" priority="223">
      <formula>$AC17=4</formula>
    </cfRule>
    <cfRule type="expression" dxfId="221" priority="224">
      <formula>$AC17=3</formula>
    </cfRule>
    <cfRule type="expression" dxfId="220" priority="225">
      <formula>$AC17=2</formula>
    </cfRule>
    <cfRule type="expression" dxfId="219" priority="226">
      <formula>$AC17=1</formula>
    </cfRule>
  </conditionalFormatting>
  <conditionalFormatting sqref="M17:N17">
    <cfRule type="expression" dxfId="218" priority="219">
      <formula>$AD17=4</formula>
    </cfRule>
    <cfRule type="expression" dxfId="217" priority="220">
      <formula>$AD17=3</formula>
    </cfRule>
    <cfRule type="expression" dxfId="216" priority="221">
      <formula>$AD17=2</formula>
    </cfRule>
    <cfRule type="expression" dxfId="215" priority="222">
      <formula>$AD17=1</formula>
    </cfRule>
  </conditionalFormatting>
  <conditionalFormatting sqref="S17:T17">
    <cfRule type="expression" dxfId="214" priority="215">
      <formula>$AE17=4</formula>
    </cfRule>
    <cfRule type="expression" dxfId="213" priority="216">
      <formula>$AE17=3</formula>
    </cfRule>
    <cfRule type="expression" dxfId="212" priority="217">
      <formula>$AE17=2</formula>
    </cfRule>
    <cfRule type="expression" dxfId="211" priority="218">
      <formula>$AE17=1</formula>
    </cfRule>
  </conditionalFormatting>
  <conditionalFormatting sqref="L17:P17">
    <cfRule type="expression" dxfId="210" priority="214">
      <formula>$AB17=2</formula>
    </cfRule>
  </conditionalFormatting>
  <conditionalFormatting sqref="L17">
    <cfRule type="expression" dxfId="209" priority="213">
      <formula>L17&gt;D17</formula>
    </cfRule>
  </conditionalFormatting>
  <conditionalFormatting sqref="R17">
    <cfRule type="expression" dxfId="208" priority="212">
      <formula>R17&gt;D17</formula>
    </cfRule>
  </conditionalFormatting>
  <conditionalFormatting sqref="H30:I30">
    <cfRule type="expression" dxfId="207" priority="185">
      <formula>$AC30=4</formula>
    </cfRule>
    <cfRule type="expression" dxfId="206" priority="186">
      <formula>$AC30=3</formula>
    </cfRule>
    <cfRule type="expression" dxfId="205" priority="187">
      <formula>$AC30=2</formula>
    </cfRule>
    <cfRule type="expression" dxfId="204" priority="188">
      <formula>$AC30=1</formula>
    </cfRule>
  </conditionalFormatting>
  <conditionalFormatting sqref="M30:N30">
    <cfRule type="expression" dxfId="203" priority="181">
      <formula>$AD30=4</formula>
    </cfRule>
    <cfRule type="expression" dxfId="202" priority="182">
      <formula>$AD30=3</formula>
    </cfRule>
    <cfRule type="expression" dxfId="201" priority="183">
      <formula>$AD30=2</formula>
    </cfRule>
    <cfRule type="expression" dxfId="200" priority="184">
      <formula>$AD30=1</formula>
    </cfRule>
  </conditionalFormatting>
  <conditionalFormatting sqref="S30:T30">
    <cfRule type="expression" dxfId="199" priority="177">
      <formula>$AE30=4</formula>
    </cfRule>
    <cfRule type="expression" dxfId="198" priority="178">
      <formula>$AE30=3</formula>
    </cfRule>
    <cfRule type="expression" dxfId="197" priority="179">
      <formula>$AE30=2</formula>
    </cfRule>
    <cfRule type="expression" dxfId="196" priority="180">
      <formula>$AE30=1</formula>
    </cfRule>
  </conditionalFormatting>
  <conditionalFormatting sqref="L30:P30">
    <cfRule type="expression" dxfId="195" priority="176">
      <formula>$AB30=2</formula>
    </cfRule>
  </conditionalFormatting>
  <conditionalFormatting sqref="L30">
    <cfRule type="expression" dxfId="194" priority="175">
      <formula>L30&gt;D30</formula>
    </cfRule>
  </conditionalFormatting>
  <conditionalFormatting sqref="R30">
    <cfRule type="expression" dxfId="193" priority="174">
      <formula>R30&gt;D30</formula>
    </cfRule>
  </conditionalFormatting>
  <conditionalFormatting sqref="H43:I43">
    <cfRule type="expression" dxfId="192" priority="166">
      <formula>$AC43=4</formula>
    </cfRule>
    <cfRule type="expression" dxfId="191" priority="167">
      <formula>$AC43=3</formula>
    </cfRule>
    <cfRule type="expression" dxfId="190" priority="168">
      <formula>$AC43=2</formula>
    </cfRule>
    <cfRule type="expression" dxfId="189" priority="169">
      <formula>$AC43=1</formula>
    </cfRule>
  </conditionalFormatting>
  <conditionalFormatting sqref="M43:N43">
    <cfRule type="expression" dxfId="188" priority="162">
      <formula>$AD43=4</formula>
    </cfRule>
    <cfRule type="expression" dxfId="187" priority="163">
      <formula>$AD43=3</formula>
    </cfRule>
    <cfRule type="expression" dxfId="186" priority="164">
      <formula>$AD43=2</formula>
    </cfRule>
    <cfRule type="expression" dxfId="185" priority="165">
      <formula>$AD43=1</formula>
    </cfRule>
  </conditionalFormatting>
  <conditionalFormatting sqref="S43:T43">
    <cfRule type="expression" dxfId="184" priority="158">
      <formula>$AE43=4</formula>
    </cfRule>
    <cfRule type="expression" dxfId="183" priority="159">
      <formula>$AE43=3</formula>
    </cfRule>
    <cfRule type="expression" dxfId="182" priority="160">
      <formula>$AE43=2</formula>
    </cfRule>
    <cfRule type="expression" dxfId="181" priority="161">
      <formula>$AE43=1</formula>
    </cfRule>
  </conditionalFormatting>
  <conditionalFormatting sqref="L43:P43">
    <cfRule type="expression" dxfId="180" priority="157">
      <formula>$AB43=2</formula>
    </cfRule>
  </conditionalFormatting>
  <conditionalFormatting sqref="L43">
    <cfRule type="expression" dxfId="179" priority="156">
      <formula>L43&gt;D43</formula>
    </cfRule>
  </conditionalFormatting>
  <conditionalFormatting sqref="R43">
    <cfRule type="expression" dxfId="178" priority="155">
      <formula>R43&gt;D43</formula>
    </cfRule>
  </conditionalFormatting>
  <conditionalFormatting sqref="H52:I52">
    <cfRule type="expression" dxfId="177" priority="147">
      <formula>$AC52=4</formula>
    </cfRule>
    <cfRule type="expression" dxfId="176" priority="148">
      <formula>$AC52=3</formula>
    </cfRule>
    <cfRule type="expression" dxfId="175" priority="149">
      <formula>$AC52=2</formula>
    </cfRule>
    <cfRule type="expression" dxfId="174" priority="150">
      <formula>$AC52=1</formula>
    </cfRule>
  </conditionalFormatting>
  <conditionalFormatting sqref="M52:N52">
    <cfRule type="expression" dxfId="173" priority="143">
      <formula>$AD52=4</formula>
    </cfRule>
    <cfRule type="expression" dxfId="172" priority="144">
      <formula>$AD52=3</formula>
    </cfRule>
    <cfRule type="expression" dxfId="171" priority="145">
      <formula>$AD52=2</formula>
    </cfRule>
    <cfRule type="expression" dxfId="170" priority="146">
      <formula>$AD52=1</formula>
    </cfRule>
  </conditionalFormatting>
  <conditionalFormatting sqref="S52:T52">
    <cfRule type="expression" dxfId="169" priority="139">
      <formula>$AE52=4</formula>
    </cfRule>
    <cfRule type="expression" dxfId="168" priority="140">
      <formula>$AE52=3</formula>
    </cfRule>
    <cfRule type="expression" dxfId="167" priority="141">
      <formula>$AE52=2</formula>
    </cfRule>
    <cfRule type="expression" dxfId="166" priority="142">
      <formula>$AE52=1</formula>
    </cfRule>
  </conditionalFormatting>
  <conditionalFormatting sqref="L52:P52">
    <cfRule type="expression" dxfId="165" priority="138">
      <formula>$AB52=2</formula>
    </cfRule>
  </conditionalFormatting>
  <conditionalFormatting sqref="L52">
    <cfRule type="expression" dxfId="164" priority="137">
      <formula>L52&gt;D52</formula>
    </cfRule>
  </conditionalFormatting>
  <conditionalFormatting sqref="R52">
    <cfRule type="expression" dxfId="163" priority="136">
      <formula>R52&gt;D52</formula>
    </cfRule>
  </conditionalFormatting>
  <conditionalFormatting sqref="H59:I59">
    <cfRule type="expression" dxfId="162" priority="128">
      <formula>$AC59=4</formula>
    </cfRule>
    <cfRule type="expression" dxfId="161" priority="129">
      <formula>$AC59=3</formula>
    </cfRule>
    <cfRule type="expression" dxfId="160" priority="130">
      <formula>$AC59=2</formula>
    </cfRule>
    <cfRule type="expression" dxfId="159" priority="131">
      <formula>$AC59=1</formula>
    </cfRule>
  </conditionalFormatting>
  <conditionalFormatting sqref="M59:N59">
    <cfRule type="expression" dxfId="158" priority="124">
      <formula>$AD59=4</formula>
    </cfRule>
    <cfRule type="expression" dxfId="157" priority="125">
      <formula>$AD59=3</formula>
    </cfRule>
    <cfRule type="expression" dxfId="156" priority="126">
      <formula>$AD59=2</formula>
    </cfRule>
    <cfRule type="expression" dxfId="155" priority="127">
      <formula>$AD59=1</formula>
    </cfRule>
  </conditionalFormatting>
  <conditionalFormatting sqref="S59:T59">
    <cfRule type="expression" dxfId="154" priority="120">
      <formula>$AE59=4</formula>
    </cfRule>
    <cfRule type="expression" dxfId="153" priority="121">
      <formula>$AE59=3</formula>
    </cfRule>
    <cfRule type="expression" dxfId="152" priority="122">
      <formula>$AE59=2</formula>
    </cfRule>
    <cfRule type="expression" dxfId="151" priority="123">
      <formula>$AE59=1</formula>
    </cfRule>
  </conditionalFormatting>
  <conditionalFormatting sqref="L59:P59">
    <cfRule type="expression" dxfId="150" priority="119">
      <formula>$AB59=2</formula>
    </cfRule>
  </conditionalFormatting>
  <conditionalFormatting sqref="L59">
    <cfRule type="expression" dxfId="149" priority="118">
      <formula>L59&gt;D59</formula>
    </cfRule>
  </conditionalFormatting>
  <conditionalFormatting sqref="R59">
    <cfRule type="expression" dxfId="148" priority="117">
      <formula>R59&gt;D59</formula>
    </cfRule>
  </conditionalFormatting>
  <conditionalFormatting sqref="H67:I67">
    <cfRule type="expression" dxfId="147" priority="109">
      <formula>$AC67=4</formula>
    </cfRule>
    <cfRule type="expression" dxfId="146" priority="110">
      <formula>$AC67=3</formula>
    </cfRule>
    <cfRule type="expression" dxfId="145" priority="111">
      <formula>$AC67=2</formula>
    </cfRule>
    <cfRule type="expression" dxfId="144" priority="112">
      <formula>$AC67=1</formula>
    </cfRule>
  </conditionalFormatting>
  <conditionalFormatting sqref="M67:N67">
    <cfRule type="expression" dxfId="143" priority="105">
      <formula>$AD67=4</formula>
    </cfRule>
    <cfRule type="expression" dxfId="142" priority="106">
      <formula>$AD67=3</formula>
    </cfRule>
    <cfRule type="expression" dxfId="141" priority="107">
      <formula>$AD67=2</formula>
    </cfRule>
    <cfRule type="expression" dxfId="140" priority="108">
      <formula>$AD67=1</formula>
    </cfRule>
  </conditionalFormatting>
  <conditionalFormatting sqref="S67:T67">
    <cfRule type="expression" dxfId="139" priority="101">
      <formula>$AE67=4</formula>
    </cfRule>
    <cfRule type="expression" dxfId="138" priority="102">
      <formula>$AE67=3</formula>
    </cfRule>
    <cfRule type="expression" dxfId="137" priority="103">
      <formula>$AE67=2</formula>
    </cfRule>
    <cfRule type="expression" dxfId="136" priority="104">
      <formula>$AE67=1</formula>
    </cfRule>
  </conditionalFormatting>
  <conditionalFormatting sqref="L67:P67">
    <cfRule type="expression" dxfId="135" priority="100">
      <formula>$AB67=2</formula>
    </cfRule>
  </conditionalFormatting>
  <conditionalFormatting sqref="L67">
    <cfRule type="expression" dxfId="134" priority="99">
      <formula>L67&gt;D67</formula>
    </cfRule>
  </conditionalFormatting>
  <conditionalFormatting sqref="R67">
    <cfRule type="expression" dxfId="133" priority="98">
      <formula>R67&gt;D67</formula>
    </cfRule>
  </conditionalFormatting>
  <conditionalFormatting sqref="H74:I74">
    <cfRule type="expression" dxfId="132" priority="90">
      <formula>$AC74=4</formula>
    </cfRule>
    <cfRule type="expression" dxfId="131" priority="91">
      <formula>$AC74=3</formula>
    </cfRule>
    <cfRule type="expression" dxfId="130" priority="92">
      <formula>$AC74=2</formula>
    </cfRule>
    <cfRule type="expression" dxfId="129" priority="93">
      <formula>$AC74=1</formula>
    </cfRule>
  </conditionalFormatting>
  <conditionalFormatting sqref="M74:N74">
    <cfRule type="expression" dxfId="128" priority="86">
      <formula>$AD74=4</formula>
    </cfRule>
    <cfRule type="expression" dxfId="127" priority="87">
      <formula>$AD74=3</formula>
    </cfRule>
    <cfRule type="expression" dxfId="126" priority="88">
      <formula>$AD74=2</formula>
    </cfRule>
    <cfRule type="expression" dxfId="125" priority="89">
      <formula>$AD74=1</formula>
    </cfRule>
  </conditionalFormatting>
  <conditionalFormatting sqref="S74:T74">
    <cfRule type="expression" dxfId="124" priority="82">
      <formula>$AE74=4</formula>
    </cfRule>
    <cfRule type="expression" dxfId="123" priority="83">
      <formula>$AE74=3</formula>
    </cfRule>
    <cfRule type="expression" dxfId="122" priority="84">
      <formula>$AE74=2</formula>
    </cfRule>
    <cfRule type="expression" dxfId="121" priority="85">
      <formula>$AE74=1</formula>
    </cfRule>
  </conditionalFormatting>
  <conditionalFormatting sqref="L74:P74">
    <cfRule type="expression" dxfId="120" priority="81">
      <formula>$AB74=2</formula>
    </cfRule>
  </conditionalFormatting>
  <conditionalFormatting sqref="L74">
    <cfRule type="expression" dxfId="119" priority="80">
      <formula>L74&gt;D74</formula>
    </cfRule>
  </conditionalFormatting>
  <conditionalFormatting sqref="R74">
    <cfRule type="expression" dxfId="118" priority="79">
      <formula>R74&gt;D74</formula>
    </cfRule>
  </conditionalFormatting>
  <conditionalFormatting sqref="H82:I82">
    <cfRule type="expression" dxfId="117" priority="71">
      <formula>$AC82=4</formula>
    </cfRule>
    <cfRule type="expression" dxfId="116" priority="72">
      <formula>$AC82=3</formula>
    </cfRule>
    <cfRule type="expression" dxfId="115" priority="73">
      <formula>$AC82=2</formula>
    </cfRule>
    <cfRule type="expression" dxfId="114" priority="74">
      <formula>$AC82=1</formula>
    </cfRule>
  </conditionalFormatting>
  <conditionalFormatting sqref="M82:N82">
    <cfRule type="expression" dxfId="113" priority="67">
      <formula>$AD82=4</formula>
    </cfRule>
    <cfRule type="expression" dxfId="112" priority="68">
      <formula>$AD82=3</formula>
    </cfRule>
    <cfRule type="expression" dxfId="111" priority="69">
      <formula>$AD82=2</formula>
    </cfRule>
    <cfRule type="expression" dxfId="110" priority="70">
      <formula>$AD82=1</formula>
    </cfRule>
  </conditionalFormatting>
  <conditionalFormatting sqref="S82:T82">
    <cfRule type="expression" dxfId="109" priority="63">
      <formula>$AE82=4</formula>
    </cfRule>
    <cfRule type="expression" dxfId="108" priority="64">
      <formula>$AE82=3</formula>
    </cfRule>
    <cfRule type="expression" dxfId="107" priority="65">
      <formula>$AE82=2</formula>
    </cfRule>
    <cfRule type="expression" dxfId="106" priority="66">
      <formula>$AE82=1</formula>
    </cfRule>
  </conditionalFormatting>
  <conditionalFormatting sqref="L82:P82">
    <cfRule type="expression" dxfId="105" priority="62">
      <formula>$AB82=2</formula>
    </cfRule>
  </conditionalFormatting>
  <conditionalFormatting sqref="L82">
    <cfRule type="expression" dxfId="104" priority="61">
      <formula>L82&gt;D82</formula>
    </cfRule>
  </conditionalFormatting>
  <conditionalFormatting sqref="R82">
    <cfRule type="expression" dxfId="103" priority="60">
      <formula>R82&gt;D82</formula>
    </cfRule>
  </conditionalFormatting>
  <conditionalFormatting sqref="H90:I90">
    <cfRule type="expression" dxfId="102" priority="52">
      <formula>$AC90=4</formula>
    </cfRule>
    <cfRule type="expression" dxfId="101" priority="53">
      <formula>$AC90=3</formula>
    </cfRule>
    <cfRule type="expression" dxfId="100" priority="54">
      <formula>$AC90=2</formula>
    </cfRule>
    <cfRule type="expression" dxfId="99" priority="55">
      <formula>$AC90=1</formula>
    </cfRule>
  </conditionalFormatting>
  <conditionalFormatting sqref="M90:N90">
    <cfRule type="expression" dxfId="98" priority="48">
      <formula>$AD90=4</formula>
    </cfRule>
    <cfRule type="expression" dxfId="97" priority="49">
      <formula>$AD90=3</formula>
    </cfRule>
    <cfRule type="expression" dxfId="96" priority="50">
      <formula>$AD90=2</formula>
    </cfRule>
    <cfRule type="expression" dxfId="95" priority="51">
      <formula>$AD90=1</formula>
    </cfRule>
  </conditionalFormatting>
  <conditionalFormatting sqref="S90:T90">
    <cfRule type="expression" dxfId="94" priority="44">
      <formula>$AE90=4</formula>
    </cfRule>
    <cfRule type="expression" dxfId="93" priority="45">
      <formula>$AE90=3</formula>
    </cfRule>
    <cfRule type="expression" dxfId="92" priority="46">
      <formula>$AE90=2</formula>
    </cfRule>
    <cfRule type="expression" dxfId="91" priority="47">
      <formula>$AE90=1</formula>
    </cfRule>
  </conditionalFormatting>
  <conditionalFormatting sqref="L90:P90">
    <cfRule type="expression" dxfId="90" priority="43">
      <formula>$AB90=2</formula>
    </cfRule>
  </conditionalFormatting>
  <conditionalFormatting sqref="L90">
    <cfRule type="expression" dxfId="89" priority="42">
      <formula>L90&gt;D90</formula>
    </cfRule>
  </conditionalFormatting>
  <conditionalFormatting sqref="R90">
    <cfRule type="expression" dxfId="88" priority="41">
      <formula>R90&gt;D90</formula>
    </cfRule>
  </conditionalFormatting>
  <conditionalFormatting sqref="X10:X16 X18:X29 X31:X42 X44:X51 X53:X58 X60:X66 X68:X73 X75:X81 X83:X89 X91:X100">
    <cfRule type="expression" dxfId="87" priority="36">
      <formula>$AB10=2</formula>
    </cfRule>
  </conditionalFormatting>
  <conditionalFormatting sqref="X9">
    <cfRule type="expression" dxfId="86" priority="31">
      <formula>$AB9=2</formula>
    </cfRule>
  </conditionalFormatting>
  <conditionalFormatting sqref="X17">
    <cfRule type="expression" dxfId="85" priority="28">
      <formula>$AB17=2</formula>
    </cfRule>
  </conditionalFormatting>
  <conditionalFormatting sqref="X30">
    <cfRule type="expression" dxfId="84" priority="25">
      <formula>$AB30=2</formula>
    </cfRule>
  </conditionalFormatting>
  <conditionalFormatting sqref="X43">
    <cfRule type="expression" dxfId="83" priority="22">
      <formula>$AB43=2</formula>
    </cfRule>
  </conditionalFormatting>
  <conditionalFormatting sqref="X52">
    <cfRule type="expression" dxfId="82" priority="19">
      <formula>$AB52=2</formula>
    </cfRule>
  </conditionalFormatting>
  <conditionalFormatting sqref="X59">
    <cfRule type="expression" dxfId="81" priority="16">
      <formula>$AB59=2</formula>
    </cfRule>
  </conditionalFormatting>
  <conditionalFormatting sqref="X67">
    <cfRule type="expression" dxfId="80" priority="13">
      <formula>$AB67=2</formula>
    </cfRule>
  </conditionalFormatting>
  <conditionalFormatting sqref="X74">
    <cfRule type="expression" dxfId="79" priority="10">
      <formula>$AB74=2</formula>
    </cfRule>
  </conditionalFormatting>
  <conditionalFormatting sqref="X82">
    <cfRule type="expression" dxfId="78" priority="7">
      <formula>$AB82=2</formula>
    </cfRule>
  </conditionalFormatting>
  <conditionalFormatting sqref="X90">
    <cfRule type="expression" dxfId="77" priority="4">
      <formula>$AB90=2</formula>
    </cfRule>
  </conditionalFormatting>
  <dataValidations count="2">
    <dataValidation type="decimal" operator="lessThanOrEqual" allowBlank="1" errorTitle="Invalid entry" error="Cannot award more credits than available" sqref="C10:W100" xr:uid="{00000000-0002-0000-0600-000000000000}">
      <formula1>$D10</formula1>
    </dataValidation>
    <dataValidation allowBlank="1" showInputMessage="1" showErrorMessage="1" promptTitle="Sorting" prompt="Sort from smallest to largest to get original sorting" sqref="A8" xr:uid="{00000000-0002-0000-0600-000001000000}"/>
  </dataValidations>
  <pageMargins left="0.43307086614173229" right="0.19685039370078741" top="0.6692913385826772" bottom="0.59055118110236227" header="0.31496062992125984" footer="0.31496062992125984"/>
  <pageSetup paperSize="9" scale="50" fitToHeight="0" orientation="landscape" r:id="rId1"/>
  <headerFooter>
    <oddFooter xml:space="preserve">&amp;L&amp;F&amp;C&amp;D&amp;RPage &amp;P of &amp;N  </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454" id="{B963291B-988D-4012-8C32-6BE515380621}">
            <xm:f>$P$7='Assessment Details'!$N$23</xm:f>
            <x14:dxf>
              <font>
                <color theme="0"/>
              </font>
              <fill>
                <patternFill>
                  <bgColor theme="0"/>
                </patternFill>
              </fill>
              <border>
                <vertical/>
                <horizontal/>
              </border>
            </x14:dxf>
          </x14:cfRule>
          <xm:sqref>L10:P16 L49:P51 L18:P29 L31:P42 L44:P47 L53:P58 L60:P66 L68:P73 L75:P81 L83:P89 L91:P100</xm:sqref>
        </x14:conditionalFormatting>
        <x14:conditionalFormatting xmlns:xm="http://schemas.microsoft.com/office/excel/2006/main">
          <x14:cfRule type="expression" priority="453" id="{D6CE8378-0295-43A4-B4D2-FF97977D5B54}">
            <xm:f>$P$7='Assessment Details'!$N$23</xm:f>
            <x14:dxf>
              <border>
                <left style="thin">
                  <color theme="0"/>
                </left>
                <right style="thin">
                  <color theme="0"/>
                </right>
                <top style="thin">
                  <color theme="0"/>
                </top>
                <bottom style="thin">
                  <color theme="0"/>
                </bottom>
                <vertical/>
                <horizontal/>
              </border>
            </x14:dxf>
          </x14:cfRule>
          <xm:sqref>L10:P16 L49:P51 L18:P29 L31:P42 L44:P47 L53:P58 L60:P66 L68:P73 L75:P81 L83:P89 L91:P100</xm:sqref>
        </x14:conditionalFormatting>
        <x14:conditionalFormatting xmlns:xm="http://schemas.microsoft.com/office/excel/2006/main">
          <x14:cfRule type="expression" priority="452" id="{DB805B39-675F-4529-AAA9-84C1652FC9E0}">
            <xm:f>$V$7='Assessment Details'!$N$23</xm:f>
            <x14:dxf>
              <font>
                <color theme="0"/>
              </font>
              <fill>
                <patternFill>
                  <bgColor theme="0"/>
                </patternFill>
              </fill>
            </x14:dxf>
          </x14:cfRule>
          <xm:sqref>R10:W16 R49:W51 R18:W29 R31:W42 R44:W47 R53:W58 R60:W66 R68:W73 R75:W81 R83:W89 R91:W100</xm:sqref>
        </x14:conditionalFormatting>
        <x14:conditionalFormatting xmlns:xm="http://schemas.microsoft.com/office/excel/2006/main">
          <x14:cfRule type="expression" priority="451" id="{6470B74F-A8AF-495C-B6F5-853222BCD4E5}">
            <xm:f>$V$7='Assessment Details'!$N$23</xm:f>
            <x14:dxf>
              <border>
                <left style="thin">
                  <color theme="0"/>
                </left>
                <right style="thin">
                  <color theme="0"/>
                </right>
                <top style="thin">
                  <color theme="0"/>
                </top>
                <bottom style="thin">
                  <color theme="0"/>
                </bottom>
                <vertical/>
                <horizontal/>
              </border>
            </x14:dxf>
          </x14:cfRule>
          <xm:sqref>R10:W16 R49:W51 R18:W29 R31:W42 R44:W47 R53:W58 R60:W66 R68:W73 R75:W81 R83:W89 R91:W100</xm:sqref>
        </x14:conditionalFormatting>
        <x14:conditionalFormatting xmlns:xm="http://schemas.microsoft.com/office/excel/2006/main">
          <x14:cfRule type="expression" priority="435" id="{CF9F1D1D-C6BE-4DF7-B4BB-9A199355183A}">
            <xm:f>$P$7='Assessment Details'!$N$23</xm:f>
            <x14:dxf>
              <font>
                <color theme="0"/>
              </font>
              <fill>
                <patternFill>
                  <bgColor theme="0"/>
                </patternFill>
              </fill>
              <border>
                <vertical/>
                <horizontal/>
              </border>
            </x14:dxf>
          </x14:cfRule>
          <xm:sqref>L48:P48</xm:sqref>
        </x14:conditionalFormatting>
        <x14:conditionalFormatting xmlns:xm="http://schemas.microsoft.com/office/excel/2006/main">
          <x14:cfRule type="expression" priority="434" id="{004BF2DF-786A-4974-B554-CF2893440F68}">
            <xm:f>$P$7='Assessment Details'!$N$23</xm:f>
            <x14:dxf>
              <border>
                <left style="thin">
                  <color theme="0"/>
                </left>
                <right style="thin">
                  <color theme="0"/>
                </right>
                <top style="thin">
                  <color theme="0"/>
                </top>
                <bottom style="thin">
                  <color theme="0"/>
                </bottom>
                <vertical/>
                <horizontal/>
              </border>
            </x14:dxf>
          </x14:cfRule>
          <xm:sqref>L48:P48</xm:sqref>
        </x14:conditionalFormatting>
        <x14:conditionalFormatting xmlns:xm="http://schemas.microsoft.com/office/excel/2006/main">
          <x14:cfRule type="expression" priority="433" id="{956BD1FF-8A29-4C99-921B-810F7AC8D6F3}">
            <xm:f>$V$7='Assessment Details'!$N$23</xm:f>
            <x14:dxf>
              <font>
                <color theme="0"/>
              </font>
              <fill>
                <patternFill>
                  <bgColor theme="0"/>
                </patternFill>
              </fill>
            </x14:dxf>
          </x14:cfRule>
          <xm:sqref>R48:W48</xm:sqref>
        </x14:conditionalFormatting>
        <x14:conditionalFormatting xmlns:xm="http://schemas.microsoft.com/office/excel/2006/main">
          <x14:cfRule type="expression" priority="432" id="{171F8446-7E97-4E7E-A4F3-E3439AC85C26}">
            <xm:f>$V$7='Assessment Details'!$N$23</xm:f>
            <x14:dxf>
              <border>
                <left style="thin">
                  <color theme="0"/>
                </left>
                <right style="thin">
                  <color theme="0"/>
                </right>
                <top style="thin">
                  <color theme="0"/>
                </top>
                <bottom style="thin">
                  <color theme="0"/>
                </bottom>
                <vertical/>
                <horizontal/>
              </border>
            </x14:dxf>
          </x14:cfRule>
          <xm:sqref>R48:W48</xm:sqref>
        </x14:conditionalFormatting>
        <x14:conditionalFormatting xmlns:xm="http://schemas.microsoft.com/office/excel/2006/main">
          <x14:cfRule type="expression" priority="420" id="{66F21DDC-C8C2-4EE9-AB7D-1214238B6FBE}">
            <xm:f>$P$7='Assessment Details'!$N$23</xm:f>
            <x14:dxf>
              <font>
                <color theme="0"/>
              </font>
              <fill>
                <patternFill>
                  <bgColor theme="0"/>
                </patternFill>
              </fill>
              <border>
                <vertical/>
                <horizontal/>
              </border>
            </x14:dxf>
          </x14:cfRule>
          <xm:sqref>L2:P2</xm:sqref>
        </x14:conditionalFormatting>
        <x14:conditionalFormatting xmlns:xm="http://schemas.microsoft.com/office/excel/2006/main">
          <x14:cfRule type="expression" priority="419" id="{998A89B4-8BCC-453E-9A2C-02D999B4BD26}">
            <xm:f>$P$7='Assessment Details'!$N$23</xm:f>
            <x14:dxf>
              <border>
                <left style="thin">
                  <color theme="0"/>
                </left>
                <right style="thin">
                  <color theme="0"/>
                </right>
                <top style="thin">
                  <color theme="0"/>
                </top>
                <bottom style="thin">
                  <color theme="0"/>
                </bottom>
                <vertical/>
                <horizontal/>
              </border>
            </x14:dxf>
          </x14:cfRule>
          <xm:sqref>L2:P2</xm:sqref>
        </x14:conditionalFormatting>
        <x14:conditionalFormatting xmlns:xm="http://schemas.microsoft.com/office/excel/2006/main">
          <x14:cfRule type="expression" priority="418" id="{33F05243-AD30-4F20-9FB8-723F082BDCCF}">
            <xm:f>$V$7='Assessment Details'!$N$23</xm:f>
            <x14:dxf>
              <font>
                <color theme="0"/>
              </font>
              <fill>
                <patternFill>
                  <bgColor theme="0"/>
                </patternFill>
              </fill>
            </x14:dxf>
          </x14:cfRule>
          <xm:sqref>R2:W2</xm:sqref>
        </x14:conditionalFormatting>
        <x14:conditionalFormatting xmlns:xm="http://schemas.microsoft.com/office/excel/2006/main">
          <x14:cfRule type="expression" priority="417" id="{C73E314A-8948-4684-B3EA-F917F1C73B6C}">
            <xm:f>$V$7='Assessment Details'!$N$23</xm:f>
            <x14:dxf>
              <border>
                <left style="thin">
                  <color theme="0"/>
                </left>
                <right style="thin">
                  <color theme="0"/>
                </right>
                <top style="thin">
                  <color theme="0"/>
                </top>
                <bottom style="thin">
                  <color theme="0"/>
                </bottom>
                <vertical/>
                <horizontal/>
              </border>
            </x14:dxf>
          </x14:cfRule>
          <xm:sqref>R2:W2</xm:sqref>
        </x14:conditionalFormatting>
        <x14:conditionalFormatting xmlns:xm="http://schemas.microsoft.com/office/excel/2006/main">
          <x14:cfRule type="expression" priority="401" id="{C6EF9036-8281-4621-9E86-A2AB7B9BAE44}">
            <xm:f>$P$7='Assessment Details'!$N$23</xm:f>
            <x14:dxf>
              <font>
                <color theme="0"/>
              </font>
              <fill>
                <patternFill>
                  <bgColor theme="0"/>
                </patternFill>
              </fill>
              <border>
                <vertical/>
                <horizontal/>
              </border>
            </x14:dxf>
          </x14:cfRule>
          <xm:sqref>L9:P9</xm:sqref>
        </x14:conditionalFormatting>
        <x14:conditionalFormatting xmlns:xm="http://schemas.microsoft.com/office/excel/2006/main">
          <x14:cfRule type="expression" priority="400" id="{43D589F6-C8EB-4B6E-B31A-E087CD31FB50}">
            <xm:f>$P$7='Assessment Details'!$N$23</xm:f>
            <x14:dxf>
              <border>
                <left style="thin">
                  <color theme="0"/>
                </left>
                <right style="thin">
                  <color theme="0"/>
                </right>
                <top style="thin">
                  <color theme="0"/>
                </top>
                <bottom style="thin">
                  <color theme="0"/>
                </bottom>
                <vertical/>
                <horizontal/>
              </border>
            </x14:dxf>
          </x14:cfRule>
          <xm:sqref>L9:P9</xm:sqref>
        </x14:conditionalFormatting>
        <x14:conditionalFormatting xmlns:xm="http://schemas.microsoft.com/office/excel/2006/main">
          <x14:cfRule type="expression" priority="399" id="{64382F7E-6A5C-4A49-B612-0F1781FBEB58}">
            <xm:f>$V$7='Assessment Details'!$N$23</xm:f>
            <x14:dxf>
              <font>
                <color theme="0"/>
              </font>
              <fill>
                <patternFill>
                  <bgColor theme="0"/>
                </patternFill>
              </fill>
            </x14:dxf>
          </x14:cfRule>
          <xm:sqref>R9:W9</xm:sqref>
        </x14:conditionalFormatting>
        <x14:conditionalFormatting xmlns:xm="http://schemas.microsoft.com/office/excel/2006/main">
          <x14:cfRule type="expression" priority="398" id="{E53F71C2-23F9-4938-B73B-491697B7D59C}">
            <xm:f>$V$7='Assessment Details'!$N$23</xm:f>
            <x14:dxf>
              <border>
                <left style="thin">
                  <color theme="0"/>
                </left>
                <right style="thin">
                  <color theme="0"/>
                </right>
                <top style="thin">
                  <color theme="0"/>
                </top>
                <bottom style="thin">
                  <color theme="0"/>
                </bottom>
                <vertical/>
                <horizontal/>
              </border>
            </x14:dxf>
          </x14:cfRule>
          <xm:sqref>R9:W9</xm:sqref>
        </x14:conditionalFormatting>
        <x14:conditionalFormatting xmlns:xm="http://schemas.microsoft.com/office/excel/2006/main">
          <x14:cfRule type="expression" priority="211" id="{DB50627D-98DE-43BE-B3D3-A2B5A6524065}">
            <xm:f>$P$7='Assessment Details'!$N$23</xm:f>
            <x14:dxf>
              <font>
                <color theme="0"/>
              </font>
              <fill>
                <patternFill>
                  <bgColor theme="0"/>
                </patternFill>
              </fill>
              <border>
                <vertical/>
                <horizontal/>
              </border>
            </x14:dxf>
          </x14:cfRule>
          <xm:sqref>L17:P17</xm:sqref>
        </x14:conditionalFormatting>
        <x14:conditionalFormatting xmlns:xm="http://schemas.microsoft.com/office/excel/2006/main">
          <x14:cfRule type="expression" priority="210" id="{ECE17149-A5D6-45F9-8A42-002620E0AA7B}">
            <xm:f>$P$7='Assessment Details'!$N$23</xm:f>
            <x14:dxf>
              <border>
                <left style="thin">
                  <color theme="0"/>
                </left>
                <right style="thin">
                  <color theme="0"/>
                </right>
                <top style="thin">
                  <color theme="0"/>
                </top>
                <bottom style="thin">
                  <color theme="0"/>
                </bottom>
                <vertical/>
                <horizontal/>
              </border>
            </x14:dxf>
          </x14:cfRule>
          <xm:sqref>L17:P17</xm:sqref>
        </x14:conditionalFormatting>
        <x14:conditionalFormatting xmlns:xm="http://schemas.microsoft.com/office/excel/2006/main">
          <x14:cfRule type="expression" priority="209" id="{DF0A0D1A-0793-4C4E-9B58-16C6414A5570}">
            <xm:f>$V$7='Assessment Details'!$N$23</xm:f>
            <x14:dxf>
              <font>
                <color theme="0"/>
              </font>
              <fill>
                <patternFill>
                  <bgColor theme="0"/>
                </patternFill>
              </fill>
            </x14:dxf>
          </x14:cfRule>
          <xm:sqref>R17:W17</xm:sqref>
        </x14:conditionalFormatting>
        <x14:conditionalFormatting xmlns:xm="http://schemas.microsoft.com/office/excel/2006/main">
          <x14:cfRule type="expression" priority="208" id="{85B92658-A6B7-47BD-8B8B-F95529FDD45F}">
            <xm:f>$V$7='Assessment Details'!$N$23</xm:f>
            <x14:dxf>
              <border>
                <left style="thin">
                  <color theme="0"/>
                </left>
                <right style="thin">
                  <color theme="0"/>
                </right>
                <top style="thin">
                  <color theme="0"/>
                </top>
                <bottom style="thin">
                  <color theme="0"/>
                </bottom>
                <vertical/>
                <horizontal/>
              </border>
            </x14:dxf>
          </x14:cfRule>
          <xm:sqref>R17:W17</xm:sqref>
        </x14:conditionalFormatting>
        <x14:conditionalFormatting xmlns:xm="http://schemas.microsoft.com/office/excel/2006/main">
          <x14:cfRule type="expression" priority="173" id="{8107B40F-CAB9-478E-AA1E-D5645E774F5A}">
            <xm:f>$P$7='Assessment Details'!$N$23</xm:f>
            <x14:dxf>
              <font>
                <color theme="0"/>
              </font>
              <fill>
                <patternFill>
                  <bgColor theme="0"/>
                </patternFill>
              </fill>
              <border>
                <vertical/>
                <horizontal/>
              </border>
            </x14:dxf>
          </x14:cfRule>
          <xm:sqref>L30:P30</xm:sqref>
        </x14:conditionalFormatting>
        <x14:conditionalFormatting xmlns:xm="http://schemas.microsoft.com/office/excel/2006/main">
          <x14:cfRule type="expression" priority="172" id="{65ED21A9-FC05-4230-AAD8-95CD917AF1F2}">
            <xm:f>$P$7='Assessment Details'!$N$23</xm:f>
            <x14:dxf>
              <border>
                <left style="thin">
                  <color theme="0"/>
                </left>
                <right style="thin">
                  <color theme="0"/>
                </right>
                <top style="thin">
                  <color theme="0"/>
                </top>
                <bottom style="thin">
                  <color theme="0"/>
                </bottom>
                <vertical/>
                <horizontal/>
              </border>
            </x14:dxf>
          </x14:cfRule>
          <xm:sqref>L30:P30</xm:sqref>
        </x14:conditionalFormatting>
        <x14:conditionalFormatting xmlns:xm="http://schemas.microsoft.com/office/excel/2006/main">
          <x14:cfRule type="expression" priority="171" id="{C8753DAF-305F-4F04-8E6F-509B98A5E290}">
            <xm:f>$V$7='Assessment Details'!$N$23</xm:f>
            <x14:dxf>
              <font>
                <color theme="0"/>
              </font>
              <fill>
                <patternFill>
                  <bgColor theme="0"/>
                </patternFill>
              </fill>
            </x14:dxf>
          </x14:cfRule>
          <xm:sqref>R30:W30</xm:sqref>
        </x14:conditionalFormatting>
        <x14:conditionalFormatting xmlns:xm="http://schemas.microsoft.com/office/excel/2006/main">
          <x14:cfRule type="expression" priority="170" id="{679C4ED4-5608-4865-A327-D266F016B626}">
            <xm:f>$V$7='Assessment Details'!$N$23</xm:f>
            <x14:dxf>
              <border>
                <left style="thin">
                  <color theme="0"/>
                </left>
                <right style="thin">
                  <color theme="0"/>
                </right>
                <top style="thin">
                  <color theme="0"/>
                </top>
                <bottom style="thin">
                  <color theme="0"/>
                </bottom>
                <vertical/>
                <horizontal/>
              </border>
            </x14:dxf>
          </x14:cfRule>
          <xm:sqref>R30:W30</xm:sqref>
        </x14:conditionalFormatting>
        <x14:conditionalFormatting xmlns:xm="http://schemas.microsoft.com/office/excel/2006/main">
          <x14:cfRule type="expression" priority="154" id="{EF7B20F7-BA8D-4AD3-8654-7363E8B71381}">
            <xm:f>$P$7='Assessment Details'!$N$23</xm:f>
            <x14:dxf>
              <font>
                <color theme="0"/>
              </font>
              <fill>
                <patternFill>
                  <bgColor theme="0"/>
                </patternFill>
              </fill>
              <border>
                <vertical/>
                <horizontal/>
              </border>
            </x14:dxf>
          </x14:cfRule>
          <xm:sqref>L43:P43</xm:sqref>
        </x14:conditionalFormatting>
        <x14:conditionalFormatting xmlns:xm="http://schemas.microsoft.com/office/excel/2006/main">
          <x14:cfRule type="expression" priority="153" id="{270FD34D-884D-450D-84B5-380845EC5AE2}">
            <xm:f>$P$7='Assessment Details'!$N$23</xm:f>
            <x14:dxf>
              <border>
                <left style="thin">
                  <color theme="0"/>
                </left>
                <right style="thin">
                  <color theme="0"/>
                </right>
                <top style="thin">
                  <color theme="0"/>
                </top>
                <bottom style="thin">
                  <color theme="0"/>
                </bottom>
                <vertical/>
                <horizontal/>
              </border>
            </x14:dxf>
          </x14:cfRule>
          <xm:sqref>L43:P43</xm:sqref>
        </x14:conditionalFormatting>
        <x14:conditionalFormatting xmlns:xm="http://schemas.microsoft.com/office/excel/2006/main">
          <x14:cfRule type="expression" priority="152" id="{A5EAA76A-A663-4C55-9F44-15AFC800F544}">
            <xm:f>$V$7='Assessment Details'!$N$23</xm:f>
            <x14:dxf>
              <font>
                <color theme="0"/>
              </font>
              <fill>
                <patternFill>
                  <bgColor theme="0"/>
                </patternFill>
              </fill>
            </x14:dxf>
          </x14:cfRule>
          <xm:sqref>R43:W43</xm:sqref>
        </x14:conditionalFormatting>
        <x14:conditionalFormatting xmlns:xm="http://schemas.microsoft.com/office/excel/2006/main">
          <x14:cfRule type="expression" priority="151" id="{9745D47C-7637-41DF-B32D-78339E787FB3}">
            <xm:f>$V$7='Assessment Details'!$N$23</xm:f>
            <x14:dxf>
              <border>
                <left style="thin">
                  <color theme="0"/>
                </left>
                <right style="thin">
                  <color theme="0"/>
                </right>
                <top style="thin">
                  <color theme="0"/>
                </top>
                <bottom style="thin">
                  <color theme="0"/>
                </bottom>
                <vertical/>
                <horizontal/>
              </border>
            </x14:dxf>
          </x14:cfRule>
          <xm:sqref>R43:W43</xm:sqref>
        </x14:conditionalFormatting>
        <x14:conditionalFormatting xmlns:xm="http://schemas.microsoft.com/office/excel/2006/main">
          <x14:cfRule type="expression" priority="135" id="{7B08C06A-C350-4060-8F73-509FEB4620A4}">
            <xm:f>$P$7='Assessment Details'!$N$23</xm:f>
            <x14:dxf>
              <font>
                <color theme="0"/>
              </font>
              <fill>
                <patternFill>
                  <bgColor theme="0"/>
                </patternFill>
              </fill>
              <border>
                <vertical/>
                <horizontal/>
              </border>
            </x14:dxf>
          </x14:cfRule>
          <xm:sqref>L52:P52</xm:sqref>
        </x14:conditionalFormatting>
        <x14:conditionalFormatting xmlns:xm="http://schemas.microsoft.com/office/excel/2006/main">
          <x14:cfRule type="expression" priority="134" id="{4BBEFC39-F5E4-4FFC-AB5B-86203501D0F7}">
            <xm:f>$P$7='Assessment Details'!$N$23</xm:f>
            <x14:dxf>
              <border>
                <left style="thin">
                  <color theme="0"/>
                </left>
                <right style="thin">
                  <color theme="0"/>
                </right>
                <top style="thin">
                  <color theme="0"/>
                </top>
                <bottom style="thin">
                  <color theme="0"/>
                </bottom>
                <vertical/>
                <horizontal/>
              </border>
            </x14:dxf>
          </x14:cfRule>
          <xm:sqref>L52:P52</xm:sqref>
        </x14:conditionalFormatting>
        <x14:conditionalFormatting xmlns:xm="http://schemas.microsoft.com/office/excel/2006/main">
          <x14:cfRule type="expression" priority="133" id="{490B57B5-86BA-47EB-8ABF-890DE5FCB8DC}">
            <xm:f>$V$7='Assessment Details'!$N$23</xm:f>
            <x14:dxf>
              <font>
                <color theme="0"/>
              </font>
              <fill>
                <patternFill>
                  <bgColor theme="0"/>
                </patternFill>
              </fill>
            </x14:dxf>
          </x14:cfRule>
          <xm:sqref>R52:W52</xm:sqref>
        </x14:conditionalFormatting>
        <x14:conditionalFormatting xmlns:xm="http://schemas.microsoft.com/office/excel/2006/main">
          <x14:cfRule type="expression" priority="132" id="{133BCF05-5ECE-4480-B42E-5810071A1BA9}">
            <xm:f>$V$7='Assessment Details'!$N$23</xm:f>
            <x14:dxf>
              <border>
                <left style="thin">
                  <color theme="0"/>
                </left>
                <right style="thin">
                  <color theme="0"/>
                </right>
                <top style="thin">
                  <color theme="0"/>
                </top>
                <bottom style="thin">
                  <color theme="0"/>
                </bottom>
                <vertical/>
                <horizontal/>
              </border>
            </x14:dxf>
          </x14:cfRule>
          <xm:sqref>R52:W52</xm:sqref>
        </x14:conditionalFormatting>
        <x14:conditionalFormatting xmlns:xm="http://schemas.microsoft.com/office/excel/2006/main">
          <x14:cfRule type="expression" priority="116" id="{F62FF186-C272-438A-9F0A-3D31E751DDB8}">
            <xm:f>$P$7='Assessment Details'!$N$23</xm:f>
            <x14:dxf>
              <font>
                <color theme="0"/>
              </font>
              <fill>
                <patternFill>
                  <bgColor theme="0"/>
                </patternFill>
              </fill>
              <border>
                <vertical/>
                <horizontal/>
              </border>
            </x14:dxf>
          </x14:cfRule>
          <xm:sqref>L59:P59</xm:sqref>
        </x14:conditionalFormatting>
        <x14:conditionalFormatting xmlns:xm="http://schemas.microsoft.com/office/excel/2006/main">
          <x14:cfRule type="expression" priority="115" id="{0E4DE056-36B2-442E-B766-F52ED71384F1}">
            <xm:f>$P$7='Assessment Details'!$N$23</xm:f>
            <x14:dxf>
              <border>
                <left style="thin">
                  <color theme="0"/>
                </left>
                <right style="thin">
                  <color theme="0"/>
                </right>
                <top style="thin">
                  <color theme="0"/>
                </top>
                <bottom style="thin">
                  <color theme="0"/>
                </bottom>
                <vertical/>
                <horizontal/>
              </border>
            </x14:dxf>
          </x14:cfRule>
          <xm:sqref>L59:P59</xm:sqref>
        </x14:conditionalFormatting>
        <x14:conditionalFormatting xmlns:xm="http://schemas.microsoft.com/office/excel/2006/main">
          <x14:cfRule type="expression" priority="114" id="{7E3E6EF9-B8D8-4DB0-A498-9E30AD54F8DA}">
            <xm:f>$V$7='Assessment Details'!$N$23</xm:f>
            <x14:dxf>
              <font>
                <color theme="0"/>
              </font>
              <fill>
                <patternFill>
                  <bgColor theme="0"/>
                </patternFill>
              </fill>
            </x14:dxf>
          </x14:cfRule>
          <xm:sqref>R59:W59</xm:sqref>
        </x14:conditionalFormatting>
        <x14:conditionalFormatting xmlns:xm="http://schemas.microsoft.com/office/excel/2006/main">
          <x14:cfRule type="expression" priority="113" id="{3C3CB04C-22C1-4A01-B7E8-21070A1520D8}">
            <xm:f>$V$7='Assessment Details'!$N$23</xm:f>
            <x14:dxf>
              <border>
                <left style="thin">
                  <color theme="0"/>
                </left>
                <right style="thin">
                  <color theme="0"/>
                </right>
                <top style="thin">
                  <color theme="0"/>
                </top>
                <bottom style="thin">
                  <color theme="0"/>
                </bottom>
                <vertical/>
                <horizontal/>
              </border>
            </x14:dxf>
          </x14:cfRule>
          <xm:sqref>R59:W59</xm:sqref>
        </x14:conditionalFormatting>
        <x14:conditionalFormatting xmlns:xm="http://schemas.microsoft.com/office/excel/2006/main">
          <x14:cfRule type="expression" priority="97" id="{D71319F3-7949-4144-97F3-0AD512CF187F}">
            <xm:f>$P$7='Assessment Details'!$N$23</xm:f>
            <x14:dxf>
              <font>
                <color theme="0"/>
              </font>
              <fill>
                <patternFill>
                  <bgColor theme="0"/>
                </patternFill>
              </fill>
              <border>
                <vertical/>
                <horizontal/>
              </border>
            </x14:dxf>
          </x14:cfRule>
          <xm:sqref>L67:P67</xm:sqref>
        </x14:conditionalFormatting>
        <x14:conditionalFormatting xmlns:xm="http://schemas.microsoft.com/office/excel/2006/main">
          <x14:cfRule type="expression" priority="96" id="{76A47B27-746E-4339-8F94-E77A786743E0}">
            <xm:f>$P$7='Assessment Details'!$N$23</xm:f>
            <x14:dxf>
              <border>
                <left style="thin">
                  <color theme="0"/>
                </left>
                <right style="thin">
                  <color theme="0"/>
                </right>
                <top style="thin">
                  <color theme="0"/>
                </top>
                <bottom style="thin">
                  <color theme="0"/>
                </bottom>
                <vertical/>
                <horizontal/>
              </border>
            </x14:dxf>
          </x14:cfRule>
          <xm:sqref>L67:P67</xm:sqref>
        </x14:conditionalFormatting>
        <x14:conditionalFormatting xmlns:xm="http://schemas.microsoft.com/office/excel/2006/main">
          <x14:cfRule type="expression" priority="95" id="{3C88DD8A-48FB-4D8E-9F01-75AC0B00353F}">
            <xm:f>$V$7='Assessment Details'!$N$23</xm:f>
            <x14:dxf>
              <font>
                <color theme="0"/>
              </font>
              <fill>
                <patternFill>
                  <bgColor theme="0"/>
                </patternFill>
              </fill>
            </x14:dxf>
          </x14:cfRule>
          <xm:sqref>R67:W67</xm:sqref>
        </x14:conditionalFormatting>
        <x14:conditionalFormatting xmlns:xm="http://schemas.microsoft.com/office/excel/2006/main">
          <x14:cfRule type="expression" priority="94" id="{1286956C-CC09-441C-86AE-CFF47471DE23}">
            <xm:f>$V$7='Assessment Details'!$N$23</xm:f>
            <x14:dxf>
              <border>
                <left style="thin">
                  <color theme="0"/>
                </left>
                <right style="thin">
                  <color theme="0"/>
                </right>
                <top style="thin">
                  <color theme="0"/>
                </top>
                <bottom style="thin">
                  <color theme="0"/>
                </bottom>
                <vertical/>
                <horizontal/>
              </border>
            </x14:dxf>
          </x14:cfRule>
          <xm:sqref>R67:W67</xm:sqref>
        </x14:conditionalFormatting>
        <x14:conditionalFormatting xmlns:xm="http://schemas.microsoft.com/office/excel/2006/main">
          <x14:cfRule type="expression" priority="78" id="{9DD5AF7C-D5F4-4193-9E4C-DCA0AD860097}">
            <xm:f>$P$7='Assessment Details'!$N$23</xm:f>
            <x14:dxf>
              <font>
                <color theme="0"/>
              </font>
              <fill>
                <patternFill>
                  <bgColor theme="0"/>
                </patternFill>
              </fill>
              <border>
                <vertical/>
                <horizontal/>
              </border>
            </x14:dxf>
          </x14:cfRule>
          <xm:sqref>L74:P74</xm:sqref>
        </x14:conditionalFormatting>
        <x14:conditionalFormatting xmlns:xm="http://schemas.microsoft.com/office/excel/2006/main">
          <x14:cfRule type="expression" priority="77" id="{363611CB-70E3-489C-A235-49B42E712B9F}">
            <xm:f>$P$7='Assessment Details'!$N$23</xm:f>
            <x14:dxf>
              <border>
                <left style="thin">
                  <color theme="0"/>
                </left>
                <right style="thin">
                  <color theme="0"/>
                </right>
                <top style="thin">
                  <color theme="0"/>
                </top>
                <bottom style="thin">
                  <color theme="0"/>
                </bottom>
                <vertical/>
                <horizontal/>
              </border>
            </x14:dxf>
          </x14:cfRule>
          <xm:sqref>L74:P74</xm:sqref>
        </x14:conditionalFormatting>
        <x14:conditionalFormatting xmlns:xm="http://schemas.microsoft.com/office/excel/2006/main">
          <x14:cfRule type="expression" priority="76" id="{A3037ADF-4022-44D7-BB2B-9D52F17187B1}">
            <xm:f>$V$7='Assessment Details'!$N$23</xm:f>
            <x14:dxf>
              <font>
                <color theme="0"/>
              </font>
              <fill>
                <patternFill>
                  <bgColor theme="0"/>
                </patternFill>
              </fill>
            </x14:dxf>
          </x14:cfRule>
          <xm:sqref>R74:W74</xm:sqref>
        </x14:conditionalFormatting>
        <x14:conditionalFormatting xmlns:xm="http://schemas.microsoft.com/office/excel/2006/main">
          <x14:cfRule type="expression" priority="75" id="{F116CB90-896E-4F32-BEFD-C36B9294F018}">
            <xm:f>$V$7='Assessment Details'!$N$23</xm:f>
            <x14:dxf>
              <border>
                <left style="thin">
                  <color theme="0"/>
                </left>
                <right style="thin">
                  <color theme="0"/>
                </right>
                <top style="thin">
                  <color theme="0"/>
                </top>
                <bottom style="thin">
                  <color theme="0"/>
                </bottom>
                <vertical/>
                <horizontal/>
              </border>
            </x14:dxf>
          </x14:cfRule>
          <xm:sqref>R74:W74</xm:sqref>
        </x14:conditionalFormatting>
        <x14:conditionalFormatting xmlns:xm="http://schemas.microsoft.com/office/excel/2006/main">
          <x14:cfRule type="expression" priority="59" id="{F1F2E530-1209-4985-8F8F-1E57B2EC1B0C}">
            <xm:f>$P$7='Assessment Details'!$N$23</xm:f>
            <x14:dxf>
              <font>
                <color theme="0"/>
              </font>
              <fill>
                <patternFill>
                  <bgColor theme="0"/>
                </patternFill>
              </fill>
              <border>
                <vertical/>
                <horizontal/>
              </border>
            </x14:dxf>
          </x14:cfRule>
          <xm:sqref>L82:P82</xm:sqref>
        </x14:conditionalFormatting>
        <x14:conditionalFormatting xmlns:xm="http://schemas.microsoft.com/office/excel/2006/main">
          <x14:cfRule type="expression" priority="58" id="{D99E0CA1-7118-4F9E-A25B-D6ACB16C44C5}">
            <xm:f>$P$7='Assessment Details'!$N$23</xm:f>
            <x14:dxf>
              <border>
                <left style="thin">
                  <color theme="0"/>
                </left>
                <right style="thin">
                  <color theme="0"/>
                </right>
                <top style="thin">
                  <color theme="0"/>
                </top>
                <bottom style="thin">
                  <color theme="0"/>
                </bottom>
                <vertical/>
                <horizontal/>
              </border>
            </x14:dxf>
          </x14:cfRule>
          <xm:sqref>L82:P82</xm:sqref>
        </x14:conditionalFormatting>
        <x14:conditionalFormatting xmlns:xm="http://schemas.microsoft.com/office/excel/2006/main">
          <x14:cfRule type="expression" priority="57" id="{488F13BD-7120-4854-92D1-6AB15D063742}">
            <xm:f>$V$7='Assessment Details'!$N$23</xm:f>
            <x14:dxf>
              <font>
                <color theme="0"/>
              </font>
              <fill>
                <patternFill>
                  <bgColor theme="0"/>
                </patternFill>
              </fill>
            </x14:dxf>
          </x14:cfRule>
          <xm:sqref>R82:W82</xm:sqref>
        </x14:conditionalFormatting>
        <x14:conditionalFormatting xmlns:xm="http://schemas.microsoft.com/office/excel/2006/main">
          <x14:cfRule type="expression" priority="56" id="{966DB589-0906-41CB-843B-6FD638BF8356}">
            <xm:f>$V$7='Assessment Details'!$N$23</xm:f>
            <x14:dxf>
              <border>
                <left style="thin">
                  <color theme="0"/>
                </left>
                <right style="thin">
                  <color theme="0"/>
                </right>
                <top style="thin">
                  <color theme="0"/>
                </top>
                <bottom style="thin">
                  <color theme="0"/>
                </bottom>
                <vertical/>
                <horizontal/>
              </border>
            </x14:dxf>
          </x14:cfRule>
          <xm:sqref>R82:W82</xm:sqref>
        </x14:conditionalFormatting>
        <x14:conditionalFormatting xmlns:xm="http://schemas.microsoft.com/office/excel/2006/main">
          <x14:cfRule type="expression" priority="40" id="{E559EF27-A565-4CE5-82E0-49EB749AB7DC}">
            <xm:f>$P$7='Assessment Details'!$N$23</xm:f>
            <x14:dxf>
              <font>
                <color theme="0"/>
              </font>
              <fill>
                <patternFill>
                  <bgColor theme="0"/>
                </patternFill>
              </fill>
              <border>
                <vertical/>
                <horizontal/>
              </border>
            </x14:dxf>
          </x14:cfRule>
          <xm:sqref>L90:P90</xm:sqref>
        </x14:conditionalFormatting>
        <x14:conditionalFormatting xmlns:xm="http://schemas.microsoft.com/office/excel/2006/main">
          <x14:cfRule type="expression" priority="39" id="{3F551598-63E0-4230-87E0-C7E12A7A92A7}">
            <xm:f>$P$7='Assessment Details'!$N$23</xm:f>
            <x14:dxf>
              <border>
                <left style="thin">
                  <color theme="0"/>
                </left>
                <right style="thin">
                  <color theme="0"/>
                </right>
                <top style="thin">
                  <color theme="0"/>
                </top>
                <bottom style="thin">
                  <color theme="0"/>
                </bottom>
                <vertical/>
                <horizontal/>
              </border>
            </x14:dxf>
          </x14:cfRule>
          <xm:sqref>L90:P90</xm:sqref>
        </x14:conditionalFormatting>
        <x14:conditionalFormatting xmlns:xm="http://schemas.microsoft.com/office/excel/2006/main">
          <x14:cfRule type="expression" priority="38" id="{8C833DE1-D3B7-4FC5-BCAF-B680478BF265}">
            <xm:f>$V$7='Assessment Details'!$N$23</xm:f>
            <x14:dxf>
              <font>
                <color theme="0"/>
              </font>
              <fill>
                <patternFill>
                  <bgColor theme="0"/>
                </patternFill>
              </fill>
            </x14:dxf>
          </x14:cfRule>
          <xm:sqref>R90:W90</xm:sqref>
        </x14:conditionalFormatting>
        <x14:conditionalFormatting xmlns:xm="http://schemas.microsoft.com/office/excel/2006/main">
          <x14:cfRule type="expression" priority="37" id="{03FECB25-F5AC-46F8-A6C5-92A112BD3CD1}">
            <xm:f>$V$7='Assessment Details'!$N$23</xm:f>
            <x14:dxf>
              <border>
                <left style="thin">
                  <color theme="0"/>
                </left>
                <right style="thin">
                  <color theme="0"/>
                </right>
                <top style="thin">
                  <color theme="0"/>
                </top>
                <bottom style="thin">
                  <color theme="0"/>
                </bottom>
                <vertical/>
                <horizontal/>
              </border>
            </x14:dxf>
          </x14:cfRule>
          <xm:sqref>R90:W90</xm:sqref>
        </x14:conditionalFormatting>
        <x14:conditionalFormatting xmlns:xm="http://schemas.microsoft.com/office/excel/2006/main">
          <x14:cfRule type="expression" priority="35" id="{06AF455A-119C-4748-B1A1-ED9BEB37CC91}">
            <xm:f>$P$7='Assessment Details'!$N$23</xm:f>
            <x14:dxf>
              <font>
                <color theme="0"/>
              </font>
              <fill>
                <patternFill>
                  <bgColor theme="0"/>
                </patternFill>
              </fill>
              <border>
                <vertical/>
                <horizontal/>
              </border>
            </x14:dxf>
          </x14:cfRule>
          <xm:sqref>X10:X16 X49:X51 X18:X29 X31:X42 X44:X47 X53:X58 X60:X66 X68:X73 X75:X81 X83:X89 X91:X100</xm:sqref>
        </x14:conditionalFormatting>
        <x14:conditionalFormatting xmlns:xm="http://schemas.microsoft.com/office/excel/2006/main">
          <x14:cfRule type="expression" priority="34" id="{ABC7A8A1-D163-4453-877A-191135E5288E}">
            <xm:f>$P$7='Assessment Details'!$N$23</xm:f>
            <x14:dxf>
              <border>
                <left style="thin">
                  <color theme="0"/>
                </left>
                <right style="thin">
                  <color theme="0"/>
                </right>
                <top style="thin">
                  <color theme="0"/>
                </top>
                <bottom style="thin">
                  <color theme="0"/>
                </bottom>
                <vertical/>
                <horizontal/>
              </border>
            </x14:dxf>
          </x14:cfRule>
          <xm:sqref>X10:X16 X49:X51 X18:X29 X31:X42 X44:X47 X53:X58 X60:X66 X68:X73 X75:X81 X83:X89 X91:X100</xm:sqref>
        </x14:conditionalFormatting>
        <x14:conditionalFormatting xmlns:xm="http://schemas.microsoft.com/office/excel/2006/main">
          <x14:cfRule type="expression" priority="33" id="{D4A1FB8B-9A6F-4D5A-87DE-8437C2FEA5F4}">
            <xm:f>$P$7='Assessment Details'!$N$23</xm:f>
            <x14:dxf>
              <font>
                <color theme="0"/>
              </font>
              <fill>
                <patternFill>
                  <bgColor theme="0"/>
                </patternFill>
              </fill>
              <border>
                <vertical/>
                <horizontal/>
              </border>
            </x14:dxf>
          </x14:cfRule>
          <xm:sqref>X48</xm:sqref>
        </x14:conditionalFormatting>
        <x14:conditionalFormatting xmlns:xm="http://schemas.microsoft.com/office/excel/2006/main">
          <x14:cfRule type="expression" priority="32" id="{702E3ADF-3980-4B25-89A5-EF096DCCD8F6}">
            <xm:f>$P$7='Assessment Details'!$N$23</xm:f>
            <x14:dxf>
              <border>
                <left style="thin">
                  <color theme="0"/>
                </left>
                <right style="thin">
                  <color theme="0"/>
                </right>
                <top style="thin">
                  <color theme="0"/>
                </top>
                <bottom style="thin">
                  <color theme="0"/>
                </bottom>
                <vertical/>
                <horizontal/>
              </border>
            </x14:dxf>
          </x14:cfRule>
          <xm:sqref>X48</xm:sqref>
        </x14:conditionalFormatting>
        <x14:conditionalFormatting xmlns:xm="http://schemas.microsoft.com/office/excel/2006/main">
          <x14:cfRule type="expression" priority="30" id="{258B7964-1DDD-42CC-8176-865BF7F43F24}">
            <xm:f>$P$7='Assessment Details'!$N$23</xm:f>
            <x14:dxf>
              <font>
                <color theme="0"/>
              </font>
              <fill>
                <patternFill>
                  <bgColor theme="0"/>
                </patternFill>
              </fill>
              <border>
                <vertical/>
                <horizontal/>
              </border>
            </x14:dxf>
          </x14:cfRule>
          <xm:sqref>X9</xm:sqref>
        </x14:conditionalFormatting>
        <x14:conditionalFormatting xmlns:xm="http://schemas.microsoft.com/office/excel/2006/main">
          <x14:cfRule type="expression" priority="29" id="{7BB3A65E-2FFF-4780-BA07-E396F8C92B2F}">
            <xm:f>$P$7='Assessment Details'!$N$23</xm:f>
            <x14:dxf>
              <border>
                <left style="thin">
                  <color theme="0"/>
                </left>
                <right style="thin">
                  <color theme="0"/>
                </right>
                <top style="thin">
                  <color theme="0"/>
                </top>
                <bottom style="thin">
                  <color theme="0"/>
                </bottom>
                <vertical/>
                <horizontal/>
              </border>
            </x14:dxf>
          </x14:cfRule>
          <xm:sqref>X9</xm:sqref>
        </x14:conditionalFormatting>
        <x14:conditionalFormatting xmlns:xm="http://schemas.microsoft.com/office/excel/2006/main">
          <x14:cfRule type="expression" priority="27" id="{779EE763-74DF-4BD9-9F1F-3F97AD73E70F}">
            <xm:f>$P$7='Assessment Details'!$N$23</xm:f>
            <x14:dxf>
              <font>
                <color theme="0"/>
              </font>
              <fill>
                <patternFill>
                  <bgColor theme="0"/>
                </patternFill>
              </fill>
              <border>
                <vertical/>
                <horizontal/>
              </border>
            </x14:dxf>
          </x14:cfRule>
          <xm:sqref>X17</xm:sqref>
        </x14:conditionalFormatting>
        <x14:conditionalFormatting xmlns:xm="http://schemas.microsoft.com/office/excel/2006/main">
          <x14:cfRule type="expression" priority="26" id="{F92D0C3A-CBEC-4FCE-86A8-17D840D00825}">
            <xm:f>$P$7='Assessment Details'!$N$23</xm:f>
            <x14:dxf>
              <border>
                <left style="thin">
                  <color theme="0"/>
                </left>
                <right style="thin">
                  <color theme="0"/>
                </right>
                <top style="thin">
                  <color theme="0"/>
                </top>
                <bottom style="thin">
                  <color theme="0"/>
                </bottom>
                <vertical/>
                <horizontal/>
              </border>
            </x14:dxf>
          </x14:cfRule>
          <xm:sqref>X17</xm:sqref>
        </x14:conditionalFormatting>
        <x14:conditionalFormatting xmlns:xm="http://schemas.microsoft.com/office/excel/2006/main">
          <x14:cfRule type="expression" priority="24" id="{027B81C1-6272-451D-B4B8-47058050C058}">
            <xm:f>$P$7='Assessment Details'!$N$23</xm:f>
            <x14:dxf>
              <font>
                <color theme="0"/>
              </font>
              <fill>
                <patternFill>
                  <bgColor theme="0"/>
                </patternFill>
              </fill>
              <border>
                <vertical/>
                <horizontal/>
              </border>
            </x14:dxf>
          </x14:cfRule>
          <xm:sqref>X30</xm:sqref>
        </x14:conditionalFormatting>
        <x14:conditionalFormatting xmlns:xm="http://schemas.microsoft.com/office/excel/2006/main">
          <x14:cfRule type="expression" priority="23" id="{4D3B5EA4-9B11-4F47-A1E2-053463420900}">
            <xm:f>$P$7='Assessment Details'!$N$23</xm:f>
            <x14:dxf>
              <border>
                <left style="thin">
                  <color theme="0"/>
                </left>
                <right style="thin">
                  <color theme="0"/>
                </right>
                <top style="thin">
                  <color theme="0"/>
                </top>
                <bottom style="thin">
                  <color theme="0"/>
                </bottom>
                <vertical/>
                <horizontal/>
              </border>
            </x14:dxf>
          </x14:cfRule>
          <xm:sqref>X30</xm:sqref>
        </x14:conditionalFormatting>
        <x14:conditionalFormatting xmlns:xm="http://schemas.microsoft.com/office/excel/2006/main">
          <x14:cfRule type="expression" priority="21" id="{D1977690-7C99-4F9A-A385-8225523AE7C5}">
            <xm:f>$P$7='Assessment Details'!$N$23</xm:f>
            <x14:dxf>
              <font>
                <color theme="0"/>
              </font>
              <fill>
                <patternFill>
                  <bgColor theme="0"/>
                </patternFill>
              </fill>
              <border>
                <vertical/>
                <horizontal/>
              </border>
            </x14:dxf>
          </x14:cfRule>
          <xm:sqref>X43</xm:sqref>
        </x14:conditionalFormatting>
        <x14:conditionalFormatting xmlns:xm="http://schemas.microsoft.com/office/excel/2006/main">
          <x14:cfRule type="expression" priority="20" id="{02B16B7F-9900-4D08-AD13-3051DACA57E6}">
            <xm:f>$P$7='Assessment Details'!$N$23</xm:f>
            <x14:dxf>
              <border>
                <left style="thin">
                  <color theme="0"/>
                </left>
                <right style="thin">
                  <color theme="0"/>
                </right>
                <top style="thin">
                  <color theme="0"/>
                </top>
                <bottom style="thin">
                  <color theme="0"/>
                </bottom>
                <vertical/>
                <horizontal/>
              </border>
            </x14:dxf>
          </x14:cfRule>
          <xm:sqref>X43</xm:sqref>
        </x14:conditionalFormatting>
        <x14:conditionalFormatting xmlns:xm="http://schemas.microsoft.com/office/excel/2006/main">
          <x14:cfRule type="expression" priority="18" id="{851B2D0E-EE59-432B-86AE-4FC98C58D018}">
            <xm:f>$P$7='Assessment Details'!$N$23</xm:f>
            <x14:dxf>
              <font>
                <color theme="0"/>
              </font>
              <fill>
                <patternFill>
                  <bgColor theme="0"/>
                </patternFill>
              </fill>
              <border>
                <vertical/>
                <horizontal/>
              </border>
            </x14:dxf>
          </x14:cfRule>
          <xm:sqref>X52</xm:sqref>
        </x14:conditionalFormatting>
        <x14:conditionalFormatting xmlns:xm="http://schemas.microsoft.com/office/excel/2006/main">
          <x14:cfRule type="expression" priority="17" id="{AF11453C-7B9A-47F5-A23D-103B7E6120F5}">
            <xm:f>$P$7='Assessment Details'!$N$23</xm:f>
            <x14:dxf>
              <border>
                <left style="thin">
                  <color theme="0"/>
                </left>
                <right style="thin">
                  <color theme="0"/>
                </right>
                <top style="thin">
                  <color theme="0"/>
                </top>
                <bottom style="thin">
                  <color theme="0"/>
                </bottom>
                <vertical/>
                <horizontal/>
              </border>
            </x14:dxf>
          </x14:cfRule>
          <xm:sqref>X52</xm:sqref>
        </x14:conditionalFormatting>
        <x14:conditionalFormatting xmlns:xm="http://schemas.microsoft.com/office/excel/2006/main">
          <x14:cfRule type="expression" priority="15" id="{BDA04989-118F-431C-9128-402229EDB742}">
            <xm:f>$P$7='Assessment Details'!$N$23</xm:f>
            <x14:dxf>
              <font>
                <color theme="0"/>
              </font>
              <fill>
                <patternFill>
                  <bgColor theme="0"/>
                </patternFill>
              </fill>
              <border>
                <vertical/>
                <horizontal/>
              </border>
            </x14:dxf>
          </x14:cfRule>
          <xm:sqref>X59</xm:sqref>
        </x14:conditionalFormatting>
        <x14:conditionalFormatting xmlns:xm="http://schemas.microsoft.com/office/excel/2006/main">
          <x14:cfRule type="expression" priority="14" id="{DD27F743-136F-4F86-96CC-24A0C7078F4D}">
            <xm:f>$P$7='Assessment Details'!$N$23</xm:f>
            <x14:dxf>
              <border>
                <left style="thin">
                  <color theme="0"/>
                </left>
                <right style="thin">
                  <color theme="0"/>
                </right>
                <top style="thin">
                  <color theme="0"/>
                </top>
                <bottom style="thin">
                  <color theme="0"/>
                </bottom>
                <vertical/>
                <horizontal/>
              </border>
            </x14:dxf>
          </x14:cfRule>
          <xm:sqref>X59</xm:sqref>
        </x14:conditionalFormatting>
        <x14:conditionalFormatting xmlns:xm="http://schemas.microsoft.com/office/excel/2006/main">
          <x14:cfRule type="expression" priority="12" id="{FF303370-E145-4234-90FB-DE980C45532D}">
            <xm:f>$P$7='Assessment Details'!$N$23</xm:f>
            <x14:dxf>
              <font>
                <color theme="0"/>
              </font>
              <fill>
                <patternFill>
                  <bgColor theme="0"/>
                </patternFill>
              </fill>
              <border>
                <vertical/>
                <horizontal/>
              </border>
            </x14:dxf>
          </x14:cfRule>
          <xm:sqref>X67</xm:sqref>
        </x14:conditionalFormatting>
        <x14:conditionalFormatting xmlns:xm="http://schemas.microsoft.com/office/excel/2006/main">
          <x14:cfRule type="expression" priority="11" id="{2632A259-519C-48E3-8FBB-B6242A1337A6}">
            <xm:f>$P$7='Assessment Details'!$N$23</xm:f>
            <x14:dxf>
              <border>
                <left style="thin">
                  <color theme="0"/>
                </left>
                <right style="thin">
                  <color theme="0"/>
                </right>
                <top style="thin">
                  <color theme="0"/>
                </top>
                <bottom style="thin">
                  <color theme="0"/>
                </bottom>
                <vertical/>
                <horizontal/>
              </border>
            </x14:dxf>
          </x14:cfRule>
          <xm:sqref>X67</xm:sqref>
        </x14:conditionalFormatting>
        <x14:conditionalFormatting xmlns:xm="http://schemas.microsoft.com/office/excel/2006/main">
          <x14:cfRule type="expression" priority="9" id="{187E2EFC-BF3D-45C7-925F-2464160CBCBF}">
            <xm:f>$P$7='Assessment Details'!$N$23</xm:f>
            <x14:dxf>
              <font>
                <color theme="0"/>
              </font>
              <fill>
                <patternFill>
                  <bgColor theme="0"/>
                </patternFill>
              </fill>
              <border>
                <vertical/>
                <horizontal/>
              </border>
            </x14:dxf>
          </x14:cfRule>
          <xm:sqref>X74</xm:sqref>
        </x14:conditionalFormatting>
        <x14:conditionalFormatting xmlns:xm="http://schemas.microsoft.com/office/excel/2006/main">
          <x14:cfRule type="expression" priority="8" id="{3C5F7B95-E605-4AD1-9B8A-92CCF8687D8A}">
            <xm:f>$P$7='Assessment Details'!$N$23</xm:f>
            <x14:dxf>
              <border>
                <left style="thin">
                  <color theme="0"/>
                </left>
                <right style="thin">
                  <color theme="0"/>
                </right>
                <top style="thin">
                  <color theme="0"/>
                </top>
                <bottom style="thin">
                  <color theme="0"/>
                </bottom>
                <vertical/>
                <horizontal/>
              </border>
            </x14:dxf>
          </x14:cfRule>
          <xm:sqref>X74</xm:sqref>
        </x14:conditionalFormatting>
        <x14:conditionalFormatting xmlns:xm="http://schemas.microsoft.com/office/excel/2006/main">
          <x14:cfRule type="expression" priority="6" id="{8312C7E2-5FCA-405D-A25A-378E6A65001A}">
            <xm:f>$P$7='Assessment Details'!$N$23</xm:f>
            <x14:dxf>
              <font>
                <color theme="0"/>
              </font>
              <fill>
                <patternFill>
                  <bgColor theme="0"/>
                </patternFill>
              </fill>
              <border>
                <vertical/>
                <horizontal/>
              </border>
            </x14:dxf>
          </x14:cfRule>
          <xm:sqref>X82</xm:sqref>
        </x14:conditionalFormatting>
        <x14:conditionalFormatting xmlns:xm="http://schemas.microsoft.com/office/excel/2006/main">
          <x14:cfRule type="expression" priority="5" id="{2ABA13B5-80B7-40DC-BBE5-C00321C31963}">
            <xm:f>$P$7='Assessment Details'!$N$23</xm:f>
            <x14:dxf>
              <border>
                <left style="thin">
                  <color theme="0"/>
                </left>
                <right style="thin">
                  <color theme="0"/>
                </right>
                <top style="thin">
                  <color theme="0"/>
                </top>
                <bottom style="thin">
                  <color theme="0"/>
                </bottom>
                <vertical/>
                <horizontal/>
              </border>
            </x14:dxf>
          </x14:cfRule>
          <xm:sqref>X82</xm:sqref>
        </x14:conditionalFormatting>
        <x14:conditionalFormatting xmlns:xm="http://schemas.microsoft.com/office/excel/2006/main">
          <x14:cfRule type="expression" priority="3" id="{A6D317C5-B5ED-435A-990C-B88E15394D9C}">
            <xm:f>$P$7='Assessment Details'!$N$23</xm:f>
            <x14:dxf>
              <font>
                <color theme="0"/>
              </font>
              <fill>
                <patternFill>
                  <bgColor theme="0"/>
                </patternFill>
              </fill>
              <border>
                <vertical/>
                <horizontal/>
              </border>
            </x14:dxf>
          </x14:cfRule>
          <xm:sqref>X90</xm:sqref>
        </x14:conditionalFormatting>
        <x14:conditionalFormatting xmlns:xm="http://schemas.microsoft.com/office/excel/2006/main">
          <x14:cfRule type="expression" priority="2" id="{94E5855F-7FDC-4C62-97F8-C2DC96E16261}">
            <xm:f>$P$7='Assessment Details'!$N$23</xm:f>
            <x14:dxf>
              <border>
                <left style="thin">
                  <color theme="0"/>
                </left>
                <right style="thin">
                  <color theme="0"/>
                </right>
                <top style="thin">
                  <color theme="0"/>
                </top>
                <bottom style="thin">
                  <color theme="0"/>
                </bottom>
                <vertical/>
                <horizontal/>
              </border>
            </x14:dxf>
          </x14:cfRule>
          <xm:sqref>X90</xm:sqref>
        </x14:conditionalFormatting>
        <x14:conditionalFormatting xmlns:xm="http://schemas.microsoft.com/office/excel/2006/main">
          <x14:cfRule type="expression" priority="1" id="{CA85C2F4-B3B6-4EDC-AAA8-13898B5EA085}">
            <xm:f>'Pre-Assessment Estimator'!$AF$4=ais_no</xm:f>
            <x14:dxf>
              <font>
                <color theme="0"/>
              </font>
              <fill>
                <patternFill>
                  <bgColor theme="0"/>
                </patternFill>
              </fill>
              <border>
                <left/>
                <right/>
                <top/>
                <bottom/>
                <vertical/>
                <horizontal/>
              </border>
            </x14:dxf>
          </x14:cfRule>
          <xm:sqref>X9:X100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R73"/>
  <sheetViews>
    <sheetView zoomScaleNormal="100" workbookViewId="0">
      <selection activeCell="U7" sqref="U7"/>
    </sheetView>
  </sheetViews>
  <sheetFormatPr defaultColWidth="9.140625" defaultRowHeight="15" x14ac:dyDescent="0.25"/>
  <cols>
    <col min="1" max="1" width="2.7109375" style="1" customWidth="1"/>
    <col min="2" max="2" width="17" style="1" bestFit="1" customWidth="1"/>
    <col min="3" max="3" width="15.85546875" style="1" customWidth="1"/>
    <col min="4" max="16" width="9.140625" style="1"/>
    <col min="17" max="17" width="3.140625" style="1" customWidth="1"/>
    <col min="18" max="16384" width="9.140625" style="1"/>
  </cols>
  <sheetData>
    <row r="1" spans="1:18" ht="15" customHeight="1" thickBot="1" x14ac:dyDescent="0.3">
      <c r="B1" s="948"/>
      <c r="C1" s="949"/>
      <c r="D1" s="949"/>
      <c r="E1" s="949"/>
      <c r="F1" s="949"/>
      <c r="G1" s="949"/>
      <c r="H1" s="949"/>
      <c r="I1" s="949"/>
      <c r="J1" s="949"/>
      <c r="K1" s="949"/>
      <c r="L1" s="949"/>
    </row>
    <row r="2" spans="1:18" ht="42" customHeight="1" x14ac:dyDescent="0.35">
      <c r="B2" s="954" t="s">
        <v>323</v>
      </c>
      <c r="C2" s="955"/>
      <c r="D2" s="955"/>
      <c r="E2" s="955"/>
      <c r="F2" s="955"/>
      <c r="G2" s="955"/>
      <c r="H2" s="955"/>
      <c r="I2" s="955"/>
      <c r="J2" s="955"/>
      <c r="K2" s="955"/>
      <c r="L2" s="955"/>
      <c r="M2" s="766"/>
      <c r="N2" s="767"/>
      <c r="O2" s="767"/>
      <c r="P2" s="813" t="str">
        <f>IF('Manuell filtrering og justering'!H2='Manuell filtrering og justering'!I2,"Bespoke","")</f>
        <v/>
      </c>
    </row>
    <row r="3" spans="1:18" ht="15" customHeight="1" x14ac:dyDescent="0.25">
      <c r="B3" s="768"/>
      <c r="C3" s="769"/>
      <c r="D3" s="769"/>
      <c r="E3" s="769"/>
      <c r="F3" s="769"/>
      <c r="G3" s="769"/>
      <c r="H3" s="769"/>
      <c r="I3" s="769"/>
      <c r="J3" s="769"/>
      <c r="K3" s="769"/>
      <c r="L3" s="769"/>
      <c r="M3" s="3"/>
      <c r="N3" s="3"/>
      <c r="O3" s="3"/>
      <c r="P3" s="770"/>
    </row>
    <row r="4" spans="1:18" ht="15" customHeight="1" x14ac:dyDescent="0.25">
      <c r="B4" s="771" t="s">
        <v>2</v>
      </c>
      <c r="C4" s="771" t="s">
        <v>6</v>
      </c>
      <c r="D4" s="956" t="s">
        <v>7</v>
      </c>
      <c r="E4" s="957"/>
      <c r="F4" s="957"/>
      <c r="G4" s="957"/>
      <c r="H4" s="957"/>
      <c r="I4" s="957"/>
      <c r="J4" s="957"/>
      <c r="K4" s="957"/>
      <c r="L4" s="957"/>
      <c r="M4" s="957"/>
      <c r="N4" s="957"/>
      <c r="O4" s="957"/>
      <c r="P4" s="958"/>
    </row>
    <row r="5" spans="1:18" ht="63" customHeight="1" x14ac:dyDescent="0.25">
      <c r="B5" s="785" t="s">
        <v>582</v>
      </c>
      <c r="C5" s="773">
        <v>43782</v>
      </c>
      <c r="D5" s="952" t="s">
        <v>583</v>
      </c>
      <c r="E5" s="952"/>
      <c r="F5" s="952"/>
      <c r="G5" s="952"/>
      <c r="H5" s="952"/>
      <c r="I5" s="952"/>
      <c r="J5" s="952"/>
      <c r="K5" s="952"/>
      <c r="L5" s="952"/>
      <c r="M5" s="952"/>
      <c r="N5" s="952"/>
      <c r="O5" s="952"/>
      <c r="P5" s="952"/>
    </row>
    <row r="6" spans="1:18" ht="18.75" customHeight="1" x14ac:dyDescent="0.25">
      <c r="A6" s="3"/>
      <c r="B6" s="774"/>
      <c r="C6" s="775"/>
      <c r="D6" s="776"/>
      <c r="E6" s="776"/>
      <c r="F6" s="776"/>
      <c r="G6" s="776"/>
      <c r="H6" s="776"/>
      <c r="I6" s="776"/>
      <c r="J6" s="776"/>
      <c r="K6" s="776"/>
      <c r="L6" s="776"/>
      <c r="M6" s="776"/>
      <c r="N6" s="777"/>
      <c r="O6" s="777"/>
      <c r="P6" s="777"/>
      <c r="Q6" s="3"/>
      <c r="R6" s="3"/>
    </row>
    <row r="7" spans="1:18" x14ac:dyDescent="0.25">
      <c r="B7" s="778" t="s">
        <v>3</v>
      </c>
      <c r="C7" s="779" t="s">
        <v>6</v>
      </c>
      <c r="D7" s="780" t="s">
        <v>7</v>
      </c>
      <c r="E7" s="781"/>
      <c r="F7" s="781"/>
      <c r="G7" s="781"/>
      <c r="H7" s="781"/>
      <c r="I7" s="781"/>
      <c r="J7" s="781"/>
      <c r="K7" s="781"/>
      <c r="L7" s="781"/>
      <c r="M7" s="781"/>
      <c r="N7" s="781"/>
      <c r="O7" s="781"/>
      <c r="P7" s="782"/>
    </row>
    <row r="8" spans="1:18" x14ac:dyDescent="0.25">
      <c r="B8" s="785" t="s">
        <v>521</v>
      </c>
      <c r="C8" s="773">
        <v>43342</v>
      </c>
      <c r="D8" s="952" t="s">
        <v>520</v>
      </c>
      <c r="E8" s="952"/>
      <c r="F8" s="952"/>
      <c r="G8" s="952"/>
      <c r="H8" s="952"/>
      <c r="I8" s="952"/>
      <c r="J8" s="952"/>
      <c r="K8" s="952"/>
      <c r="L8" s="952"/>
      <c r="M8" s="952"/>
      <c r="N8" s="952"/>
      <c r="O8" s="952"/>
      <c r="P8" s="952"/>
    </row>
    <row r="9" spans="1:18" ht="24" customHeight="1" x14ac:dyDescent="0.25">
      <c r="B9" s="772" t="s">
        <v>511</v>
      </c>
      <c r="C9" s="773">
        <v>43125</v>
      </c>
      <c r="D9" s="952" t="s">
        <v>512</v>
      </c>
      <c r="E9" s="952"/>
      <c r="F9" s="952"/>
      <c r="G9" s="952"/>
      <c r="H9" s="952"/>
      <c r="I9" s="952"/>
      <c r="J9" s="952"/>
      <c r="K9" s="952"/>
      <c r="L9" s="952"/>
      <c r="M9" s="952"/>
      <c r="N9" s="952"/>
      <c r="O9" s="952"/>
      <c r="P9" s="952"/>
    </row>
    <row r="10" spans="1:18" ht="51.75" customHeight="1" x14ac:dyDescent="0.25">
      <c r="B10" s="772" t="s">
        <v>500</v>
      </c>
      <c r="C10" s="773">
        <v>43117</v>
      </c>
      <c r="D10" s="952" t="s">
        <v>510</v>
      </c>
      <c r="E10" s="952"/>
      <c r="F10" s="952"/>
      <c r="G10" s="952"/>
      <c r="H10" s="952"/>
      <c r="I10" s="952"/>
      <c r="J10" s="952"/>
      <c r="K10" s="952"/>
      <c r="L10" s="952"/>
      <c r="M10" s="952"/>
      <c r="N10" s="952"/>
      <c r="O10" s="952"/>
      <c r="P10" s="952"/>
    </row>
    <row r="11" spans="1:18" ht="99.75" customHeight="1" x14ac:dyDescent="0.25">
      <c r="B11" s="783" t="s">
        <v>395</v>
      </c>
      <c r="C11" s="784">
        <v>42825</v>
      </c>
      <c r="D11" s="959" t="s">
        <v>504</v>
      </c>
      <c r="E11" s="960"/>
      <c r="F11" s="960"/>
      <c r="G11" s="960"/>
      <c r="H11" s="960"/>
      <c r="I11" s="960"/>
      <c r="J11" s="960"/>
      <c r="K11" s="960"/>
      <c r="L11" s="960"/>
      <c r="M11" s="960"/>
      <c r="N11" s="960"/>
      <c r="O11" s="960"/>
      <c r="P11" s="960"/>
    </row>
    <row r="12" spans="1:18" ht="30" customHeight="1" x14ac:dyDescent="0.25">
      <c r="B12" s="785" t="s">
        <v>390</v>
      </c>
      <c r="C12" s="773">
        <v>42689</v>
      </c>
      <c r="D12" s="953" t="s">
        <v>396</v>
      </c>
      <c r="E12" s="953"/>
      <c r="F12" s="953"/>
      <c r="G12" s="953"/>
      <c r="H12" s="953"/>
      <c r="I12" s="953"/>
      <c r="J12" s="953"/>
      <c r="K12" s="953"/>
      <c r="L12" s="953"/>
      <c r="M12" s="953"/>
      <c r="N12" s="953"/>
      <c r="O12" s="953"/>
      <c r="P12" s="953"/>
    </row>
    <row r="13" spans="1:18" ht="30" customHeight="1" x14ac:dyDescent="0.25">
      <c r="B13" s="785" t="s">
        <v>389</v>
      </c>
      <c r="C13" s="773">
        <v>42643</v>
      </c>
      <c r="D13" s="950" t="s">
        <v>397</v>
      </c>
      <c r="E13" s="951"/>
      <c r="F13" s="951"/>
      <c r="G13" s="951"/>
      <c r="H13" s="951"/>
      <c r="I13" s="951"/>
      <c r="J13" s="951"/>
      <c r="K13" s="951"/>
      <c r="L13" s="951"/>
      <c r="M13" s="951"/>
      <c r="N13" s="951"/>
      <c r="O13" s="951"/>
      <c r="P13" s="951"/>
    </row>
    <row r="14" spans="1:18" x14ac:dyDescent="0.25">
      <c r="B14" s="783" t="s">
        <v>385</v>
      </c>
      <c r="C14" s="784">
        <v>42639</v>
      </c>
      <c r="D14" s="961" t="s">
        <v>386</v>
      </c>
      <c r="E14" s="960"/>
      <c r="F14" s="960"/>
      <c r="G14" s="960"/>
      <c r="H14" s="960"/>
      <c r="I14" s="960"/>
      <c r="J14" s="960"/>
      <c r="K14" s="960"/>
      <c r="L14" s="960"/>
      <c r="M14" s="960"/>
      <c r="N14" s="960"/>
      <c r="O14" s="960"/>
      <c r="P14" s="960"/>
    </row>
    <row r="15" spans="1:18" x14ac:dyDescent="0.25">
      <c r="B15" s="783" t="s">
        <v>388</v>
      </c>
      <c r="C15" s="784">
        <v>42613</v>
      </c>
      <c r="D15" s="961" t="s">
        <v>387</v>
      </c>
      <c r="E15" s="960"/>
      <c r="F15" s="960"/>
      <c r="G15" s="960"/>
      <c r="H15" s="960"/>
      <c r="I15" s="960"/>
      <c r="J15" s="960"/>
      <c r="K15" s="960"/>
      <c r="L15" s="960"/>
      <c r="M15" s="960"/>
      <c r="N15" s="960"/>
      <c r="O15" s="960"/>
      <c r="P15" s="960"/>
    </row>
    <row r="16" spans="1:18" x14ac:dyDescent="0.25">
      <c r="B16" s="783"/>
      <c r="C16" s="784"/>
      <c r="D16" s="959"/>
      <c r="E16" s="960"/>
      <c r="F16" s="960"/>
      <c r="G16" s="960"/>
      <c r="H16" s="960"/>
      <c r="I16" s="960"/>
      <c r="J16" s="960"/>
      <c r="K16" s="960"/>
      <c r="L16" s="960"/>
      <c r="M16" s="960"/>
      <c r="N16" s="960"/>
      <c r="O16" s="960"/>
      <c r="P16" s="960"/>
    </row>
    <row r="17" spans="2:16" ht="13.5" customHeight="1" x14ac:dyDescent="0.25">
      <c r="B17" s="783"/>
      <c r="C17" s="784"/>
      <c r="D17" s="959"/>
      <c r="E17" s="960"/>
      <c r="F17" s="960"/>
      <c r="G17" s="960"/>
      <c r="H17" s="960"/>
      <c r="I17" s="960"/>
      <c r="J17" s="960"/>
      <c r="K17" s="960"/>
      <c r="L17" s="960"/>
      <c r="M17" s="960"/>
      <c r="N17" s="960"/>
      <c r="O17" s="960"/>
      <c r="P17" s="960"/>
    </row>
    <row r="18" spans="2:16" x14ac:dyDescent="0.25">
      <c r="B18" s="783"/>
      <c r="C18" s="784"/>
      <c r="D18" s="959"/>
      <c r="E18" s="960"/>
      <c r="F18" s="960"/>
      <c r="G18" s="960"/>
      <c r="H18" s="960"/>
      <c r="I18" s="960"/>
      <c r="J18" s="960"/>
      <c r="K18" s="960"/>
      <c r="L18" s="960"/>
      <c r="M18" s="960"/>
      <c r="N18" s="960"/>
      <c r="O18" s="960"/>
      <c r="P18" s="960"/>
    </row>
    <row r="19" spans="2:16" x14ac:dyDescent="0.25">
      <c r="B19" s="786"/>
      <c r="C19" s="786"/>
      <c r="D19" s="786"/>
      <c r="E19" s="786"/>
      <c r="F19" s="786"/>
      <c r="G19" s="786"/>
      <c r="H19" s="786"/>
      <c r="I19" s="786"/>
      <c r="J19" s="786"/>
      <c r="K19" s="786"/>
      <c r="L19" s="786"/>
      <c r="M19" s="786"/>
      <c r="N19" s="786"/>
      <c r="O19" s="786"/>
      <c r="P19" s="786"/>
    </row>
    <row r="20" spans="2:16" x14ac:dyDescent="0.25">
      <c r="B20" s="786"/>
      <c r="C20" s="786"/>
      <c r="D20" s="786"/>
      <c r="E20" s="786"/>
      <c r="F20" s="786"/>
      <c r="G20" s="786"/>
      <c r="H20" s="786"/>
      <c r="I20" s="786"/>
      <c r="J20" s="786"/>
      <c r="K20" s="786"/>
      <c r="L20" s="786"/>
      <c r="M20" s="786"/>
      <c r="N20" s="786"/>
      <c r="O20" s="786"/>
      <c r="P20" s="786"/>
    </row>
    <row r="21" spans="2:16" x14ac:dyDescent="0.25">
      <c r="B21" s="786"/>
      <c r="C21" s="786"/>
      <c r="D21" s="786"/>
      <c r="E21" s="786"/>
      <c r="F21" s="786"/>
      <c r="G21" s="786"/>
      <c r="H21" s="786"/>
      <c r="I21" s="786"/>
      <c r="J21" s="786"/>
      <c r="K21" s="786"/>
      <c r="L21" s="786"/>
      <c r="M21" s="786"/>
      <c r="N21" s="786"/>
      <c r="O21" s="786"/>
      <c r="P21" s="786"/>
    </row>
    <row r="22" spans="2:16" x14ac:dyDescent="0.25">
      <c r="B22" s="786"/>
      <c r="C22" s="786"/>
      <c r="D22" s="786"/>
      <c r="E22" s="786"/>
      <c r="F22" s="786"/>
      <c r="G22" s="786"/>
      <c r="H22" s="786"/>
      <c r="I22" s="786"/>
      <c r="J22" s="786"/>
      <c r="K22" s="786"/>
      <c r="L22" s="786"/>
      <c r="M22" s="786"/>
      <c r="N22" s="786"/>
      <c r="O22" s="786"/>
      <c r="P22" s="786"/>
    </row>
    <row r="23" spans="2:16" x14ac:dyDescent="0.25">
      <c r="B23" s="786"/>
      <c r="C23" s="786"/>
      <c r="D23" s="786"/>
      <c r="E23" s="786"/>
      <c r="F23" s="786"/>
      <c r="G23" s="786"/>
      <c r="H23" s="786"/>
      <c r="I23" s="786"/>
      <c r="J23" s="786"/>
      <c r="K23" s="786"/>
      <c r="L23" s="786"/>
      <c r="M23" s="786"/>
      <c r="N23" s="786"/>
      <c r="O23" s="786"/>
      <c r="P23" s="786"/>
    </row>
    <row r="24" spans="2:16" x14ac:dyDescent="0.25">
      <c r="B24" s="786"/>
      <c r="C24" s="786"/>
      <c r="D24" s="786"/>
      <c r="E24" s="786"/>
      <c r="F24" s="786"/>
      <c r="G24" s="786"/>
      <c r="H24" s="786"/>
      <c r="I24" s="786"/>
      <c r="J24" s="786"/>
      <c r="K24" s="786"/>
      <c r="L24" s="786"/>
      <c r="M24" s="786"/>
      <c r="N24" s="786"/>
      <c r="O24" s="786"/>
      <c r="P24" s="786"/>
    </row>
    <row r="25" spans="2:16" x14ac:dyDescent="0.25">
      <c r="B25" s="786"/>
      <c r="C25" s="786"/>
      <c r="D25" s="786"/>
      <c r="E25" s="786"/>
      <c r="F25" s="786"/>
      <c r="G25" s="786"/>
      <c r="H25" s="786"/>
      <c r="I25" s="786"/>
      <c r="J25" s="786"/>
      <c r="K25" s="786"/>
      <c r="L25" s="786"/>
      <c r="M25" s="786"/>
      <c r="N25" s="786"/>
      <c r="O25" s="786"/>
      <c r="P25" s="786"/>
    </row>
    <row r="26" spans="2:16" x14ac:dyDescent="0.25">
      <c r="B26" s="786"/>
      <c r="C26" s="786"/>
      <c r="D26" s="786"/>
      <c r="E26" s="786"/>
      <c r="F26" s="786"/>
      <c r="G26" s="786"/>
      <c r="H26" s="786"/>
      <c r="I26" s="786"/>
      <c r="J26" s="786"/>
      <c r="K26" s="786"/>
      <c r="L26" s="786"/>
      <c r="M26" s="786"/>
      <c r="N26" s="786"/>
      <c r="O26" s="786"/>
      <c r="P26" s="786"/>
    </row>
    <row r="27" spans="2:16" x14ac:dyDescent="0.25">
      <c r="B27" s="3"/>
      <c r="C27" s="3"/>
      <c r="D27" s="3"/>
      <c r="E27" s="3"/>
      <c r="F27" s="3"/>
      <c r="G27" s="3"/>
      <c r="H27" s="3"/>
      <c r="I27" s="3"/>
      <c r="J27" s="3"/>
      <c r="K27" s="3"/>
      <c r="L27" s="3"/>
      <c r="M27" s="3"/>
      <c r="N27" s="3"/>
      <c r="O27" s="3"/>
      <c r="P27" s="3"/>
    </row>
    <row r="28" spans="2:16" x14ac:dyDescent="0.25">
      <c r="B28" s="3"/>
      <c r="C28" s="3"/>
      <c r="D28" s="3"/>
      <c r="E28" s="3"/>
      <c r="F28" s="3"/>
      <c r="G28" s="3"/>
      <c r="H28" s="3"/>
      <c r="I28" s="3"/>
      <c r="J28" s="3"/>
      <c r="K28" s="3"/>
      <c r="L28" s="3"/>
      <c r="M28" s="3"/>
      <c r="N28" s="3"/>
      <c r="O28" s="3"/>
      <c r="P28" s="3"/>
    </row>
    <row r="29" spans="2:16" x14ac:dyDescent="0.25">
      <c r="B29" s="3"/>
      <c r="C29" s="3"/>
      <c r="D29" s="3"/>
      <c r="E29" s="3"/>
      <c r="F29" s="3"/>
      <c r="G29" s="3"/>
      <c r="H29" s="3"/>
      <c r="I29" s="3"/>
      <c r="J29" s="3"/>
      <c r="K29" s="3"/>
      <c r="L29" s="3"/>
      <c r="M29" s="3"/>
      <c r="N29" s="3"/>
      <c r="O29" s="3"/>
      <c r="P29" s="3"/>
    </row>
    <row r="30" spans="2:16" x14ac:dyDescent="0.25">
      <c r="B30" s="3"/>
      <c r="C30" s="3"/>
      <c r="D30" s="3"/>
      <c r="E30" s="3"/>
      <c r="F30" s="3"/>
      <c r="G30" s="3"/>
      <c r="H30" s="3"/>
      <c r="I30" s="3"/>
      <c r="J30" s="3"/>
      <c r="K30" s="3"/>
      <c r="L30" s="3"/>
      <c r="M30" s="3"/>
      <c r="N30" s="3"/>
      <c r="O30" s="3"/>
      <c r="P30" s="3"/>
    </row>
    <row r="31" spans="2:16" x14ac:dyDescent="0.25">
      <c r="B31" s="3"/>
      <c r="C31" s="3"/>
      <c r="D31" s="3"/>
      <c r="E31" s="3"/>
      <c r="F31" s="3"/>
      <c r="G31" s="3"/>
      <c r="H31" s="3"/>
      <c r="I31" s="3"/>
      <c r="J31" s="3"/>
      <c r="K31" s="3"/>
      <c r="L31" s="3"/>
      <c r="M31" s="3"/>
      <c r="N31" s="3"/>
      <c r="O31" s="3"/>
      <c r="P31" s="3"/>
    </row>
    <row r="32" spans="2:16" x14ac:dyDescent="0.25">
      <c r="B32" s="3"/>
      <c r="C32" s="3"/>
      <c r="D32" s="3"/>
      <c r="E32" s="3"/>
      <c r="F32" s="3"/>
      <c r="G32" s="3"/>
      <c r="H32" s="3"/>
      <c r="I32" s="3"/>
      <c r="J32" s="3"/>
      <c r="K32" s="3"/>
      <c r="L32" s="3"/>
      <c r="M32" s="3"/>
      <c r="N32" s="3"/>
      <c r="O32" s="3"/>
      <c r="P32" s="3"/>
    </row>
    <row r="33" spans="2:16" x14ac:dyDescent="0.25">
      <c r="B33" s="3"/>
      <c r="C33" s="3"/>
      <c r="D33" s="3"/>
      <c r="E33" s="3"/>
      <c r="F33" s="3"/>
      <c r="G33" s="3"/>
      <c r="H33" s="3"/>
      <c r="I33" s="3"/>
      <c r="J33" s="3"/>
      <c r="K33" s="3"/>
      <c r="L33" s="3"/>
      <c r="M33" s="3"/>
      <c r="N33" s="3"/>
      <c r="O33" s="3"/>
      <c r="P33" s="3"/>
    </row>
    <row r="34" spans="2:16" x14ac:dyDescent="0.25">
      <c r="B34" s="3"/>
      <c r="C34" s="3"/>
      <c r="D34" s="3"/>
      <c r="E34" s="3"/>
      <c r="F34" s="3"/>
      <c r="G34" s="3"/>
      <c r="H34" s="3"/>
      <c r="I34" s="3"/>
      <c r="J34" s="3"/>
      <c r="K34" s="3"/>
      <c r="L34" s="3"/>
      <c r="M34" s="3"/>
      <c r="N34" s="3"/>
      <c r="O34" s="3"/>
      <c r="P34" s="3"/>
    </row>
    <row r="35" spans="2:16" x14ac:dyDescent="0.25">
      <c r="B35" s="3"/>
      <c r="C35" s="3"/>
      <c r="D35" s="3"/>
      <c r="E35" s="3"/>
      <c r="F35" s="3"/>
      <c r="G35" s="3"/>
      <c r="H35" s="3"/>
      <c r="I35" s="3"/>
      <c r="J35" s="3"/>
      <c r="K35" s="3"/>
      <c r="L35" s="3"/>
      <c r="M35" s="3"/>
      <c r="N35" s="3"/>
      <c r="O35" s="3"/>
      <c r="P35" s="3"/>
    </row>
    <row r="36" spans="2:16" x14ac:dyDescent="0.25">
      <c r="B36" s="3"/>
      <c r="C36" s="3"/>
      <c r="D36" s="3"/>
      <c r="E36" s="3"/>
      <c r="F36" s="3"/>
      <c r="G36" s="3"/>
      <c r="H36" s="3"/>
      <c r="I36" s="3"/>
      <c r="J36" s="3"/>
      <c r="K36" s="3"/>
      <c r="L36" s="3"/>
      <c r="M36" s="3"/>
      <c r="N36" s="3"/>
      <c r="O36" s="3"/>
      <c r="P36" s="3"/>
    </row>
    <row r="37" spans="2:16" x14ac:dyDescent="0.25">
      <c r="B37" s="3"/>
      <c r="C37" s="3"/>
      <c r="D37" s="3"/>
      <c r="E37" s="3"/>
      <c r="F37" s="3"/>
      <c r="G37" s="3"/>
      <c r="H37" s="3"/>
      <c r="I37" s="3"/>
      <c r="J37" s="3"/>
      <c r="K37" s="3"/>
      <c r="L37" s="3"/>
      <c r="M37" s="3"/>
      <c r="N37" s="3"/>
      <c r="O37" s="3"/>
      <c r="P37" s="3"/>
    </row>
    <row r="38" spans="2:16" x14ac:dyDescent="0.25">
      <c r="B38" s="3"/>
      <c r="C38" s="3"/>
      <c r="D38" s="3"/>
      <c r="E38" s="3"/>
      <c r="F38" s="3"/>
      <c r="G38" s="3"/>
      <c r="H38" s="3"/>
      <c r="I38" s="3"/>
      <c r="J38" s="3"/>
      <c r="K38" s="3"/>
      <c r="L38" s="3"/>
      <c r="M38" s="3"/>
      <c r="N38" s="3"/>
      <c r="O38" s="3"/>
      <c r="P38" s="3"/>
    </row>
    <row r="39" spans="2:16" x14ac:dyDescent="0.25">
      <c r="B39" s="3"/>
      <c r="C39" s="3"/>
      <c r="D39" s="3"/>
      <c r="E39" s="3"/>
      <c r="F39" s="3"/>
      <c r="G39" s="3"/>
      <c r="H39" s="3"/>
      <c r="I39" s="3"/>
      <c r="J39" s="3"/>
      <c r="K39" s="3"/>
      <c r="L39" s="3"/>
      <c r="M39" s="3"/>
      <c r="N39" s="3"/>
      <c r="O39" s="3"/>
      <c r="P39" s="3"/>
    </row>
    <row r="40" spans="2:16" x14ac:dyDescent="0.25">
      <c r="B40" s="3"/>
      <c r="C40" s="3"/>
      <c r="D40" s="3"/>
      <c r="E40" s="3"/>
      <c r="F40" s="3"/>
      <c r="G40" s="3"/>
      <c r="H40" s="3"/>
      <c r="I40" s="3"/>
      <c r="J40" s="3"/>
      <c r="K40" s="3"/>
      <c r="L40" s="3"/>
      <c r="M40" s="3"/>
      <c r="N40" s="3"/>
      <c r="O40" s="3"/>
      <c r="P40" s="3"/>
    </row>
    <row r="41" spans="2:16" x14ac:dyDescent="0.25">
      <c r="B41" s="3"/>
      <c r="C41" s="3"/>
      <c r="D41" s="3"/>
      <c r="E41" s="3"/>
      <c r="F41" s="3"/>
      <c r="G41" s="3"/>
      <c r="H41" s="3"/>
      <c r="I41" s="3"/>
      <c r="J41" s="3"/>
      <c r="K41" s="3"/>
      <c r="L41" s="3"/>
      <c r="M41" s="3"/>
      <c r="N41" s="3"/>
      <c r="O41" s="3"/>
      <c r="P41" s="3"/>
    </row>
    <row r="42" spans="2:16" x14ac:dyDescent="0.25">
      <c r="B42" s="3"/>
      <c r="C42" s="3"/>
      <c r="D42" s="3"/>
      <c r="E42" s="3"/>
      <c r="F42" s="3"/>
      <c r="G42" s="3"/>
      <c r="H42" s="3"/>
      <c r="I42" s="3"/>
      <c r="J42" s="3"/>
      <c r="K42" s="3"/>
      <c r="L42" s="3"/>
      <c r="M42" s="3"/>
      <c r="N42" s="3"/>
      <c r="O42" s="3"/>
      <c r="P42" s="3"/>
    </row>
    <row r="43" spans="2:16" x14ac:dyDescent="0.25">
      <c r="B43" s="3"/>
      <c r="C43" s="3"/>
      <c r="D43" s="3"/>
      <c r="E43" s="3"/>
      <c r="F43" s="3"/>
      <c r="G43" s="3"/>
      <c r="H43" s="3"/>
      <c r="I43" s="3"/>
      <c r="J43" s="3"/>
      <c r="K43" s="3"/>
      <c r="L43" s="3"/>
      <c r="M43" s="3"/>
      <c r="N43" s="3"/>
      <c r="O43" s="3"/>
      <c r="P43" s="3"/>
    </row>
    <row r="44" spans="2:16" x14ac:dyDescent="0.25">
      <c r="B44" s="3"/>
      <c r="C44" s="3"/>
      <c r="D44" s="3"/>
      <c r="E44" s="3"/>
      <c r="F44" s="3"/>
      <c r="G44" s="3"/>
      <c r="H44" s="3"/>
      <c r="I44" s="3"/>
      <c r="J44" s="3"/>
      <c r="K44" s="3"/>
      <c r="L44" s="3"/>
      <c r="M44" s="3"/>
      <c r="N44" s="3"/>
      <c r="O44" s="3"/>
      <c r="P44" s="3"/>
    </row>
    <row r="45" spans="2:16" x14ac:dyDescent="0.25">
      <c r="B45" s="3"/>
      <c r="C45" s="3"/>
      <c r="D45" s="3"/>
      <c r="E45" s="3"/>
      <c r="F45" s="3"/>
      <c r="G45" s="3"/>
      <c r="H45" s="3"/>
      <c r="I45" s="3"/>
      <c r="J45" s="3"/>
      <c r="K45" s="3"/>
      <c r="L45" s="3"/>
      <c r="M45" s="3"/>
      <c r="N45" s="3"/>
      <c r="O45" s="3"/>
      <c r="P45" s="3"/>
    </row>
    <row r="46" spans="2:16" x14ac:dyDescent="0.25">
      <c r="B46" s="3"/>
      <c r="C46" s="3"/>
      <c r="D46" s="3"/>
      <c r="E46" s="3"/>
      <c r="F46" s="3"/>
      <c r="G46" s="3"/>
      <c r="H46" s="3"/>
      <c r="I46" s="3"/>
      <c r="J46" s="3"/>
      <c r="K46" s="3"/>
      <c r="L46" s="3"/>
      <c r="M46" s="3"/>
      <c r="N46" s="3"/>
      <c r="O46" s="3"/>
      <c r="P46" s="3"/>
    </row>
    <row r="47" spans="2:16" x14ac:dyDescent="0.25">
      <c r="B47" s="3"/>
      <c r="C47" s="3"/>
      <c r="D47" s="3"/>
      <c r="E47" s="3"/>
      <c r="F47" s="3"/>
      <c r="G47" s="3"/>
      <c r="H47" s="3"/>
      <c r="I47" s="3"/>
      <c r="J47" s="3"/>
      <c r="K47" s="3"/>
      <c r="L47" s="3"/>
      <c r="M47" s="3"/>
      <c r="N47" s="3"/>
      <c r="O47" s="3"/>
      <c r="P47" s="3"/>
    </row>
    <row r="48" spans="2:16" x14ac:dyDescent="0.25">
      <c r="B48" s="3"/>
      <c r="C48" s="3"/>
      <c r="D48" s="3"/>
      <c r="E48" s="3"/>
      <c r="F48" s="3"/>
      <c r="G48" s="3"/>
      <c r="H48" s="3"/>
      <c r="I48" s="3"/>
      <c r="J48" s="3"/>
      <c r="K48" s="3"/>
      <c r="L48" s="3"/>
      <c r="M48" s="3"/>
      <c r="N48" s="3"/>
      <c r="O48" s="3"/>
      <c r="P48" s="3"/>
    </row>
    <row r="49" spans="2:16" x14ac:dyDescent="0.25">
      <c r="B49" s="3"/>
      <c r="C49" s="3"/>
      <c r="D49" s="3"/>
      <c r="E49" s="3"/>
      <c r="F49" s="3"/>
      <c r="G49" s="3"/>
      <c r="H49" s="3"/>
      <c r="I49" s="3"/>
      <c r="J49" s="3"/>
      <c r="K49" s="3"/>
      <c r="L49" s="3"/>
      <c r="M49" s="3"/>
      <c r="N49" s="3"/>
      <c r="O49" s="3"/>
      <c r="P49" s="3"/>
    </row>
    <row r="50" spans="2:16" x14ac:dyDescent="0.25">
      <c r="B50" s="3"/>
      <c r="C50" s="3"/>
      <c r="D50" s="3"/>
      <c r="E50" s="3"/>
      <c r="F50" s="3"/>
      <c r="G50" s="3"/>
      <c r="H50" s="3"/>
      <c r="I50" s="3"/>
      <c r="J50" s="3"/>
      <c r="K50" s="3"/>
      <c r="L50" s="3"/>
      <c r="M50" s="3"/>
      <c r="N50" s="3"/>
      <c r="O50" s="3"/>
      <c r="P50" s="3"/>
    </row>
    <row r="51" spans="2:16" x14ac:dyDescent="0.25">
      <c r="B51" s="3"/>
      <c r="C51" s="3"/>
      <c r="D51" s="3"/>
      <c r="E51" s="3"/>
      <c r="F51" s="3"/>
      <c r="G51" s="3"/>
      <c r="H51" s="3"/>
      <c r="I51" s="3"/>
      <c r="J51" s="3"/>
      <c r="K51" s="3"/>
      <c r="L51" s="3"/>
      <c r="M51" s="3"/>
      <c r="N51" s="3"/>
      <c r="O51" s="3"/>
      <c r="P51" s="3"/>
    </row>
    <row r="52" spans="2:16" x14ac:dyDescent="0.25">
      <c r="B52" s="3"/>
      <c r="C52" s="3"/>
      <c r="D52" s="3"/>
      <c r="E52" s="3"/>
      <c r="F52" s="3"/>
      <c r="G52" s="3"/>
      <c r="H52" s="3"/>
      <c r="I52" s="3"/>
      <c r="J52" s="3"/>
      <c r="K52" s="3"/>
      <c r="L52" s="3"/>
      <c r="M52" s="3"/>
      <c r="N52" s="3"/>
      <c r="O52" s="3"/>
      <c r="P52" s="3"/>
    </row>
    <row r="53" spans="2:16" x14ac:dyDescent="0.25">
      <c r="B53" s="3"/>
      <c r="C53" s="3"/>
      <c r="D53" s="3"/>
      <c r="E53" s="3"/>
      <c r="F53" s="3"/>
      <c r="G53" s="3"/>
      <c r="H53" s="3"/>
      <c r="I53" s="3"/>
      <c r="J53" s="3"/>
      <c r="K53" s="3"/>
      <c r="L53" s="3"/>
      <c r="M53" s="3"/>
      <c r="N53" s="3"/>
      <c r="O53" s="3"/>
      <c r="P53" s="3"/>
    </row>
    <row r="54" spans="2:16" x14ac:dyDescent="0.25">
      <c r="B54" s="3"/>
      <c r="C54" s="3"/>
      <c r="D54" s="3"/>
      <c r="E54" s="3"/>
      <c r="F54" s="3"/>
      <c r="G54" s="3"/>
      <c r="H54" s="3"/>
      <c r="I54" s="3"/>
      <c r="J54" s="3"/>
      <c r="K54" s="3"/>
      <c r="L54" s="3"/>
      <c r="M54" s="3"/>
      <c r="N54" s="3"/>
      <c r="O54" s="3"/>
      <c r="P54" s="3"/>
    </row>
    <row r="55" spans="2:16" x14ac:dyDescent="0.25">
      <c r="B55" s="3"/>
      <c r="C55" s="3"/>
      <c r="D55" s="3"/>
      <c r="E55" s="3"/>
      <c r="F55" s="3"/>
      <c r="G55" s="3"/>
      <c r="H55" s="3"/>
      <c r="I55" s="3"/>
      <c r="J55" s="3"/>
      <c r="K55" s="3"/>
      <c r="L55" s="3"/>
      <c r="M55" s="3"/>
      <c r="N55" s="3"/>
      <c r="O55" s="3"/>
      <c r="P55" s="3"/>
    </row>
    <row r="56" spans="2:16" x14ac:dyDescent="0.25">
      <c r="B56" s="3"/>
      <c r="C56" s="3"/>
      <c r="D56" s="3"/>
      <c r="E56" s="3"/>
      <c r="F56" s="3"/>
      <c r="G56" s="3"/>
      <c r="H56" s="3"/>
      <c r="I56" s="3"/>
      <c r="J56" s="3"/>
      <c r="K56" s="3"/>
      <c r="L56" s="3"/>
      <c r="M56" s="3"/>
      <c r="N56" s="3"/>
      <c r="O56" s="3"/>
      <c r="P56" s="3"/>
    </row>
    <row r="57" spans="2:16" x14ac:dyDescent="0.25">
      <c r="B57" s="3"/>
      <c r="C57" s="3"/>
      <c r="D57" s="3"/>
      <c r="E57" s="3"/>
      <c r="F57" s="3"/>
      <c r="G57" s="3"/>
      <c r="H57" s="3"/>
      <c r="I57" s="3"/>
      <c r="J57" s="3"/>
      <c r="K57" s="3"/>
      <c r="L57" s="3"/>
      <c r="M57" s="3"/>
      <c r="N57" s="3"/>
      <c r="O57" s="3"/>
      <c r="P57" s="3"/>
    </row>
    <row r="58" spans="2:16" x14ac:dyDescent="0.25">
      <c r="B58" s="3"/>
      <c r="C58" s="3"/>
      <c r="D58" s="3"/>
      <c r="E58" s="3"/>
      <c r="F58" s="3"/>
      <c r="G58" s="3"/>
      <c r="H58" s="3"/>
      <c r="I58" s="3"/>
      <c r="J58" s="3"/>
      <c r="K58" s="3"/>
      <c r="L58" s="3"/>
      <c r="M58" s="3"/>
      <c r="N58" s="3"/>
      <c r="O58" s="3"/>
      <c r="P58" s="3"/>
    </row>
    <row r="59" spans="2:16" x14ac:dyDescent="0.25">
      <c r="B59" s="3"/>
      <c r="C59" s="3"/>
      <c r="D59" s="3"/>
      <c r="E59" s="3"/>
      <c r="F59" s="3"/>
      <c r="G59" s="3"/>
      <c r="H59" s="3"/>
      <c r="I59" s="3"/>
      <c r="J59" s="3"/>
      <c r="K59" s="3"/>
      <c r="L59" s="3"/>
      <c r="M59" s="3"/>
      <c r="N59" s="3"/>
      <c r="O59" s="3"/>
      <c r="P59" s="3"/>
    </row>
    <row r="60" spans="2:16" x14ac:dyDescent="0.25">
      <c r="B60" s="3"/>
      <c r="C60" s="3"/>
      <c r="D60" s="3"/>
      <c r="E60" s="3"/>
      <c r="F60" s="3"/>
      <c r="G60" s="3"/>
      <c r="H60" s="3"/>
      <c r="I60" s="3"/>
      <c r="J60" s="3"/>
      <c r="K60" s="3"/>
      <c r="L60" s="3"/>
      <c r="M60" s="3"/>
      <c r="N60" s="3"/>
      <c r="O60" s="3"/>
      <c r="P60" s="3"/>
    </row>
    <row r="61" spans="2:16" x14ac:dyDescent="0.25">
      <c r="B61" s="3"/>
      <c r="C61" s="3"/>
      <c r="D61" s="3"/>
      <c r="E61" s="3"/>
      <c r="F61" s="3"/>
      <c r="G61" s="3"/>
      <c r="H61" s="3"/>
      <c r="I61" s="3"/>
      <c r="J61" s="3"/>
      <c r="K61" s="3"/>
      <c r="L61" s="3"/>
      <c r="M61" s="3"/>
      <c r="N61" s="3"/>
      <c r="O61" s="3"/>
      <c r="P61" s="3"/>
    </row>
    <row r="62" spans="2:16" x14ac:dyDescent="0.25">
      <c r="B62" s="3"/>
      <c r="C62" s="3"/>
      <c r="D62" s="3"/>
      <c r="E62" s="3"/>
      <c r="F62" s="3"/>
      <c r="G62" s="3"/>
      <c r="H62" s="3"/>
      <c r="I62" s="3"/>
      <c r="J62" s="3"/>
      <c r="K62" s="3"/>
      <c r="L62" s="3"/>
      <c r="M62" s="3"/>
      <c r="N62" s="3"/>
      <c r="O62" s="3"/>
      <c r="P62" s="3"/>
    </row>
    <row r="63" spans="2:16" x14ac:dyDescent="0.25">
      <c r="B63" s="3"/>
      <c r="C63" s="3"/>
      <c r="D63" s="3"/>
      <c r="E63" s="3"/>
      <c r="F63" s="3"/>
      <c r="G63" s="3"/>
      <c r="H63" s="3"/>
      <c r="I63" s="3"/>
      <c r="J63" s="3"/>
      <c r="K63" s="3"/>
      <c r="L63" s="3"/>
      <c r="M63" s="3"/>
      <c r="N63" s="3"/>
      <c r="O63" s="3"/>
      <c r="P63" s="3"/>
    </row>
    <row r="64" spans="2:16" x14ac:dyDescent="0.25">
      <c r="B64" s="3"/>
      <c r="C64" s="3"/>
      <c r="D64" s="3"/>
      <c r="E64" s="3"/>
      <c r="F64" s="3"/>
      <c r="G64" s="3"/>
      <c r="H64" s="3"/>
      <c r="I64" s="3"/>
      <c r="J64" s="3"/>
      <c r="K64" s="3"/>
      <c r="L64" s="3"/>
      <c r="M64" s="3"/>
      <c r="N64" s="3"/>
      <c r="O64" s="3"/>
      <c r="P64" s="3"/>
    </row>
    <row r="65" spans="2:16" x14ac:dyDescent="0.25">
      <c r="B65" s="3"/>
      <c r="C65" s="3"/>
      <c r="D65" s="3"/>
      <c r="E65" s="3"/>
      <c r="F65" s="3"/>
      <c r="G65" s="3"/>
      <c r="H65" s="3"/>
      <c r="I65" s="3"/>
      <c r="J65" s="3"/>
      <c r="K65" s="3"/>
      <c r="L65" s="3"/>
      <c r="M65" s="3"/>
      <c r="N65" s="3"/>
      <c r="O65" s="3"/>
      <c r="P65" s="3"/>
    </row>
    <row r="66" spans="2:16" x14ac:dyDescent="0.25">
      <c r="B66" s="3"/>
      <c r="C66" s="3"/>
      <c r="D66" s="3"/>
      <c r="E66" s="3"/>
      <c r="F66" s="3"/>
      <c r="G66" s="3"/>
      <c r="H66" s="3"/>
      <c r="I66" s="3"/>
      <c r="J66" s="3"/>
      <c r="K66" s="3"/>
      <c r="L66" s="3"/>
      <c r="M66" s="3"/>
      <c r="N66" s="3"/>
      <c r="O66" s="3"/>
      <c r="P66" s="3"/>
    </row>
    <row r="67" spans="2:16" x14ac:dyDescent="0.25">
      <c r="B67" s="3"/>
      <c r="C67" s="3"/>
      <c r="D67" s="3"/>
      <c r="E67" s="3"/>
      <c r="F67" s="3"/>
      <c r="G67" s="3"/>
      <c r="H67" s="3"/>
      <c r="I67" s="3"/>
      <c r="J67" s="3"/>
      <c r="K67" s="3"/>
      <c r="L67" s="3"/>
      <c r="M67" s="3"/>
      <c r="N67" s="3"/>
      <c r="O67" s="3"/>
      <c r="P67" s="3"/>
    </row>
    <row r="68" spans="2:16" x14ac:dyDescent="0.25">
      <c r="B68" s="3"/>
      <c r="C68" s="3"/>
      <c r="D68" s="3"/>
      <c r="E68" s="3"/>
      <c r="F68" s="3"/>
      <c r="G68" s="3"/>
      <c r="H68" s="3"/>
      <c r="I68" s="3"/>
      <c r="J68" s="3"/>
      <c r="K68" s="3"/>
      <c r="L68" s="3"/>
      <c r="M68" s="3"/>
      <c r="N68" s="3"/>
      <c r="O68" s="3"/>
      <c r="P68" s="3"/>
    </row>
    <row r="69" spans="2:16" x14ac:dyDescent="0.25">
      <c r="B69" s="3"/>
      <c r="C69" s="3"/>
      <c r="D69" s="3"/>
      <c r="E69" s="3"/>
      <c r="F69" s="3"/>
      <c r="G69" s="3"/>
      <c r="H69" s="3"/>
      <c r="I69" s="3"/>
      <c r="J69" s="3"/>
      <c r="K69" s="3"/>
      <c r="L69" s="3"/>
      <c r="M69" s="3"/>
      <c r="N69" s="3"/>
      <c r="O69" s="3"/>
      <c r="P69" s="3"/>
    </row>
    <row r="70" spans="2:16" x14ac:dyDescent="0.25">
      <c r="B70" s="3"/>
      <c r="C70" s="3"/>
      <c r="D70" s="3"/>
      <c r="E70" s="3"/>
      <c r="F70" s="3"/>
      <c r="G70" s="3"/>
      <c r="H70" s="3"/>
      <c r="I70" s="3"/>
      <c r="J70" s="3"/>
      <c r="K70" s="3"/>
      <c r="L70" s="3"/>
      <c r="M70" s="3"/>
      <c r="N70" s="3"/>
      <c r="O70" s="3"/>
      <c r="P70" s="3"/>
    </row>
    <row r="71" spans="2:16" x14ac:dyDescent="0.25">
      <c r="B71" s="3"/>
      <c r="C71" s="3"/>
      <c r="D71" s="3"/>
      <c r="E71" s="3"/>
      <c r="F71" s="3"/>
      <c r="G71" s="3"/>
      <c r="H71" s="3"/>
      <c r="I71" s="3"/>
      <c r="J71" s="3"/>
      <c r="K71" s="3"/>
      <c r="L71" s="3"/>
      <c r="M71" s="3"/>
      <c r="N71" s="3"/>
      <c r="O71" s="3"/>
      <c r="P71" s="3"/>
    </row>
    <row r="72" spans="2:16" x14ac:dyDescent="0.25">
      <c r="B72" s="3"/>
      <c r="C72" s="3"/>
      <c r="D72" s="3"/>
      <c r="E72" s="3"/>
      <c r="F72" s="3"/>
      <c r="G72" s="3"/>
      <c r="H72" s="3"/>
      <c r="I72" s="3"/>
      <c r="J72" s="3"/>
      <c r="K72" s="3"/>
      <c r="L72" s="3"/>
      <c r="M72" s="3"/>
      <c r="N72" s="3"/>
      <c r="O72" s="3"/>
      <c r="P72" s="3"/>
    </row>
    <row r="73" spans="2:16" x14ac:dyDescent="0.25">
      <c r="B73" s="3"/>
      <c r="C73" s="3"/>
      <c r="D73" s="3"/>
      <c r="E73" s="3"/>
      <c r="F73" s="3"/>
      <c r="G73" s="3"/>
      <c r="H73" s="3"/>
      <c r="I73" s="3"/>
      <c r="J73" s="3"/>
      <c r="K73" s="3"/>
      <c r="L73" s="3"/>
      <c r="M73" s="3"/>
      <c r="N73" s="3"/>
      <c r="O73" s="3"/>
      <c r="P73" s="3"/>
    </row>
  </sheetData>
  <sheetProtection algorithmName="SHA-512" hashValue="znb6NSszKqCnHc0haMBQm3YOlYRxAAQmcOBYXMbK9W2nGryEP1qV++LYJCP03htJZix4RjkqELAXxoRa9a9kYQ==" saltValue="OZDTphCs+owBKGH6FHajZQ==" spinCount="100000" sheet="1" objects="1" scenarios="1"/>
  <mergeCells count="15">
    <mergeCell ref="D16:P16"/>
    <mergeCell ref="D17:P17"/>
    <mergeCell ref="D18:P18"/>
    <mergeCell ref="D11:P11"/>
    <mergeCell ref="D15:P15"/>
    <mergeCell ref="D14:P14"/>
    <mergeCell ref="B1:L1"/>
    <mergeCell ref="D13:P13"/>
    <mergeCell ref="D5:P5"/>
    <mergeCell ref="D12:P12"/>
    <mergeCell ref="B2:L2"/>
    <mergeCell ref="D4:P4"/>
    <mergeCell ref="D10:P10"/>
    <mergeCell ref="D9:P9"/>
    <mergeCell ref="D8:P8"/>
  </mergeCells>
  <phoneticPr fontId="22" type="noConversion"/>
  <pageMargins left="0.70866141732283472" right="0.70866141732283472" top="0.74803149606299213" bottom="0.74803149606299213" header="0.31496062992125984" footer="0.31496062992125984"/>
  <pageSetup paperSize="9" scale="8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B22"/>
  <sheetViews>
    <sheetView workbookViewId="0">
      <selection activeCell="H33" sqref="H33"/>
    </sheetView>
  </sheetViews>
  <sheetFormatPr defaultColWidth="8.85546875" defaultRowHeight="15" x14ac:dyDescent="0.25"/>
  <cols>
    <col min="2" max="2" width="9.140625" customWidth="1"/>
  </cols>
  <sheetData>
    <row r="5" spans="2:2" x14ac:dyDescent="0.25">
      <c r="B5" s="31"/>
    </row>
    <row r="6" spans="2:2" x14ac:dyDescent="0.25">
      <c r="B6" s="31"/>
    </row>
    <row r="7" spans="2:2" x14ac:dyDescent="0.25">
      <c r="B7" s="31"/>
    </row>
    <row r="8" spans="2:2" x14ac:dyDescent="0.25">
      <c r="B8" s="31"/>
    </row>
    <row r="9" spans="2:2" x14ac:dyDescent="0.25">
      <c r="B9" s="31"/>
    </row>
    <row r="10" spans="2:2" x14ac:dyDescent="0.25">
      <c r="B10" s="31"/>
    </row>
    <row r="11" spans="2:2" x14ac:dyDescent="0.25">
      <c r="B11" s="31"/>
    </row>
    <row r="12" spans="2:2" x14ac:dyDescent="0.25">
      <c r="B12" s="31"/>
    </row>
    <row r="13" spans="2:2" x14ac:dyDescent="0.25">
      <c r="B13" s="31"/>
    </row>
    <row r="14" spans="2:2" x14ac:dyDescent="0.25">
      <c r="B14" s="31"/>
    </row>
    <row r="15" spans="2:2" x14ac:dyDescent="0.25">
      <c r="B15" s="31"/>
    </row>
    <row r="16" spans="2:2" x14ac:dyDescent="0.25">
      <c r="B16" s="31"/>
    </row>
    <row r="17" spans="2:2" x14ac:dyDescent="0.25">
      <c r="B17" s="31"/>
    </row>
    <row r="18" spans="2:2" x14ac:dyDescent="0.25">
      <c r="B18" s="31"/>
    </row>
    <row r="19" spans="2:2" x14ac:dyDescent="0.25">
      <c r="B19" s="31"/>
    </row>
    <row r="20" spans="2:2" x14ac:dyDescent="0.25">
      <c r="B20" s="31"/>
    </row>
    <row r="21" spans="2:2" x14ac:dyDescent="0.25">
      <c r="B21" s="31"/>
    </row>
    <row r="22" spans="2:2" x14ac:dyDescent="0.25">
      <c r="B22" s="3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4fc5000-3977-4bb9-85fe-95b8458bb4bf">605893-383881373-1093</_dlc_DocId>
    <_dlc_DocIdUrl xmlns="94fc5000-3977-4bb9-85fe-95b8458bb4bf">
      <Url>http://bikube/Oppdrag/605893/02/_layouts/15/DocIdRedir.aspx?ID=605893-383881373-1093</Url>
      <Description>605893-383881373-1093</Description>
    </_dlc_DocIdUrl>
    <FraTekst xmlns="8f686a36-9368-4dda-9e9f-a86bde0d326a" xsi:nil="true"/>
    <Revisjon xmlns="8f686a36-9368-4dda-9e9f-a86bde0d326a" xsi:nil="true"/>
    <KopiTekst xmlns="8f686a36-9368-4dda-9e9f-a86bde0d326a" xsi:nil="true"/>
    <Aktivitet xmlns="8f686a36-9368-4dda-9e9f-a86bde0d326a" xsi:nil="true"/>
    <Dokumenttype xmlns="8f686a36-9368-4dda-9e9f-a86bde0d326a">Oppdragsdokument</Dokumenttype>
    <Dokumenttema xmlns="8f686a36-9368-4dda-9e9f-a86bde0d326a" xsi:nil="true"/>
    <TilTekst xmlns="8f686a36-9368-4dda-9e9f-a86bde0d326a" xsi:nil="true"/>
    <RevisjonsDato xmlns="8f686a36-9368-4dda-9e9f-a86bde0d326a" xsi:nil="true"/>
    <Oppdragsnummer xmlns="8f686a36-9368-4dda-9e9f-a86bde0d326a">605893-02</Oppdragsnumm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ED8D844509B40B8ED2A4F57557FDF" ma:contentTypeVersion="10" ma:contentTypeDescription="Opprett et nytt dokument." ma:contentTypeScope="" ma:versionID="5a3588df43d0e122934e98f713478315">
  <xsd:schema xmlns:xsd="http://www.w3.org/2001/XMLSchema" xmlns:xs="http://www.w3.org/2001/XMLSchema" xmlns:p="http://schemas.microsoft.com/office/2006/metadata/properties" xmlns:ns2="94fc5000-3977-4bb9-85fe-95b8458bb4bf" xmlns:ns3="8f686a36-9368-4dda-9e9f-a86bde0d326a" targetNamespace="http://schemas.microsoft.com/office/2006/metadata/properties" ma:root="true" ma:fieldsID="5dc860a208286b0380a3671511075df2" ns2:_="" ns3:_="">
    <xsd:import namespace="94fc5000-3977-4bb9-85fe-95b8458bb4bf"/>
    <xsd:import namespace="8f686a36-9368-4dda-9e9f-a86bde0d326a"/>
    <xsd:element name="properties">
      <xsd:complexType>
        <xsd:sequence>
          <xsd:element name="documentManagement">
            <xsd:complexType>
              <xsd:all>
                <xsd:element ref="ns2:_dlc_DocId" minOccurs="0"/>
                <xsd:element ref="ns2:_dlc_DocIdUrl" minOccurs="0"/>
                <xsd:element ref="ns2:_dlc_DocIdPersistId" minOccurs="0"/>
                <xsd:element ref="ns3:Dokumenttype"/>
                <xsd:element ref="ns3:Aktivitet" minOccurs="0"/>
                <xsd:element ref="ns3:Dokumenttema" minOccurs="0"/>
                <xsd:element ref="ns3:Revisjon" minOccurs="0"/>
                <xsd:element ref="ns3:RevisjonsDato" minOccurs="0"/>
                <xsd:element ref="ns3:TilTekst" minOccurs="0"/>
                <xsd:element ref="ns3:FraTekst" minOccurs="0"/>
                <xsd:element ref="ns3:KopiTekst" minOccurs="0"/>
                <xsd:element ref="ns3:SharedWithUsers" minOccurs="0"/>
                <xsd:element ref="ns3:Oppdrags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c5000-3977-4bb9-85fe-95b8458bb4bf"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686a36-9368-4dda-9e9f-a86bde0d326a" elementFormDefault="qualified">
    <xsd:import namespace="http://schemas.microsoft.com/office/2006/documentManagement/types"/>
    <xsd:import namespace="http://schemas.microsoft.com/office/infopath/2007/PartnerControls"/>
    <xsd:element name="Dokumenttype" ma:index="11" ma:displayName="Dokumenttype" ma:default="Oppdragsdokument" ma:internalName="Dokumenttype">
      <xsd:simpleType>
        <xsd:restriction base="dms:Choice">
          <xsd:enumeration value="Oppdragsdokument"/>
          <xsd:enumeration value="Avtale"/>
          <xsd:enumeration value="Kart"/>
          <xsd:enumeration value="Notat"/>
          <xsd:enumeration value="Rapport"/>
          <xsd:enumeration value="Tegning"/>
          <xsd:enumeration value="Tilbud"/>
          <xsd:enumeration value="Brev"/>
          <xsd:enumeration value="Møte"/>
          <xsd:enumeration value="E-post"/>
          <xsd:enumeration value="Sjekkliste"/>
        </xsd:restriction>
      </xsd:simpleType>
    </xsd:element>
    <xsd:element name="Aktivitet" ma:index="12" nillable="true" ma:displayName="Aktivitet" ma:list="{4A005FC5-2181-4245-9789-C7D57B48DB22}" ma:internalName="Aktivitet" ma:showField="Title" ma:web="8f686a36-9368-4dda-9e9f-a86bde0d326a">
      <xsd:simpleType>
        <xsd:restriction base="dms:Lookup"/>
      </xsd:simpleType>
    </xsd:element>
    <xsd:element name="Dokumenttema" ma:index="13" nillable="true" ma:displayName="Dokumenttema" ma:list="{49143DDE-213C-4E8B-A328-CB38FE75E5AB}" ma:internalName="Dokumenttema" ma:showField="Title" ma:web="8f686a36-9368-4dda-9e9f-a86bde0d326a">
      <xsd:simpleType>
        <xsd:restriction base="dms:Lookup"/>
      </xsd:simpleType>
    </xsd:element>
    <xsd:element name="Revisjon" ma:index="14" nillable="true" ma:displayName="Revisjon" ma:internalName="Revisjon">
      <xsd:simpleType>
        <xsd:restriction base="dms:Text">
          <xsd:maxLength value="255"/>
        </xsd:restriction>
      </xsd:simpleType>
    </xsd:element>
    <xsd:element name="RevisjonsDato" ma:index="15" nillable="true" ma:displayName="RevisjonsDato" ma:format="DateOnly" ma:internalName="RevisjonsDato">
      <xsd:simpleType>
        <xsd:restriction base="dms:DateTime"/>
      </xsd:simpleType>
    </xsd:element>
    <xsd:element name="TilTekst" ma:index="16" nillable="true" ma:displayName="Til" ma:internalName="TilTekst">
      <xsd:simpleType>
        <xsd:restriction base="dms:Note">
          <xsd:maxLength value="255"/>
        </xsd:restriction>
      </xsd:simpleType>
    </xsd:element>
    <xsd:element name="FraTekst" ma:index="17" nillable="true" ma:displayName="Fra" ma:internalName="FraTekst">
      <xsd:simpleType>
        <xsd:restriction base="dms:Note">
          <xsd:maxLength value="255"/>
        </xsd:restriction>
      </xsd:simpleType>
    </xsd:element>
    <xsd:element name="KopiTekst" ma:index="18" nillable="true" ma:displayName="Kopi" ma:internalName="KopiTekst">
      <xsd:simpleType>
        <xsd:restriction base="dms:Note">
          <xsd:maxLength value="255"/>
        </xsd:restriction>
      </xsd:simpleType>
    </xsd:element>
    <xsd:element name="SharedWithUsers" ma:index="19"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ppdragsnummer" ma:index="20" nillable="true" ma:displayName="Oppdragsnummer" ma:default="605893-02" ma:internalName="Oppdragsnumm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0F68772-2ABF-4F37-8594-F905212249AD}">
  <ds:schemaRefs>
    <ds:schemaRef ds:uri="8f686a36-9368-4dda-9e9f-a86bde0d326a"/>
    <ds:schemaRef ds:uri="http://purl.org/dc/elements/1.1/"/>
    <ds:schemaRef ds:uri="http://www.w3.org/XML/1998/namespace"/>
    <ds:schemaRef ds:uri="http://purl.org/dc/dcmitype/"/>
    <ds:schemaRef ds:uri="http://schemas.microsoft.com/office/2006/documentManagement/types"/>
    <ds:schemaRef ds:uri="94fc5000-3977-4bb9-85fe-95b8458bb4bf"/>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9D2125B-24D9-472D-B56D-38274035C0C9}">
  <ds:schemaRefs>
    <ds:schemaRef ds:uri="http://schemas.microsoft.com/sharepoint/v3/contenttype/forms"/>
  </ds:schemaRefs>
</ds:datastoreItem>
</file>

<file path=customXml/itemProps3.xml><?xml version="1.0" encoding="utf-8"?>
<ds:datastoreItem xmlns:ds="http://schemas.openxmlformats.org/officeDocument/2006/customXml" ds:itemID="{6C70E7C2-77F2-4C8F-9884-B0215EA76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c5000-3977-4bb9-85fe-95b8458bb4bf"/>
    <ds:schemaRef ds:uri="8f686a36-9368-4dda-9e9f-a86bde0d3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1DD3A8-8D41-4FD7-A662-C510F7F38AB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674</vt:i4>
      </vt:variant>
    </vt:vector>
  </HeadingPairs>
  <TitlesOfParts>
    <vt:vector size="685" baseType="lpstr">
      <vt:lpstr>Instructions</vt:lpstr>
      <vt:lpstr>Assessment Details</vt:lpstr>
      <vt:lpstr>Pre-Assessment Estimator</vt:lpstr>
      <vt:lpstr>Poeng</vt:lpstr>
      <vt:lpstr>Manuell filtrering og justering</vt:lpstr>
      <vt:lpstr>Summary of Building Performance</vt:lpstr>
      <vt:lpstr>PAE available for copy</vt:lpstr>
      <vt:lpstr>Version Control</vt:lpstr>
      <vt:lpstr>Sheet1</vt:lpstr>
      <vt:lpstr>Sheet2</vt:lpstr>
      <vt:lpstr>Sheet3</vt:lpstr>
      <vt:lpstr>_PSc1</vt:lpstr>
      <vt:lpstr>_PSc2</vt:lpstr>
      <vt:lpstr>Achieved_const</vt:lpstr>
      <vt:lpstr>Achieved_design</vt:lpstr>
      <vt:lpstr>Achieved_initial</vt:lpstr>
      <vt:lpstr>AD_Add01</vt:lpstr>
      <vt:lpstr>AD_Add02</vt:lpstr>
      <vt:lpstr>AD_Add04</vt:lpstr>
      <vt:lpstr>AD_Architect</vt:lpstr>
      <vt:lpstr>AD_assessor</vt:lpstr>
      <vt:lpstr>AD_Assessor_org</vt:lpstr>
      <vt:lpstr>AD_Banner</vt:lpstr>
      <vt:lpstr>AD_BREEAM_stage</vt:lpstr>
      <vt:lpstr>AD_BREEAM_version</vt:lpstr>
      <vt:lpstr>AD_BREEAMAP</vt:lpstr>
      <vt:lpstr>AD_Buildserve</vt:lpstr>
      <vt:lpstr>AD_Builduser</vt:lpstr>
      <vt:lpstr>AD_catlevel</vt:lpstr>
      <vt:lpstr>AD_catlevel01</vt:lpstr>
      <vt:lpstr>AD_catlevel02</vt:lpstr>
      <vt:lpstr>AD_catlevel03</vt:lpstr>
      <vt:lpstr>AD_client</vt:lpstr>
      <vt:lpstr>AD_Contractor</vt:lpstr>
      <vt:lpstr>AD_Developer</vt:lpstr>
      <vt:lpstr>AD_GIA</vt:lpstr>
      <vt:lpstr>AD_heat</vt:lpstr>
      <vt:lpstr>AD_labcat_list</vt:lpstr>
      <vt:lpstr>AD_Labsize</vt:lpstr>
      <vt:lpstr>AD_Labsize_list</vt:lpstr>
      <vt:lpstr>AD_Labsize01</vt:lpstr>
      <vt:lpstr>AD_Labsize02</vt:lpstr>
      <vt:lpstr>AD_Labsize03</vt:lpstr>
      <vt:lpstr>AD_labsize04</vt:lpstr>
      <vt:lpstr>AD_Landscape</vt:lpstr>
      <vt:lpstr>AD_MultiRes_option01a</vt:lpstr>
      <vt:lpstr>AD_MultiRes_option01b</vt:lpstr>
      <vt:lpstr>AD_Multitenant</vt:lpstr>
      <vt:lpstr>AD_NaturalHazards</vt:lpstr>
      <vt:lpstr>AD_NIFA</vt:lpstr>
      <vt:lpstr>AD_no</vt:lpstr>
      <vt:lpstr>AD_option_na</vt:lpstr>
      <vt:lpstr>AD_Other01</vt:lpstr>
      <vt:lpstr>AD_Other02</vt:lpstr>
      <vt:lpstr>AD_other03</vt:lpstr>
      <vt:lpstr>AD_Other04</vt:lpstr>
      <vt:lpstr>AD_Ozoneleg</vt:lpstr>
      <vt:lpstr>AD_p_zone0</vt:lpstr>
      <vt:lpstr>AD_p_zone1</vt:lpstr>
      <vt:lpstr>AD_P_zone2</vt:lpstr>
      <vt:lpstr>AD_P_Zone3</vt:lpstr>
      <vt:lpstr>AD_Projman</vt:lpstr>
      <vt:lpstr>AD_ref</vt:lpstr>
      <vt:lpstr>AD_refrig</vt:lpstr>
      <vt:lpstr>AD_SiteAccess</vt:lpstr>
      <vt:lpstr>AD_stage_list</vt:lpstr>
      <vt:lpstr>AD_Statement04</vt:lpstr>
      <vt:lpstr>AD_statement05</vt:lpstr>
      <vt:lpstr>AD_statement06</vt:lpstr>
      <vt:lpstr>AD_tra01type</vt:lpstr>
      <vt:lpstr>AD_Trans</vt:lpstr>
      <vt:lpstr>AD_type_list</vt:lpstr>
      <vt:lpstr>AD_Vehiclewash</vt:lpstr>
      <vt:lpstr>AD_version</vt:lpstr>
      <vt:lpstr>AD_Yes</vt:lpstr>
      <vt:lpstr>AD_YesNo</vt:lpstr>
      <vt:lpstr>AD_YesNo_list</vt:lpstr>
      <vt:lpstr>ADAS0</vt:lpstr>
      <vt:lpstr>ADAS01</vt:lpstr>
      <vt:lpstr>ADAS02</vt:lpstr>
      <vt:lpstr>ADBN</vt:lpstr>
      <vt:lpstr>ADBT_sub02</vt:lpstr>
      <vt:lpstr>ADBT_sub03</vt:lpstr>
      <vt:lpstr>ADBT_sub04</vt:lpstr>
      <vt:lpstr>ADBT_sub05</vt:lpstr>
      <vt:lpstr>ADBT_sub06</vt:lpstr>
      <vt:lpstr>ADBT_sub07</vt:lpstr>
      <vt:lpstr>ADBT_sub08</vt:lpstr>
      <vt:lpstr>ADBT_sub09</vt:lpstr>
      <vt:lpstr>ADBT_sub10</vt:lpstr>
      <vt:lpstr>ADBT_sub11</vt:lpstr>
      <vt:lpstr>ADBT_sub12</vt:lpstr>
      <vt:lpstr>ADBT_sub13</vt:lpstr>
      <vt:lpstr>ADBT_sub14</vt:lpstr>
      <vt:lpstr>ADBT_sub15</vt:lpstr>
      <vt:lpstr>ADBT_sub16</vt:lpstr>
      <vt:lpstr>ADBT_sub17</vt:lpstr>
      <vt:lpstr>ADBT0</vt:lpstr>
      <vt:lpstr>ADBT1</vt:lpstr>
      <vt:lpstr>ADBT12</vt:lpstr>
      <vt:lpstr>ADBT2</vt:lpstr>
      <vt:lpstr>ADBT3</vt:lpstr>
      <vt:lpstr>ADBT8</vt:lpstr>
      <vt:lpstr>ADBT9</vt:lpstr>
      <vt:lpstr>ADFume_option01</vt:lpstr>
      <vt:lpstr>ADIND_option02</vt:lpstr>
      <vt:lpstr>ADIND_option03</vt:lpstr>
      <vt:lpstr>ADPT</vt:lpstr>
      <vt:lpstr>ADPT01</vt:lpstr>
      <vt:lpstr>ADPT02</vt:lpstr>
      <vt:lpstr>ADPT03</vt:lpstr>
      <vt:lpstr>ADPT04</vt:lpstr>
      <vt:lpstr>AIS_NA</vt:lpstr>
      <vt:lpstr>ais_no</vt:lpstr>
      <vt:lpstr>AIS_statement29</vt:lpstr>
      <vt:lpstr>ais_yes</vt:lpstr>
      <vt:lpstr>BP_01</vt:lpstr>
      <vt:lpstr>BP_02</vt:lpstr>
      <vt:lpstr>BP_03</vt:lpstr>
      <vt:lpstr>BP_04</vt:lpstr>
      <vt:lpstr>BP_05</vt:lpstr>
      <vt:lpstr>BP_06</vt:lpstr>
      <vt:lpstr>BP_07</vt:lpstr>
      <vt:lpstr>BP_08</vt:lpstr>
      <vt:lpstr>BP_09</vt:lpstr>
      <vt:lpstr>BP_10</vt:lpstr>
      <vt:lpstr>BP_11</vt:lpstr>
      <vt:lpstr>BP_12</vt:lpstr>
      <vt:lpstr>BP_13</vt:lpstr>
      <vt:lpstr>BP_14</vt:lpstr>
      <vt:lpstr>BP_15</vt:lpstr>
      <vt:lpstr>BP_16</vt:lpstr>
      <vt:lpstr>BP_18</vt:lpstr>
      <vt:lpstr>BP_19</vt:lpstr>
      <vt:lpstr>BP_20</vt:lpstr>
      <vt:lpstr>BP_21</vt:lpstr>
      <vt:lpstr>BP_22</vt:lpstr>
      <vt:lpstr>BP_23</vt:lpstr>
      <vt:lpstr>BP_24</vt:lpstr>
      <vt:lpstr>BP_25</vt:lpstr>
      <vt:lpstr>BP_26</vt:lpstr>
      <vt:lpstr>BP_27</vt:lpstr>
      <vt:lpstr>BP_28</vt:lpstr>
      <vt:lpstr>BP_29</vt:lpstr>
      <vt:lpstr>BP_30</vt:lpstr>
      <vt:lpstr>BP_31</vt:lpstr>
      <vt:lpstr>BP_32</vt:lpstr>
      <vt:lpstr>BP_34</vt:lpstr>
      <vt:lpstr>BP_35</vt:lpstr>
      <vt:lpstr>BP_36</vt:lpstr>
      <vt:lpstr>BP_38</vt:lpstr>
      <vt:lpstr>BP_39</vt:lpstr>
      <vt:lpstr>BP_40</vt:lpstr>
      <vt:lpstr>BP_BREEAMRating</vt:lpstr>
      <vt:lpstr>BP_Energy_score</vt:lpstr>
      <vt:lpstr>BP_Innovation_score</vt:lpstr>
      <vt:lpstr>BP_LUE_score</vt:lpstr>
      <vt:lpstr>BP_Man_score</vt:lpstr>
      <vt:lpstr>BP_Materials_score</vt:lpstr>
      <vt:lpstr>BP_MinStandards</vt:lpstr>
      <vt:lpstr>BP_MinStandards_const</vt:lpstr>
      <vt:lpstr>BP_MinStandards_design</vt:lpstr>
      <vt:lpstr>BP_Trans_score</vt:lpstr>
      <vt:lpstr>BP_Waste_Score</vt:lpstr>
      <vt:lpstr>BP_Water_score</vt:lpstr>
      <vt:lpstr>'PAE available for copy'!BRK_Banner</vt:lpstr>
      <vt:lpstr>BRK_Banner</vt:lpstr>
      <vt:lpstr>Ene_01</vt:lpstr>
      <vt:lpstr>Ene_02</vt:lpstr>
      <vt:lpstr>Ene_03</vt:lpstr>
      <vt:lpstr>Ene_04</vt:lpstr>
      <vt:lpstr>Ene_05</vt:lpstr>
      <vt:lpstr>Ene_06</vt:lpstr>
      <vt:lpstr>Ene_07</vt:lpstr>
      <vt:lpstr>Ene_08</vt:lpstr>
      <vt:lpstr>Ene_09</vt:lpstr>
      <vt:lpstr>Ene_23</vt:lpstr>
      <vt:lpstr>Ene_c_user</vt:lpstr>
      <vt:lpstr>Ene_cont_tot</vt:lpstr>
      <vt:lpstr>Ene_Credits</vt:lpstr>
      <vt:lpstr>Ene_d_user</vt:lpstr>
      <vt:lpstr>Ene_tot_user</vt:lpstr>
      <vt:lpstr>Ene01_27</vt:lpstr>
      <vt:lpstr>Ene01_28</vt:lpstr>
      <vt:lpstr>Ene01_41</vt:lpstr>
      <vt:lpstr>Ene01_42</vt:lpstr>
      <vt:lpstr>Ene01_credits</vt:lpstr>
      <vt:lpstr>Ene01_minstd</vt:lpstr>
      <vt:lpstr>Ene01_tot</vt:lpstr>
      <vt:lpstr>Ene01_user</vt:lpstr>
      <vt:lpstr>Ene02_10</vt:lpstr>
      <vt:lpstr>Ene02_11</vt:lpstr>
      <vt:lpstr>Ene02_12</vt:lpstr>
      <vt:lpstr>Ene02_13</vt:lpstr>
      <vt:lpstr>Ene02_credits</vt:lpstr>
      <vt:lpstr>Ene02_tot</vt:lpstr>
      <vt:lpstr>Ene02_user</vt:lpstr>
      <vt:lpstr>Ene03_05</vt:lpstr>
      <vt:lpstr>Ene03_06</vt:lpstr>
      <vt:lpstr>Ene03_credits</vt:lpstr>
      <vt:lpstr>Ene03_minstd</vt:lpstr>
      <vt:lpstr>Ene03_user</vt:lpstr>
      <vt:lpstr>Ene04_15</vt:lpstr>
      <vt:lpstr>Ene04_16</vt:lpstr>
      <vt:lpstr>Ene04_19</vt:lpstr>
      <vt:lpstr>Ene04_20</vt:lpstr>
      <vt:lpstr>Ene04_credits</vt:lpstr>
      <vt:lpstr>Ene04_tot</vt:lpstr>
      <vt:lpstr>Ene04_user</vt:lpstr>
      <vt:lpstr>Ene05_14</vt:lpstr>
      <vt:lpstr>Ene05_15</vt:lpstr>
      <vt:lpstr>Ene05_20</vt:lpstr>
      <vt:lpstr>Ene05_21</vt:lpstr>
      <vt:lpstr>Ene05_credits</vt:lpstr>
      <vt:lpstr>Ene05_tot</vt:lpstr>
      <vt:lpstr>Ene05_user</vt:lpstr>
      <vt:lpstr>Ene06_11</vt:lpstr>
      <vt:lpstr>Ene06_12</vt:lpstr>
      <vt:lpstr>Ene06_credits</vt:lpstr>
      <vt:lpstr>Ene06_minstd</vt:lpstr>
      <vt:lpstr>Ene06_tot</vt:lpstr>
      <vt:lpstr>Ene06_user</vt:lpstr>
      <vt:lpstr>Ene07_24</vt:lpstr>
      <vt:lpstr>Ene07_25</vt:lpstr>
      <vt:lpstr>Ene07_credits</vt:lpstr>
      <vt:lpstr>Ene07_minstd</vt:lpstr>
      <vt:lpstr>Ene07_tot</vt:lpstr>
      <vt:lpstr>Ene07_user</vt:lpstr>
      <vt:lpstr>Ene08_27</vt:lpstr>
      <vt:lpstr>Ene08_29</vt:lpstr>
      <vt:lpstr>Ene08_credits</vt:lpstr>
      <vt:lpstr>Ene08_minstd</vt:lpstr>
      <vt:lpstr>Ene08_tot</vt:lpstr>
      <vt:lpstr>Ene08_user</vt:lpstr>
      <vt:lpstr>Ene09_07</vt:lpstr>
      <vt:lpstr>Ene09_10</vt:lpstr>
      <vt:lpstr>Ene09_credits</vt:lpstr>
      <vt:lpstr>Ene09_minstd</vt:lpstr>
      <vt:lpstr>Ene09_tot</vt:lpstr>
      <vt:lpstr>Ene09_user</vt:lpstr>
      <vt:lpstr>Ene23_cont</vt:lpstr>
      <vt:lpstr>Ene23_credits</vt:lpstr>
      <vt:lpstr>Ene23_minstd</vt:lpstr>
      <vt:lpstr>Ene23_user</vt:lpstr>
      <vt:lpstr>Hea_01</vt:lpstr>
      <vt:lpstr>Hea_02</vt:lpstr>
      <vt:lpstr>Hea_03</vt:lpstr>
      <vt:lpstr>Hea_04</vt:lpstr>
      <vt:lpstr>Hea_05</vt:lpstr>
      <vt:lpstr>Hea_06</vt:lpstr>
      <vt:lpstr>Hea_07</vt:lpstr>
      <vt:lpstr>Hea_08</vt:lpstr>
      <vt:lpstr>Hea_09</vt:lpstr>
      <vt:lpstr>Hea_cont_tot</vt:lpstr>
      <vt:lpstr>Hea_Credits</vt:lpstr>
      <vt:lpstr>Hea_Weight</vt:lpstr>
      <vt:lpstr>Hea01_26</vt:lpstr>
      <vt:lpstr>Hea01_27</vt:lpstr>
      <vt:lpstr>Hea01_credits</vt:lpstr>
      <vt:lpstr>Hea01_Crit1</vt:lpstr>
      <vt:lpstr>Hea01_Crit1_cont</vt:lpstr>
      <vt:lpstr>Hea01_Crit1_credits</vt:lpstr>
      <vt:lpstr>Hea01_minstd</vt:lpstr>
      <vt:lpstr>Hea01_user</vt:lpstr>
      <vt:lpstr>Hea02_25</vt:lpstr>
      <vt:lpstr>Hea02_26</vt:lpstr>
      <vt:lpstr>Hea02_credits</vt:lpstr>
      <vt:lpstr>Hea02_minstd</vt:lpstr>
      <vt:lpstr>Hea02_tot</vt:lpstr>
      <vt:lpstr>Hea02_user</vt:lpstr>
      <vt:lpstr>Hea03_09</vt:lpstr>
      <vt:lpstr>Hea03_10</vt:lpstr>
      <vt:lpstr>Hea03_11</vt:lpstr>
      <vt:lpstr>Hea03_contr</vt:lpstr>
      <vt:lpstr>Hea03_credits</vt:lpstr>
      <vt:lpstr>Hea03_tot</vt:lpstr>
      <vt:lpstr>Hea03_user</vt:lpstr>
      <vt:lpstr>Hea04_10</vt:lpstr>
      <vt:lpstr>Hea04_11</vt:lpstr>
      <vt:lpstr>Hea04_12</vt:lpstr>
      <vt:lpstr>Hea04_13</vt:lpstr>
      <vt:lpstr>Hea04_credits</vt:lpstr>
      <vt:lpstr>Hea04_tot</vt:lpstr>
      <vt:lpstr>Hea04_user</vt:lpstr>
      <vt:lpstr>Hea05_07</vt:lpstr>
      <vt:lpstr>Hea05_08</vt:lpstr>
      <vt:lpstr>Hea05_credits</vt:lpstr>
      <vt:lpstr>Hea05_minstd</vt:lpstr>
      <vt:lpstr>Hea05_tot</vt:lpstr>
      <vt:lpstr>Hea05_user</vt:lpstr>
      <vt:lpstr>Hea06_07</vt:lpstr>
      <vt:lpstr>Hea06_contr</vt:lpstr>
      <vt:lpstr>Hea06_credits</vt:lpstr>
      <vt:lpstr>Hea06_minstd</vt:lpstr>
      <vt:lpstr>Hea06_tot</vt:lpstr>
      <vt:lpstr>Hea06_user</vt:lpstr>
      <vt:lpstr>Hea07_07</vt:lpstr>
      <vt:lpstr>Hea07_contr</vt:lpstr>
      <vt:lpstr>Hea07_Credits</vt:lpstr>
      <vt:lpstr>Hea07_minstd</vt:lpstr>
      <vt:lpstr>Hea07_Tot</vt:lpstr>
      <vt:lpstr>Hea07_user</vt:lpstr>
      <vt:lpstr>Hea08_07</vt:lpstr>
      <vt:lpstr>Hea08_contr</vt:lpstr>
      <vt:lpstr>Hea08_Credits</vt:lpstr>
      <vt:lpstr>Hea08_minstd</vt:lpstr>
      <vt:lpstr>Hea08_tot</vt:lpstr>
      <vt:lpstr>Hea08_user</vt:lpstr>
      <vt:lpstr>Hea09_cont</vt:lpstr>
      <vt:lpstr>Hea09_Credits</vt:lpstr>
      <vt:lpstr>Hea09_minstd</vt:lpstr>
      <vt:lpstr>Hea09_user</vt:lpstr>
      <vt:lpstr>'PAE available for copy'!HUG</vt:lpstr>
      <vt:lpstr>HUG</vt:lpstr>
      <vt:lpstr>HW_c_user</vt:lpstr>
      <vt:lpstr>HW_d_user</vt:lpstr>
      <vt:lpstr>HW_tot_user</vt:lpstr>
      <vt:lpstr>Inn_01</vt:lpstr>
      <vt:lpstr>Inn_02</vt:lpstr>
      <vt:lpstr>Inn_03</vt:lpstr>
      <vt:lpstr>Inn_04</vt:lpstr>
      <vt:lpstr>Inn_05</vt:lpstr>
      <vt:lpstr>Inn_06</vt:lpstr>
      <vt:lpstr>Inn_07</vt:lpstr>
      <vt:lpstr>Inn_08</vt:lpstr>
      <vt:lpstr>Inn_09</vt:lpstr>
      <vt:lpstr>Inn_c_user</vt:lpstr>
      <vt:lpstr>Inn_cont_tot</vt:lpstr>
      <vt:lpstr>Inn_Credits</vt:lpstr>
      <vt:lpstr>Inn_d_user</vt:lpstr>
      <vt:lpstr>Inn_tot_user</vt:lpstr>
      <vt:lpstr>Inn_Weight</vt:lpstr>
      <vt:lpstr>Inn01_cont</vt:lpstr>
      <vt:lpstr>Inn01_credits</vt:lpstr>
      <vt:lpstr>Inn01_minstd</vt:lpstr>
      <vt:lpstr>Inn01_user</vt:lpstr>
      <vt:lpstr>Inn02_cont</vt:lpstr>
      <vt:lpstr>Inn02_credits</vt:lpstr>
      <vt:lpstr>Inn02_minstd</vt:lpstr>
      <vt:lpstr>Inn02_user</vt:lpstr>
      <vt:lpstr>Inn03_cont</vt:lpstr>
      <vt:lpstr>Inn03_credits</vt:lpstr>
      <vt:lpstr>Inn03_minstd</vt:lpstr>
      <vt:lpstr>Inn03_user</vt:lpstr>
      <vt:lpstr>Inn04_cont</vt:lpstr>
      <vt:lpstr>Inn04_credits</vt:lpstr>
      <vt:lpstr>Inn04_minstd</vt:lpstr>
      <vt:lpstr>Inn04_user</vt:lpstr>
      <vt:lpstr>Inn05_cont</vt:lpstr>
      <vt:lpstr>Inn05_credits</vt:lpstr>
      <vt:lpstr>Inn05_minstd</vt:lpstr>
      <vt:lpstr>Inn05_user</vt:lpstr>
      <vt:lpstr>Inn06_cont</vt:lpstr>
      <vt:lpstr>Inn06_credits</vt:lpstr>
      <vt:lpstr>Inn06_minstd</vt:lpstr>
      <vt:lpstr>Inn06_user</vt:lpstr>
      <vt:lpstr>Inn07_cont</vt:lpstr>
      <vt:lpstr>Inn07_credits</vt:lpstr>
      <vt:lpstr>Inn07_minstd</vt:lpstr>
      <vt:lpstr>Inn07_user</vt:lpstr>
      <vt:lpstr>Inn08_cont</vt:lpstr>
      <vt:lpstr>Inn08_credits</vt:lpstr>
      <vt:lpstr>Inn08_minstd</vt:lpstr>
      <vt:lpstr>Inn08_user</vt:lpstr>
      <vt:lpstr>Inn09_cont</vt:lpstr>
      <vt:lpstr>Inn09_credits</vt:lpstr>
      <vt:lpstr>Inn09_minstd</vt:lpstr>
      <vt:lpstr>Inn09_user</vt:lpstr>
      <vt:lpstr>janei</vt:lpstr>
      <vt:lpstr>LE_01</vt:lpstr>
      <vt:lpstr>LE_02</vt:lpstr>
      <vt:lpstr>LE_04</vt:lpstr>
      <vt:lpstr>LE_05</vt:lpstr>
      <vt:lpstr>LE_06</vt:lpstr>
      <vt:lpstr>LE_cont_tot</vt:lpstr>
      <vt:lpstr>LE_Credits</vt:lpstr>
      <vt:lpstr>LE01_07</vt:lpstr>
      <vt:lpstr>LE01_08</vt:lpstr>
      <vt:lpstr>LE01_credits</vt:lpstr>
      <vt:lpstr>LE01_minstd</vt:lpstr>
      <vt:lpstr>LE01_tot</vt:lpstr>
      <vt:lpstr>LE01_user</vt:lpstr>
      <vt:lpstr>LE02_07</vt:lpstr>
      <vt:lpstr>LE02_08</vt:lpstr>
      <vt:lpstr>LE02_credits</vt:lpstr>
      <vt:lpstr>LE02_minstd</vt:lpstr>
      <vt:lpstr>LE02_tot</vt:lpstr>
      <vt:lpstr>LE02_user</vt:lpstr>
      <vt:lpstr>LE03_minstd</vt:lpstr>
      <vt:lpstr>LE04_13</vt:lpstr>
      <vt:lpstr>LE04_14</vt:lpstr>
      <vt:lpstr>LE04_credits</vt:lpstr>
      <vt:lpstr>LE04_tot</vt:lpstr>
      <vt:lpstr>LE04_user</vt:lpstr>
      <vt:lpstr>LE05_14</vt:lpstr>
      <vt:lpstr>LE05_15</vt:lpstr>
      <vt:lpstr>LE05_credits</vt:lpstr>
      <vt:lpstr>LE05_minstd</vt:lpstr>
      <vt:lpstr>LE05_minstdach</vt:lpstr>
      <vt:lpstr>LE05_tot</vt:lpstr>
      <vt:lpstr>LE05_user</vt:lpstr>
      <vt:lpstr>LE06_contr</vt:lpstr>
      <vt:lpstr>LE06_credits</vt:lpstr>
      <vt:lpstr>LE06_minstd</vt:lpstr>
      <vt:lpstr>LE06_tot</vt:lpstr>
      <vt:lpstr>LE06_user</vt:lpstr>
      <vt:lpstr>Lue_c_user</vt:lpstr>
      <vt:lpstr>Lue_d_user</vt:lpstr>
      <vt:lpstr>Lue_tot_user</vt:lpstr>
      <vt:lpstr>Man_01</vt:lpstr>
      <vt:lpstr>Man_02</vt:lpstr>
      <vt:lpstr>Man_03</vt:lpstr>
      <vt:lpstr>Man_04</vt:lpstr>
      <vt:lpstr>Man_05</vt:lpstr>
      <vt:lpstr>Man_06</vt:lpstr>
      <vt:lpstr>Man_07</vt:lpstr>
      <vt:lpstr>Man_c_user</vt:lpstr>
      <vt:lpstr>Man_cont_tot</vt:lpstr>
      <vt:lpstr>Man_Credits</vt:lpstr>
      <vt:lpstr>Man_d_user</vt:lpstr>
      <vt:lpstr>Man_tot_user</vt:lpstr>
      <vt:lpstr>Man01_37</vt:lpstr>
      <vt:lpstr>Man01_38</vt:lpstr>
      <vt:lpstr>Man01_39</vt:lpstr>
      <vt:lpstr>Man01_credits</vt:lpstr>
      <vt:lpstr>Man01_Exemp</vt:lpstr>
      <vt:lpstr>Man01_Tot</vt:lpstr>
      <vt:lpstr>Man01_user</vt:lpstr>
      <vt:lpstr>Man02_11</vt:lpstr>
      <vt:lpstr>Man02_12</vt:lpstr>
      <vt:lpstr>Man02_credits</vt:lpstr>
      <vt:lpstr>Man02_Exempl</vt:lpstr>
      <vt:lpstr>Man02_minstd</vt:lpstr>
      <vt:lpstr>Man02_Tot</vt:lpstr>
      <vt:lpstr>Man02_user</vt:lpstr>
      <vt:lpstr>Man03_12</vt:lpstr>
      <vt:lpstr>Man03_18</vt:lpstr>
      <vt:lpstr>Man03_credits</vt:lpstr>
      <vt:lpstr>Man03_minstd</vt:lpstr>
      <vt:lpstr>Man03_Tot</vt:lpstr>
      <vt:lpstr>Man03_user</vt:lpstr>
      <vt:lpstr>Man04_17</vt:lpstr>
      <vt:lpstr>Man04_cont</vt:lpstr>
      <vt:lpstr>Man04_credits</vt:lpstr>
      <vt:lpstr>Man04_minstd</vt:lpstr>
      <vt:lpstr>Man04_tot</vt:lpstr>
      <vt:lpstr>Man04_user</vt:lpstr>
      <vt:lpstr>Man05_10</vt:lpstr>
      <vt:lpstr>Man05_cont</vt:lpstr>
      <vt:lpstr>Man05_credits</vt:lpstr>
      <vt:lpstr>Man05_minstd</vt:lpstr>
      <vt:lpstr>Man05_tot</vt:lpstr>
      <vt:lpstr>Man05_user</vt:lpstr>
      <vt:lpstr>Man06_cont</vt:lpstr>
      <vt:lpstr>Man06_credits</vt:lpstr>
      <vt:lpstr>Man06_minstd</vt:lpstr>
      <vt:lpstr>Man06_user</vt:lpstr>
      <vt:lpstr>Man07_cont</vt:lpstr>
      <vt:lpstr>Man07_credits</vt:lpstr>
      <vt:lpstr>Man07_minstd</vt:lpstr>
      <vt:lpstr>Man07_user</vt:lpstr>
      <vt:lpstr>Mat_01</vt:lpstr>
      <vt:lpstr>Mat_03</vt:lpstr>
      <vt:lpstr>Mat_05</vt:lpstr>
      <vt:lpstr>Mat_06</vt:lpstr>
      <vt:lpstr>Mat_c_user</vt:lpstr>
      <vt:lpstr>Mat_cont_tot</vt:lpstr>
      <vt:lpstr>Mat_Credits</vt:lpstr>
      <vt:lpstr>Mat_d_user</vt:lpstr>
      <vt:lpstr>Mat_tot_user</vt:lpstr>
      <vt:lpstr>Mat01_08</vt:lpstr>
      <vt:lpstr>Mat01_27</vt:lpstr>
      <vt:lpstr>Mat01_28</vt:lpstr>
      <vt:lpstr>Mat01_credits</vt:lpstr>
      <vt:lpstr>Mat01_Crit1</vt:lpstr>
      <vt:lpstr>Mat01_Crit1_cont</vt:lpstr>
      <vt:lpstr>Mat01_Crit1_credits</vt:lpstr>
      <vt:lpstr>Mat01_minstd</vt:lpstr>
      <vt:lpstr>Mat01_tot</vt:lpstr>
      <vt:lpstr>Mat01_user</vt:lpstr>
      <vt:lpstr>Mat03_35</vt:lpstr>
      <vt:lpstr>Mat03_36</vt:lpstr>
      <vt:lpstr>Mat03_37</vt:lpstr>
      <vt:lpstr>Mat03_38</vt:lpstr>
      <vt:lpstr>Mat03_credits</vt:lpstr>
      <vt:lpstr>Mat03_Crit1</vt:lpstr>
      <vt:lpstr>Mat03_Crit1_cont</vt:lpstr>
      <vt:lpstr>Mat03_Crit1_credits</vt:lpstr>
      <vt:lpstr>Mat03_minstd</vt:lpstr>
      <vt:lpstr>Mat03_tot</vt:lpstr>
      <vt:lpstr>Mat03_user</vt:lpstr>
      <vt:lpstr>Mat05_05</vt:lpstr>
      <vt:lpstr>Mat05_06</vt:lpstr>
      <vt:lpstr>Mat05_credits</vt:lpstr>
      <vt:lpstr>Mat05_minstd</vt:lpstr>
      <vt:lpstr>Mat05_tot</vt:lpstr>
      <vt:lpstr>Mat05_user</vt:lpstr>
      <vt:lpstr>Mat06_cont</vt:lpstr>
      <vt:lpstr>Mat06_credits</vt:lpstr>
      <vt:lpstr>Mat06_minstd</vt:lpstr>
      <vt:lpstr>Mat06_user</vt:lpstr>
      <vt:lpstr>Note_minstand</vt:lpstr>
      <vt:lpstr>Note_minstand_const</vt:lpstr>
      <vt:lpstr>Note_minstand_design</vt:lpstr>
      <vt:lpstr>Poeng_bort</vt:lpstr>
      <vt:lpstr>Poeng_tilgj</vt:lpstr>
      <vt:lpstr>Poeng_tot</vt:lpstr>
      <vt:lpstr>Pol_01</vt:lpstr>
      <vt:lpstr>Pol_02</vt:lpstr>
      <vt:lpstr>Pol_03</vt:lpstr>
      <vt:lpstr>Pol_04</vt:lpstr>
      <vt:lpstr>Pol_05</vt:lpstr>
      <vt:lpstr>Pol_c_user</vt:lpstr>
      <vt:lpstr>Pol_cont_tot</vt:lpstr>
      <vt:lpstr>Pol_Credits</vt:lpstr>
      <vt:lpstr>Pol_d_user</vt:lpstr>
      <vt:lpstr>Pol_tot_user</vt:lpstr>
      <vt:lpstr>Pol_Weight</vt:lpstr>
      <vt:lpstr>Pol01_19</vt:lpstr>
      <vt:lpstr>Pol01_20</vt:lpstr>
      <vt:lpstr>Pol01_credits</vt:lpstr>
      <vt:lpstr>Pol01_minstd</vt:lpstr>
      <vt:lpstr>Pol01_tot</vt:lpstr>
      <vt:lpstr>Pol01_user</vt:lpstr>
      <vt:lpstr>Pol02_26</vt:lpstr>
      <vt:lpstr>Pol02_27</vt:lpstr>
      <vt:lpstr>Pol02_credits</vt:lpstr>
      <vt:lpstr>Pol02_minstd</vt:lpstr>
      <vt:lpstr>Pol02_tot</vt:lpstr>
      <vt:lpstr>Pol02_user</vt:lpstr>
      <vt:lpstr>Pol03_14</vt:lpstr>
      <vt:lpstr>Pol03_15</vt:lpstr>
      <vt:lpstr>Pol03_credits</vt:lpstr>
      <vt:lpstr>Pol03_minstd</vt:lpstr>
      <vt:lpstr>Pol03_tot</vt:lpstr>
      <vt:lpstr>Pol03_user</vt:lpstr>
      <vt:lpstr>Pol04_05</vt:lpstr>
      <vt:lpstr>Pol04_06</vt:lpstr>
      <vt:lpstr>Pol04_credits</vt:lpstr>
      <vt:lpstr>Pol04_minstd</vt:lpstr>
      <vt:lpstr>Pol04_tot</vt:lpstr>
      <vt:lpstr>Pol04_user</vt:lpstr>
      <vt:lpstr>Pol05_10</vt:lpstr>
      <vt:lpstr>Pol05_11</vt:lpstr>
      <vt:lpstr>Pol05_credits</vt:lpstr>
      <vt:lpstr>Pol05_minstd</vt:lpstr>
      <vt:lpstr>Pol05_tot</vt:lpstr>
      <vt:lpstr>Pol05_user</vt:lpstr>
      <vt:lpstr>'Assessment Details'!Print_Area</vt:lpstr>
      <vt:lpstr>Instructions!Print_Area</vt:lpstr>
      <vt:lpstr>'PAE available for copy'!Print_Area</vt:lpstr>
      <vt:lpstr>'Pre-Assessment Estimator'!Print_Area</vt:lpstr>
      <vt:lpstr>'Summary of Building Performance'!Print_Area</vt:lpstr>
      <vt:lpstr>'Version Control'!Print_Area</vt:lpstr>
      <vt:lpstr>'PAE available for copy'!Print_Titles</vt:lpstr>
      <vt:lpstr>'Pre-Assessment Estimator'!Print_Titles</vt:lpstr>
      <vt:lpstr>projecttype</vt:lpstr>
      <vt:lpstr>Score_const</vt:lpstr>
      <vt:lpstr>Score_design</vt:lpstr>
      <vt:lpstr>Score_Initial</vt:lpstr>
      <vt:lpstr>status</vt:lpstr>
      <vt:lpstr>Tra_01</vt:lpstr>
      <vt:lpstr>Tra_02</vt:lpstr>
      <vt:lpstr>Tra_03</vt:lpstr>
      <vt:lpstr>Tra_04</vt:lpstr>
      <vt:lpstr>Tra_05</vt:lpstr>
      <vt:lpstr>Tra_06</vt:lpstr>
      <vt:lpstr>Tra_c_user</vt:lpstr>
      <vt:lpstr>Tra_cont_tot</vt:lpstr>
      <vt:lpstr>Tra_Credits</vt:lpstr>
      <vt:lpstr>Tra_d_user</vt:lpstr>
      <vt:lpstr>Tra_tot_user</vt:lpstr>
      <vt:lpstr>Tra01_07</vt:lpstr>
      <vt:lpstr>TRa01_08</vt:lpstr>
      <vt:lpstr>TRA01_BuildType</vt:lpstr>
      <vt:lpstr>Tra01_credits</vt:lpstr>
      <vt:lpstr>Tra01_minstd</vt:lpstr>
      <vt:lpstr>Tra01_tot</vt:lpstr>
      <vt:lpstr>Tra01_type7</vt:lpstr>
      <vt:lpstr>Tra01_user</vt:lpstr>
      <vt:lpstr>Tra02_06</vt:lpstr>
      <vt:lpstr>Tra02_07</vt:lpstr>
      <vt:lpstr>Tra02_credits</vt:lpstr>
      <vt:lpstr>Tra02_minstd</vt:lpstr>
      <vt:lpstr>Tra02_tot</vt:lpstr>
      <vt:lpstr>Tra02_user</vt:lpstr>
      <vt:lpstr>Tra03_02</vt:lpstr>
      <vt:lpstr>Tra03_13</vt:lpstr>
      <vt:lpstr>Tra03_14</vt:lpstr>
      <vt:lpstr>Tra03_credits</vt:lpstr>
      <vt:lpstr>Tra03_minstd</vt:lpstr>
      <vt:lpstr>Tra03_tot</vt:lpstr>
      <vt:lpstr>Tra03_user</vt:lpstr>
      <vt:lpstr>Tra04_09</vt:lpstr>
      <vt:lpstr>Tra04_10</vt:lpstr>
      <vt:lpstr>Tra04_credits</vt:lpstr>
      <vt:lpstr>Tra04_minstd</vt:lpstr>
      <vt:lpstr>Tra04_tot</vt:lpstr>
      <vt:lpstr>Tra04_user</vt:lpstr>
      <vt:lpstr>Tra05_04</vt:lpstr>
      <vt:lpstr>Tra05_05</vt:lpstr>
      <vt:lpstr>Tra05_credits</vt:lpstr>
      <vt:lpstr>Tra05_minstd</vt:lpstr>
      <vt:lpstr>Tra05_tot</vt:lpstr>
      <vt:lpstr>Tra05_user</vt:lpstr>
      <vt:lpstr>Tra06_04</vt:lpstr>
      <vt:lpstr>Tra06_05</vt:lpstr>
      <vt:lpstr>Tra06_credits</vt:lpstr>
      <vt:lpstr>Tra06_minstd</vt:lpstr>
      <vt:lpstr>Tra06_user</vt:lpstr>
      <vt:lpstr>TVC_current_date</vt:lpstr>
      <vt:lpstr>TVC_current_version</vt:lpstr>
      <vt:lpstr>Wat__Credits</vt:lpstr>
      <vt:lpstr>Wat_01</vt:lpstr>
      <vt:lpstr>Wat_02</vt:lpstr>
      <vt:lpstr>Wat_03</vt:lpstr>
      <vt:lpstr>Wat_04</vt:lpstr>
      <vt:lpstr>Wat_c_user</vt:lpstr>
      <vt:lpstr>Wat_cont_tot</vt:lpstr>
      <vt:lpstr>Wat_Credits</vt:lpstr>
      <vt:lpstr>Wat_d_user</vt:lpstr>
      <vt:lpstr>Wat_tot_user</vt:lpstr>
      <vt:lpstr>Wat01_08</vt:lpstr>
      <vt:lpstr>Wat01_09</vt:lpstr>
      <vt:lpstr>Wat01_14</vt:lpstr>
      <vt:lpstr>Wat01_15</vt:lpstr>
      <vt:lpstr>Wat01_credits</vt:lpstr>
      <vt:lpstr>Wat01_minstd</vt:lpstr>
      <vt:lpstr>Wat01_tot</vt:lpstr>
      <vt:lpstr>Wat01_user</vt:lpstr>
      <vt:lpstr>Wat02_10</vt:lpstr>
      <vt:lpstr>Wat02_11</vt:lpstr>
      <vt:lpstr>Wat02_12</vt:lpstr>
      <vt:lpstr>Wat02_13</vt:lpstr>
      <vt:lpstr>Wat02_credits</vt:lpstr>
      <vt:lpstr>Wat02_tot</vt:lpstr>
      <vt:lpstr>Wat02_user</vt:lpstr>
      <vt:lpstr>Wat03_09</vt:lpstr>
      <vt:lpstr>Wat03_10</vt:lpstr>
      <vt:lpstr>Wat03_credits</vt:lpstr>
      <vt:lpstr>Wat03_minstd</vt:lpstr>
      <vt:lpstr>Wat03_tot</vt:lpstr>
      <vt:lpstr>Wat03_user</vt:lpstr>
      <vt:lpstr>Wat04_05</vt:lpstr>
      <vt:lpstr>Wat04_06</vt:lpstr>
      <vt:lpstr>Wat04_credits</vt:lpstr>
      <vt:lpstr>Wat04_minstd</vt:lpstr>
      <vt:lpstr>Wat04_tot</vt:lpstr>
      <vt:lpstr>Wat04_user</vt:lpstr>
      <vt:lpstr>Wst_01</vt:lpstr>
      <vt:lpstr>Wst_02</vt:lpstr>
      <vt:lpstr>Wst_03</vt:lpstr>
      <vt:lpstr>Wst_04</vt:lpstr>
      <vt:lpstr>Wst_c_user</vt:lpstr>
      <vt:lpstr>Wst_cont_tot</vt:lpstr>
      <vt:lpstr>Wst_Credits</vt:lpstr>
      <vt:lpstr>Wst_d_user</vt:lpstr>
      <vt:lpstr>Wst_tot_user</vt:lpstr>
      <vt:lpstr>Wst01_17</vt:lpstr>
      <vt:lpstr>Wst01_18</vt:lpstr>
      <vt:lpstr>Wst01_27</vt:lpstr>
      <vt:lpstr>Wst01_28</vt:lpstr>
      <vt:lpstr>Wst01_credits</vt:lpstr>
      <vt:lpstr>Wst01_tot</vt:lpstr>
      <vt:lpstr>Wst01_user</vt:lpstr>
      <vt:lpstr>Wst02_11</vt:lpstr>
      <vt:lpstr>Wst02_14</vt:lpstr>
      <vt:lpstr>Wst02_15</vt:lpstr>
      <vt:lpstr>Wst02_credits</vt:lpstr>
      <vt:lpstr>Wst02_minstd</vt:lpstr>
      <vt:lpstr>Wst02_tot</vt:lpstr>
      <vt:lpstr>Wst02_user</vt:lpstr>
      <vt:lpstr>Wst03_09</vt:lpstr>
      <vt:lpstr>Wst03_10</vt:lpstr>
      <vt:lpstr>Wst03_12</vt:lpstr>
      <vt:lpstr>Wst03_13</vt:lpstr>
      <vt:lpstr>Wst03_credits</vt:lpstr>
      <vt:lpstr>Wst03_tot</vt:lpstr>
      <vt:lpstr>Wst03_user</vt:lpstr>
      <vt:lpstr>Wst04_08</vt:lpstr>
      <vt:lpstr>Wst04_09</vt:lpstr>
      <vt:lpstr>Wst04_credits</vt:lpstr>
      <vt:lpstr>Wst04_minstd</vt:lpstr>
      <vt:lpstr>Wst04_tot</vt:lpstr>
      <vt:lpstr>Wst04_user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 Global Ltd</dc:creator>
  <cp:lastModifiedBy>Oddbjørn Dahlstrøm</cp:lastModifiedBy>
  <cp:lastPrinted>2019-08-28T07:56:51Z</cp:lastPrinted>
  <dcterms:created xsi:type="dcterms:W3CDTF">2011-03-28T14:05:06Z</dcterms:created>
  <dcterms:modified xsi:type="dcterms:W3CDTF">2019-11-13T08:39:12Z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05446b8c-3d17-4d95-804c-9dd4d73841b3</vt:lpwstr>
  </property>
  <property fmtid="{D5CDD505-2E9C-101B-9397-08002B2CF9AE}" pid="3" name="ContentTypeId">
    <vt:lpwstr>0x010100473ED8D844509B40B8ED2A4F57557FDF</vt:lpwstr>
  </property>
</Properties>
</file>